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830"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D57" i="8" l="1"/>
  <c r="E57" i="8" s="1"/>
  <c r="F57" i="8" s="1"/>
  <c r="C57" i="8"/>
  <c r="B57" i="8"/>
  <c r="D28" i="8"/>
  <c r="E28" i="8" s="1"/>
  <c r="C28" i="8"/>
  <c r="H124" i="36"/>
  <c r="F28" i="8" l="1"/>
  <c r="I1469" i="59"/>
  <c r="I1468" i="59"/>
  <c r="P1467" i="59"/>
  <c r="O1467" i="59"/>
  <c r="A1467" i="59" s="1"/>
  <c r="A94" i="11"/>
  <c r="G28" i="8" l="1"/>
  <c r="A4" i="4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H28" i="8" l="1"/>
  <c r="P1457" i="59"/>
  <c r="O1457" i="59"/>
  <c r="I1452" i="59"/>
  <c r="K1444" i="59"/>
  <c r="K1443" i="59"/>
  <c r="I28" i="8" l="1"/>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J28" i="8" l="1"/>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K28" i="8" l="1"/>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HA636" i="59" s="1"/>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GA648" i="59" s="1"/>
  <c r="O648" i="59"/>
  <c r="P648" i="59"/>
  <c r="M649" i="59"/>
  <c r="N649" i="59"/>
  <c r="O649" i="59"/>
  <c r="P649" i="59"/>
  <c r="M650" i="59"/>
  <c r="N650" i="59"/>
  <c r="O650" i="59"/>
  <c r="P650" i="59"/>
  <c r="M651" i="59"/>
  <c r="N651" i="59"/>
  <c r="O651" i="59"/>
  <c r="P651" i="59"/>
  <c r="M652" i="59"/>
  <c r="N652" i="59"/>
  <c r="FW652" i="59" s="1"/>
  <c r="O652" i="59"/>
  <c r="P652" i="59"/>
  <c r="M653" i="59"/>
  <c r="N653" i="59"/>
  <c r="O653" i="59"/>
  <c r="P653" i="59"/>
  <c r="M654" i="59"/>
  <c r="N654" i="59"/>
  <c r="O654" i="59"/>
  <c r="P654" i="59"/>
  <c r="M655" i="59"/>
  <c r="N655" i="59"/>
  <c r="O655" i="59"/>
  <c r="P655" i="59"/>
  <c r="M656" i="59"/>
  <c r="N656" i="59"/>
  <c r="GG656" i="59" s="1"/>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s="1"/>
  <c r="L632" i="59" s="1"/>
  <c r="J632" i="59"/>
  <c r="B633" i="59"/>
  <c r="C633" i="59"/>
  <c r="D633" i="59"/>
  <c r="E633" i="59"/>
  <c r="JM633" i="59" s="1"/>
  <c r="F633" i="59"/>
  <c r="G633" i="59"/>
  <c r="H633" i="59"/>
  <c r="I633" i="59"/>
  <c r="J633" i="59"/>
  <c r="B634" i="59"/>
  <c r="C634" i="59"/>
  <c r="BX634" i="59" s="1"/>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J636" i="59"/>
  <c r="B637" i="59"/>
  <c r="C637" i="59"/>
  <c r="D637" i="59"/>
  <c r="E637" i="59"/>
  <c r="JO637" i="59" s="1"/>
  <c r="F637" i="59"/>
  <c r="G637" i="59"/>
  <c r="H637" i="59"/>
  <c r="I637" i="59"/>
  <c r="J637" i="59"/>
  <c r="B638" i="59"/>
  <c r="C638" i="59"/>
  <c r="II638" i="59" s="1"/>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FN642" i="59" s="1"/>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HX630" i="59" s="1"/>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BD662" i="59"/>
  <c r="HQ661" i="59"/>
  <c r="HM657" i="59"/>
  <c r="EZ655" i="59"/>
  <c r="BG650" i="59"/>
  <c r="HY649" i="59"/>
  <c r="HQ649" i="59"/>
  <c r="GW649" i="59"/>
  <c r="GN649" i="59"/>
  <c r="GF649" i="59"/>
  <c r="FL649" i="59"/>
  <c r="FC649" i="59"/>
  <c r="HQ648" i="59"/>
  <c r="BJ646" i="59"/>
  <c r="JP645" i="59"/>
  <c r="HU645" i="59"/>
  <c r="HA645" i="59"/>
  <c r="GS645" i="59"/>
  <c r="GH645" i="59"/>
  <c r="FP645" i="59"/>
  <c r="FI645" i="59"/>
  <c r="FE645" i="59"/>
  <c r="EW645" i="59"/>
  <c r="JM643" i="59"/>
  <c r="HZ643" i="59"/>
  <c r="GK643" i="59"/>
  <c r="FM643" i="59"/>
  <c r="FE643" i="59"/>
  <c r="IE641" i="59"/>
  <c r="HY641" i="59"/>
  <c r="HT641" i="59"/>
  <c r="HS641" i="59"/>
  <c r="HL641" i="59"/>
  <c r="HG641" i="59"/>
  <c r="HD641" i="59"/>
  <c r="GW641" i="59"/>
  <c r="GR641" i="59"/>
  <c r="GQ641" i="59"/>
  <c r="GI641" i="59"/>
  <c r="GC641" i="59"/>
  <c r="GB641" i="59"/>
  <c r="FU641" i="59"/>
  <c r="FP641" i="59"/>
  <c r="FM641" i="59"/>
  <c r="FG641" i="59"/>
  <c r="FA641" i="59"/>
  <c r="EZ641" i="59"/>
  <c r="DB641" i="59"/>
  <c r="HY640" i="59"/>
  <c r="JO639" i="59"/>
  <c r="HX639" i="59"/>
  <c r="HH639" i="59"/>
  <c r="GR639" i="59"/>
  <c r="GN639" i="59"/>
  <c r="FS639" i="59"/>
  <c r="FG639" i="59"/>
  <c r="FA639" i="59"/>
  <c r="CS638" i="59"/>
  <c r="AR638" i="59"/>
  <c r="HS637" i="59"/>
  <c r="HO637" i="59"/>
  <c r="HD637" i="59"/>
  <c r="GX637" i="59"/>
  <c r="GT637" i="59"/>
  <c r="GI637" i="59"/>
  <c r="GB637" i="59"/>
  <c r="FX637" i="59"/>
  <c r="FN637" i="59"/>
  <c r="FG637" i="59"/>
  <c r="FC637" i="59"/>
  <c r="BW637" i="59"/>
  <c r="JO635" i="59"/>
  <c r="GI635" i="59"/>
  <c r="GH635" i="59"/>
  <c r="GV634" i="59"/>
  <c r="AG634" i="59"/>
  <c r="JN633" i="59"/>
  <c r="HW633" i="59"/>
  <c r="HV633" i="59"/>
  <c r="HO633" i="59"/>
  <c r="HN633" i="59"/>
  <c r="HG633" i="59"/>
  <c r="HF633" i="59"/>
  <c r="GY633" i="59"/>
  <c r="GX633" i="59"/>
  <c r="GQ633" i="59"/>
  <c r="GP633" i="59"/>
  <c r="GI633" i="59"/>
  <c r="GH633" i="59"/>
  <c r="GA633" i="59"/>
  <c r="FZ633" i="59"/>
  <c r="FS633" i="59"/>
  <c r="FR633" i="59"/>
  <c r="FK633" i="59"/>
  <c r="FJ633" i="59"/>
  <c r="FC633" i="59"/>
  <c r="FB633" i="59"/>
  <c r="BT633" i="59"/>
  <c r="JM631" i="59"/>
  <c r="FL630" i="59"/>
  <c r="CO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JN647" i="59" l="1"/>
  <c r="HW647" i="59"/>
  <c r="FK647" i="59"/>
  <c r="HY647" i="59"/>
  <c r="FM647" i="59"/>
  <c r="HB647" i="59"/>
  <c r="JN643" i="59"/>
  <c r="HI643" i="59"/>
  <c r="GC643" i="59"/>
  <c r="HQ643" i="59"/>
  <c r="GD643" i="59"/>
  <c r="EW643" i="59"/>
  <c r="HS639" i="59"/>
  <c r="GW639" i="59"/>
  <c r="GC639" i="59"/>
  <c r="FL639" i="59"/>
  <c r="HT639" i="59"/>
  <c r="HC639" i="59"/>
  <c r="GG639" i="59"/>
  <c r="FQ639" i="59"/>
  <c r="EW639" i="59"/>
  <c r="HZ635" i="59"/>
  <c r="HC635" i="59"/>
  <c r="FM635" i="59"/>
  <c r="HE635" i="59"/>
  <c r="FN635" i="59"/>
  <c r="GC665" i="59"/>
  <c r="HC665" i="59"/>
  <c r="GV661" i="59"/>
  <c r="FL661" i="59"/>
  <c r="EZ661" i="59"/>
  <c r="GD661" i="59"/>
  <c r="HU657" i="59"/>
  <c r="GJ657" i="59"/>
  <c r="FH657" i="59"/>
  <c r="GS657" i="59"/>
  <c r="HQ653" i="59"/>
  <c r="FL653" i="59"/>
  <c r="GW653" i="59"/>
  <c r="HZ653" i="59"/>
  <c r="FU653" i="59"/>
  <c r="HW649" i="59"/>
  <c r="HL649" i="59"/>
  <c r="HC649" i="59"/>
  <c r="GS649" i="59"/>
  <c r="GI649" i="59"/>
  <c r="GA649" i="59"/>
  <c r="FQ649" i="59"/>
  <c r="FG649" i="59"/>
  <c r="EW649" i="59"/>
  <c r="GG649" i="59"/>
  <c r="FX649" i="59"/>
  <c r="FM649" i="59"/>
  <c r="EV649" i="59"/>
  <c r="HX649" i="59"/>
  <c r="HO649" i="59"/>
  <c r="HD649" i="59"/>
  <c r="GV649" i="59"/>
  <c r="GM649" i="59"/>
  <c r="GB649" i="59"/>
  <c r="FS649" i="59"/>
  <c r="FK649" i="59"/>
  <c r="EZ649" i="59"/>
  <c r="HS649" i="59"/>
  <c r="HI649" i="59"/>
  <c r="HA649" i="59"/>
  <c r="GQ649" i="59"/>
  <c r="FE649" i="59"/>
  <c r="HY645" i="59"/>
  <c r="HP645" i="59"/>
  <c r="HF645" i="59"/>
  <c r="GV645" i="59"/>
  <c r="GN645" i="59"/>
  <c r="GD645" i="59"/>
  <c r="FT645" i="59"/>
  <c r="FJ645" i="59"/>
  <c r="FB645" i="59"/>
  <c r="IB645" i="59"/>
  <c r="HQ645" i="59"/>
  <c r="HI645" i="59"/>
  <c r="GZ645" i="59"/>
  <c r="GO645" i="59"/>
  <c r="GF645" i="59"/>
  <c r="FX645" i="59"/>
  <c r="FM645" i="59"/>
  <c r="FD645" i="59"/>
  <c r="HV645" i="59"/>
  <c r="HN645" i="59"/>
  <c r="HD645" i="59"/>
  <c r="GT645" i="59"/>
  <c r="GK645" i="59"/>
  <c r="FZ645" i="59"/>
  <c r="FR645" i="59"/>
  <c r="GT644" i="59"/>
  <c r="FC644" i="59"/>
  <c r="IB641" i="59"/>
  <c r="HW641" i="59"/>
  <c r="HO641" i="59"/>
  <c r="HH641" i="59"/>
  <c r="HA641" i="59"/>
  <c r="GS641" i="59"/>
  <c r="GM641" i="59"/>
  <c r="GF641" i="59"/>
  <c r="FX641" i="59"/>
  <c r="FQ641" i="59"/>
  <c r="FK641" i="59"/>
  <c r="FC641" i="59"/>
  <c r="EV641" i="59"/>
  <c r="HX641" i="59"/>
  <c r="HQ641" i="59"/>
  <c r="HI641" i="59"/>
  <c r="HC641" i="59"/>
  <c r="GV641" i="59"/>
  <c r="GN641" i="59"/>
  <c r="GG641" i="59"/>
  <c r="GA641" i="59"/>
  <c r="FS641" i="59"/>
  <c r="FL641" i="59"/>
  <c r="FE641" i="59"/>
  <c r="EW641" i="59"/>
  <c r="GK640" i="59"/>
  <c r="GS640" i="59"/>
  <c r="IB637" i="59"/>
  <c r="HX637" i="59"/>
  <c r="HJ637" i="59"/>
  <c r="GY637" i="59"/>
  <c r="GN637" i="59"/>
  <c r="GD637" i="59"/>
  <c r="FS637" i="59"/>
  <c r="FH637" i="59"/>
  <c r="EV637" i="59"/>
  <c r="HN637" i="59"/>
  <c r="HC637" i="59"/>
  <c r="GR637" i="59"/>
  <c r="GH637" i="59"/>
  <c r="FW637" i="59"/>
  <c r="FL637" i="59"/>
  <c r="FB637" i="59"/>
  <c r="HS635" i="59"/>
  <c r="HZ633" i="59"/>
  <c r="HR633" i="59"/>
  <c r="HJ633" i="59"/>
  <c r="HB633" i="59"/>
  <c r="GT633" i="59"/>
  <c r="GL633" i="59"/>
  <c r="GD633" i="59"/>
  <c r="FV633" i="59"/>
  <c r="FN633" i="59"/>
  <c r="FF633" i="59"/>
  <c r="EX633" i="59"/>
  <c r="HS633" i="59"/>
  <c r="HK633" i="59"/>
  <c r="HC633" i="59"/>
  <c r="GU633" i="59"/>
  <c r="GM633" i="59"/>
  <c r="GE633" i="59"/>
  <c r="FW633" i="59"/>
  <c r="FO633" i="59"/>
  <c r="FG633" i="59"/>
  <c r="EY633" i="59"/>
  <c r="HA631" i="59"/>
  <c r="GG630" i="59"/>
  <c r="DA635" i="59"/>
  <c r="FR637" i="59"/>
  <c r="GM637" i="59"/>
  <c r="HH637" i="59"/>
  <c r="GB639" i="59"/>
  <c r="HI639" i="59"/>
  <c r="FH641" i="59"/>
  <c r="FW641" i="59"/>
  <c r="GK641" i="59"/>
  <c r="GY641" i="59"/>
  <c r="HM641" i="59"/>
  <c r="HA643" i="59"/>
  <c r="EX645" i="59"/>
  <c r="FY645" i="59"/>
  <c r="HJ645" i="59"/>
  <c r="GH647" i="59"/>
  <c r="FU649" i="59"/>
  <c r="HH649" i="59"/>
  <c r="GO653" i="59"/>
  <c r="JO652" i="59"/>
  <c r="BT630" i="59"/>
  <c r="IV630" i="59"/>
  <c r="FE634" i="59"/>
  <c r="GK636" i="59"/>
  <c r="EX637" i="59"/>
  <c r="FD637" i="59"/>
  <c r="FJ637" i="59"/>
  <c r="FO637" i="59"/>
  <c r="FT637" i="59"/>
  <c r="FZ637" i="59"/>
  <c r="GE637" i="59"/>
  <c r="GJ637" i="59"/>
  <c r="GP637" i="59"/>
  <c r="GU637" i="59"/>
  <c r="GZ637" i="59"/>
  <c r="HF637" i="59"/>
  <c r="HK637" i="59"/>
  <c r="HP637" i="59"/>
  <c r="HV637" i="59"/>
  <c r="IA637" i="59"/>
  <c r="HT637" i="59"/>
  <c r="HZ637" i="59"/>
  <c r="EY637" i="59"/>
  <c r="EZ637" i="59"/>
  <c r="FF637" i="59"/>
  <c r="FK637" i="59"/>
  <c r="FP637" i="59"/>
  <c r="FV637" i="59"/>
  <c r="GA637" i="59"/>
  <c r="GF637" i="59"/>
  <c r="GL637" i="59"/>
  <c r="GQ637" i="59"/>
  <c r="GV637" i="59"/>
  <c r="HB637" i="59"/>
  <c r="HG637" i="59"/>
  <c r="HL637" i="59"/>
  <c r="HR637" i="59"/>
  <c r="HW637" i="59"/>
  <c r="K636" i="59"/>
  <c r="L636" i="59" s="1"/>
  <c r="FK636" i="59"/>
  <c r="HG636" i="59"/>
  <c r="FP636" i="59"/>
  <c r="IB636" i="59"/>
  <c r="FB635" i="59"/>
  <c r="FW635" i="59"/>
  <c r="GS635" i="59"/>
  <c r="HO635" i="59"/>
  <c r="FC635" i="59"/>
  <c r="FY635" i="59"/>
  <c r="GT635" i="59"/>
  <c r="EW635" i="59"/>
  <c r="HY635" i="59"/>
  <c r="FG635" i="59"/>
  <c r="FR635" i="59"/>
  <c r="GC635" i="59"/>
  <c r="GM635" i="59"/>
  <c r="GX635" i="59"/>
  <c r="HI635" i="59"/>
  <c r="EX635" i="59"/>
  <c r="FI635" i="59"/>
  <c r="FS635" i="59"/>
  <c r="GD635" i="59"/>
  <c r="GO635" i="59"/>
  <c r="GY635" i="59"/>
  <c r="HN635" i="59"/>
  <c r="JM634" i="59"/>
  <c r="BC634" i="59"/>
  <c r="JJ633" i="59"/>
  <c r="IA633"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B633"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HS632" i="59"/>
  <c r="FE631" i="59"/>
  <c r="FU631" i="59"/>
  <c r="HQ631" i="59"/>
  <c r="HW632" i="59"/>
  <c r="FK632" i="59"/>
  <c r="GQ632" i="59"/>
  <c r="FW632" i="59"/>
  <c r="HC632" i="59"/>
  <c r="AI632" i="59"/>
  <c r="GA632" i="59"/>
  <c r="HG632" i="59"/>
  <c r="FG632" i="59"/>
  <c r="GM632" i="59"/>
  <c r="GK631" i="59"/>
  <c r="JJ631" i="59"/>
  <c r="EW631" i="59"/>
  <c r="FM631" i="59"/>
  <c r="GC631" i="59"/>
  <c r="GS631" i="59"/>
  <c r="HI631" i="59"/>
  <c r="HY631" i="59"/>
  <c r="AD631" i="59"/>
  <c r="FF631" i="59"/>
  <c r="FV631" i="59"/>
  <c r="GL631" i="59"/>
  <c r="HB631" i="59"/>
  <c r="HR631" i="59"/>
  <c r="JN631" i="59"/>
  <c r="EX631" i="59"/>
  <c r="FN631" i="59"/>
  <c r="GD631" i="59"/>
  <c r="GT631" i="59"/>
  <c r="HJ631" i="59"/>
  <c r="HZ631" i="59"/>
  <c r="BJ631" i="59"/>
  <c r="FI631" i="59"/>
  <c r="FQ631" i="59"/>
  <c r="FY631" i="59"/>
  <c r="GG631" i="59"/>
  <c r="GO631" i="59"/>
  <c r="GW631" i="59"/>
  <c r="HE631" i="59"/>
  <c r="HM631" i="59"/>
  <c r="HU631" i="59"/>
  <c r="JI631" i="59"/>
  <c r="FA631" i="59"/>
  <c r="CP631" i="59"/>
  <c r="FB631" i="59"/>
  <c r="FJ631" i="59"/>
  <c r="FR631" i="59"/>
  <c r="FZ631" i="59"/>
  <c r="GH631" i="59"/>
  <c r="GP631" i="59"/>
  <c r="GX631" i="59"/>
  <c r="HF631" i="59"/>
  <c r="HN631" i="59"/>
  <c r="HV631" i="59"/>
  <c r="HC630" i="59"/>
  <c r="EO630" i="59"/>
  <c r="AC630" i="59"/>
  <c r="DM630" i="59"/>
  <c r="AY630" i="59"/>
  <c r="V526" i="59"/>
  <c r="IQ630" i="59"/>
  <c r="BQ659" i="59"/>
  <c r="CL659" i="59"/>
  <c r="AL655" i="59"/>
  <c r="K645" i="59"/>
  <c r="L645" i="59" s="1"/>
  <c r="HJ638" i="59"/>
  <c r="A632" i="59"/>
  <c r="BE631" i="59"/>
  <c r="IK631" i="59"/>
  <c r="CQ660" i="59"/>
  <c r="BU647" i="59"/>
  <c r="W636" i="59"/>
  <c r="DA633" i="59"/>
  <c r="DA631" i="59"/>
  <c r="M750" i="59"/>
  <c r="I750" i="59"/>
  <c r="H777" i="59"/>
  <c r="P789" i="59"/>
  <c r="GQ647" i="59"/>
  <c r="FQ657" i="59"/>
  <c r="K630" i="59"/>
  <c r="L630" i="59" s="1"/>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L694" i="59"/>
  <c r="I694" i="59"/>
  <c r="H726" i="59"/>
  <c r="J727" i="59"/>
  <c r="J730" i="59"/>
  <c r="K70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09" i="59" l="1"/>
  <c r="P809" i="59"/>
  <c r="P810" i="59" s="1"/>
  <c r="N803" i="59" s="1"/>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E933" i="59"/>
  <c r="C933" i="59"/>
  <c r="D933" i="59"/>
  <c r="B933" i="59"/>
  <c r="D927" i="59"/>
  <c r="E927" i="59"/>
  <c r="E119" i="8"/>
  <c r="E936" i="59" s="1"/>
  <c r="E928"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F35" i="15" s="1"/>
  <c r="F433" i="59" s="1"/>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F36" i="15"/>
  <c r="F434" i="59" s="1"/>
  <c r="F37" i="15"/>
  <c r="F435" i="59" s="1"/>
  <c r="S130" i="15"/>
  <c r="F113" i="15"/>
  <c r="F115" i="15"/>
  <c r="F114" i="15"/>
  <c r="C135" i="55"/>
  <c r="L59" i="4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845" i="59"/>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1012" i="59" l="1"/>
  <c r="K904" i="59"/>
  <c r="G904" i="59"/>
  <c r="C904" i="59"/>
  <c r="I875" i="59"/>
  <c r="F904" i="59"/>
  <c r="B904" i="59"/>
  <c r="H875" i="59"/>
  <c r="I904" i="59"/>
  <c r="J904" i="59"/>
  <c r="E904" i="59"/>
  <c r="K875" i="59"/>
  <c r="G875" i="59"/>
  <c r="H904" i="59"/>
  <c r="D904" i="59"/>
  <c r="J875" i="59"/>
  <c r="F875" i="59"/>
  <c r="G34" i="51"/>
  <c r="C875" i="59"/>
  <c r="U1" i="36"/>
  <c r="A621" i="59"/>
  <c r="T621" i="59" s="1"/>
  <c r="F34" i="51"/>
  <c r="B875" i="59"/>
  <c r="J326" i="11"/>
  <c r="J1699" i="59" s="1"/>
  <c r="I1625" i="59"/>
  <c r="P1001" i="59"/>
  <c r="I390" i="59"/>
  <c r="W1" i="15"/>
  <c r="A399" i="59"/>
  <c r="W399" i="59" s="1"/>
  <c r="P46" i="6"/>
  <c r="P996" i="59" s="1"/>
  <c r="K353" i="11"/>
  <c r="K1726" i="59" s="1"/>
  <c r="O626" i="59"/>
  <c r="M626" i="59"/>
  <c r="O36" i="59"/>
  <c r="I34" i="51"/>
  <c r="E875" i="59"/>
  <c r="J149" i="15"/>
  <c r="J151" i="15" s="1"/>
  <c r="E3" i="51"/>
  <c r="D55" i="51" s="1"/>
  <c r="H326" i="11"/>
  <c r="H1699" i="59" s="1"/>
  <c r="F47" i="15"/>
  <c r="H34" i="51"/>
  <c r="D875" i="59"/>
  <c r="K59" i="50"/>
  <c r="G59" i="50"/>
  <c r="E59" i="50"/>
  <c r="I59" i="50"/>
  <c r="K60" i="50"/>
  <c r="G60" i="50"/>
  <c r="I60" i="50"/>
  <c r="E60" i="50"/>
  <c r="E62" i="50" s="1"/>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45" i="6"/>
  <c r="G61" i="6"/>
  <c r="L67" i="6"/>
  <c r="L60" i="6"/>
  <c r="G57" i="6"/>
  <c r="L46" i="6"/>
  <c r="L58" i="6"/>
  <c r="G65" i="6"/>
  <c r="G1015" i="59" s="1"/>
  <c r="G52" i="6"/>
  <c r="G1002" i="59" s="1"/>
  <c r="L53" i="6"/>
  <c r="L43" i="6"/>
  <c r="G45" i="6"/>
  <c r="G995" i="59" s="1"/>
  <c r="G64" i="6"/>
  <c r="G1014" i="59" s="1"/>
  <c r="G53" i="6"/>
  <c r="G1003" i="59" s="1"/>
  <c r="G58" i="6"/>
  <c r="G43" i="6"/>
  <c r="G993" i="59" s="1"/>
  <c r="L44" i="6"/>
  <c r="L51" i="6"/>
  <c r="L59" i="6"/>
  <c r="G66" i="6"/>
  <c r="G1016" i="59" s="1"/>
  <c r="L66" i="6"/>
  <c r="G59" i="6"/>
  <c r="L65" i="6"/>
  <c r="G46" i="6"/>
  <c r="G996" i="59" s="1"/>
  <c r="L54" i="6"/>
  <c r="L61"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K62" i="50" l="1"/>
  <c r="I62" i="50"/>
  <c r="G44" i="6"/>
  <c r="G994" i="59" s="1"/>
  <c r="G62" i="50"/>
  <c r="L326" i="11"/>
  <c r="I35" i="51"/>
  <c r="H55" i="51"/>
  <c r="C35" i="51"/>
  <c r="E35" i="51"/>
  <c r="G35" i="51"/>
  <c r="C55" i="51"/>
  <c r="D15" i="51"/>
  <c r="L1699"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F35" i="51"/>
  <c r="E15" i="51"/>
  <c r="O16" i="51"/>
  <c r="O17" i="51"/>
  <c r="G55" i="51"/>
  <c r="H67" i="6"/>
  <c r="H1017" i="59" s="1"/>
  <c r="F1017" i="59"/>
  <c r="F998" i="59"/>
  <c r="N51" i="6"/>
  <c r="N1001" i="59" s="1"/>
  <c r="L1001" i="59"/>
  <c r="N46" i="6"/>
  <c r="N996" i="59" s="1"/>
  <c r="L996" i="59"/>
  <c r="N45" i="6"/>
  <c r="N995" i="59" s="1"/>
  <c r="L995" i="59"/>
  <c r="F15" i="51"/>
  <c r="E55" i="51"/>
  <c r="C15" i="51"/>
  <c r="F55" i="51"/>
  <c r="L1626" i="59"/>
  <c r="I1626" i="59"/>
  <c r="H65" i="6"/>
  <c r="H1015" i="59" s="1"/>
  <c r="F1015" i="59"/>
  <c r="H66" i="6"/>
  <c r="H1016" i="59" s="1"/>
  <c r="F1016" i="59"/>
  <c r="N68" i="6"/>
  <c r="N1018" i="59" s="1"/>
  <c r="L1018" i="59"/>
  <c r="N66" i="6"/>
  <c r="N1016" i="59" s="1"/>
  <c r="L1016" i="59"/>
  <c r="I58" i="6"/>
  <c r="I1008" i="59" s="1"/>
  <c r="G1008" i="59"/>
  <c r="H51" i="6"/>
  <c r="H1001" i="59" s="1"/>
  <c r="F1001" i="59"/>
  <c r="H52" i="6"/>
  <c r="H1002" i="59" s="1"/>
  <c r="F1002" i="59"/>
  <c r="L47" i="6"/>
  <c r="G67" i="6"/>
  <c r="G1017" i="59" s="1"/>
  <c r="L52" i="6"/>
  <c r="G54" i="6"/>
  <c r="G1004" i="59" s="1"/>
  <c r="G68" i="6"/>
  <c r="G1018" i="59" s="1"/>
  <c r="L57" i="6"/>
  <c r="L64" i="6"/>
  <c r="G47" i="6"/>
  <c r="G997" i="59" s="1"/>
  <c r="G60" i="6"/>
  <c r="G51" i="6"/>
  <c r="G1001" i="59" s="1"/>
  <c r="D35" i="51"/>
  <c r="H35" i="51"/>
  <c r="H15" i="51"/>
  <c r="G15" i="51"/>
  <c r="I15" i="51"/>
  <c r="Q646" i="59"/>
  <c r="Q661" i="59"/>
  <c r="Q635" i="59"/>
  <c r="Q657" i="59"/>
  <c r="Q658" i="59"/>
  <c r="Q630"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63" i="59"/>
  <c r="Q659" i="59"/>
  <c r="Q643" i="59"/>
  <c r="Q650" i="59"/>
  <c r="Q641" i="59"/>
  <c r="Q656" i="59"/>
  <c r="Q640" i="59"/>
  <c r="Q633" i="59"/>
  <c r="Q654" i="59"/>
  <c r="H54" i="6"/>
  <c r="H1004" i="59" s="1"/>
  <c r="F1004" i="59"/>
  <c r="N61" i="6"/>
  <c r="N1011" i="59" s="1"/>
  <c r="L1011" i="59"/>
  <c r="N65" i="6"/>
  <c r="N1015" i="59" s="1"/>
  <c r="L1015" i="59"/>
  <c r="N44" i="6"/>
  <c r="N994" i="59" s="1"/>
  <c r="L994" i="59"/>
  <c r="N43" i="6"/>
  <c r="N993" i="59" s="1"/>
  <c r="L993" i="59"/>
  <c r="I57" i="6"/>
  <c r="I1007" i="59" s="1"/>
  <c r="G1007" i="59"/>
  <c r="N67" i="6"/>
  <c r="N1017" i="59" s="1"/>
  <c r="L1017" i="59"/>
  <c r="P382" i="59"/>
  <c r="P381" i="59"/>
  <c r="I391" i="59"/>
  <c r="J18" i="50"/>
  <c r="F56" i="54"/>
  <c r="D39" i="55"/>
  <c r="I58" i="59"/>
  <c r="I57" i="59" s="1"/>
  <c r="I51" i="7"/>
  <c r="C52" i="50"/>
  <c r="C101" i="8"/>
  <c r="C918" i="59" s="1"/>
  <c r="F101" i="8"/>
  <c r="F918" i="59" s="1"/>
  <c r="B101" i="8"/>
  <c r="B918" i="59" s="1"/>
  <c r="D101" i="8"/>
  <c r="D918" i="59" s="1"/>
  <c r="E101" i="8"/>
  <c r="E918" i="59" s="1"/>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D8" i="53"/>
  <c r="E8" i="53" s="1"/>
  <c r="H7" i="53"/>
  <c r="D7" i="53"/>
  <c r="D10" i="53"/>
  <c r="E10" i="53" s="1"/>
  <c r="H10" i="53"/>
  <c r="I10" i="53" s="1"/>
  <c r="D11" i="53"/>
  <c r="E11" i="53" s="1"/>
  <c r="H11" i="53"/>
  <c r="I11" i="53" s="1"/>
  <c r="I253" i="11"/>
  <c r="O239" i="11" s="1"/>
  <c r="O1612" i="59" s="1"/>
  <c r="K14" i="8"/>
  <c r="K831" i="59" s="1"/>
  <c r="M66" i="36"/>
  <c r="H53" i="7"/>
  <c r="M58" i="36"/>
  <c r="L1661" i="59" s="1"/>
  <c r="H54" i="7"/>
  <c r="H60" i="59" s="1"/>
  <c r="P54" i="7"/>
  <c r="P60" i="59" s="1"/>
  <c r="F72" i="8"/>
  <c r="F889" i="59" s="1"/>
  <c r="I43" i="8"/>
  <c r="I860" i="59" s="1"/>
  <c r="M70" i="36"/>
  <c r="H56" i="7"/>
  <c r="H62" i="59" s="1"/>
  <c r="M77" i="36"/>
  <c r="M80" i="36"/>
  <c r="D72" i="8"/>
  <c r="D889" i="59" s="1"/>
  <c r="D14" i="8"/>
  <c r="D831" i="59" s="1"/>
  <c r="B72" i="8"/>
  <c r="B889" i="59" s="1"/>
  <c r="J43" i="8"/>
  <c r="J860" i="59" s="1"/>
  <c r="H14" i="8"/>
  <c r="H831" i="59" s="1"/>
  <c r="E72" i="8"/>
  <c r="E889" i="59" s="1"/>
  <c r="F43" i="8"/>
  <c r="F860" i="59" s="1"/>
  <c r="B43" i="8"/>
  <c r="B860" i="59" s="1"/>
  <c r="G14" i="8"/>
  <c r="G831" i="59" s="1"/>
  <c r="E43" i="8"/>
  <c r="E860" i="59" s="1"/>
  <c r="I72" i="8"/>
  <c r="I889" i="59" s="1"/>
  <c r="C14" i="8"/>
  <c r="C831" i="59" s="1"/>
  <c r="J72" i="8"/>
  <c r="J889" i="59" s="1"/>
  <c r="J14" i="8"/>
  <c r="J831" i="59" s="1"/>
  <c r="C43" i="8"/>
  <c r="C860" i="59" s="1"/>
  <c r="K43" i="8"/>
  <c r="K860" i="59" s="1"/>
  <c r="G72" i="8"/>
  <c r="G889" i="59" s="1"/>
  <c r="B15" i="8"/>
  <c r="E14" i="8"/>
  <c r="E831" i="59" s="1"/>
  <c r="H43" i="8"/>
  <c r="H860" i="59" s="1"/>
  <c r="H72" i="8"/>
  <c r="H889" i="59" s="1"/>
  <c r="F14" i="8"/>
  <c r="F831" i="59" s="1"/>
  <c r="G43" i="8"/>
  <c r="G860" i="59" s="1"/>
  <c r="C72" i="8"/>
  <c r="C889" i="59" s="1"/>
  <c r="K72" i="8"/>
  <c r="K889" i="59" s="1"/>
  <c r="I14" i="8"/>
  <c r="I831" i="59" s="1"/>
  <c r="D43" i="8"/>
  <c r="D860" i="59" s="1"/>
  <c r="P45" i="3"/>
  <c r="P47" i="3" s="1"/>
  <c r="I55" i="3"/>
  <c r="M74" i="36"/>
  <c r="E845" i="59"/>
  <c r="M116" i="36"/>
  <c r="P51" i="7" s="1"/>
  <c r="H118" i="36"/>
  <c r="B832" i="59" l="1"/>
  <c r="M60" i="36"/>
  <c r="F441" i="59" s="1"/>
  <c r="F1019" i="59"/>
  <c r="M62" i="36"/>
  <c r="E498" i="59" s="1"/>
  <c r="I998" i="59"/>
  <c r="P383" i="59"/>
  <c r="O19" i="51"/>
  <c r="O23" i="51" s="1"/>
  <c r="O25" i="51" s="1"/>
  <c r="O31" i="51" s="1"/>
  <c r="I215" i="11"/>
  <c r="I1588" i="59"/>
  <c r="I1019" i="59"/>
  <c r="I60" i="6"/>
  <c r="G1010" i="59"/>
  <c r="N47" i="6"/>
  <c r="L997" i="59"/>
  <c r="H50" i="6"/>
  <c r="H1000" i="59" s="1"/>
  <c r="F1000" i="59"/>
  <c r="F1005" i="59" s="1"/>
  <c r="N64" i="6"/>
  <c r="L1014" i="59"/>
  <c r="N52" i="6"/>
  <c r="N1002" i="59" s="1"/>
  <c r="L1002" i="59"/>
  <c r="L288" i="11"/>
  <c r="N57" i="6"/>
  <c r="L1007" i="59"/>
  <c r="P57" i="59"/>
  <c r="P59" i="59" s="1"/>
  <c r="P61" i="59" s="1"/>
  <c r="P66" i="59" s="1"/>
  <c r="P53" i="7"/>
  <c r="P55" i="7" s="1"/>
  <c r="P60" i="7" s="1"/>
  <c r="P441" i="59" s="1"/>
  <c r="H51" i="7"/>
  <c r="H55" i="7" s="1"/>
  <c r="H57" i="7" s="1"/>
  <c r="H59" i="59"/>
  <c r="H57" i="59" s="1"/>
  <c r="H61" i="59" s="1"/>
  <c r="H63" i="59" s="1"/>
  <c r="D12" i="53"/>
  <c r="H12" i="53"/>
  <c r="K52" i="50"/>
  <c r="G52" i="50"/>
  <c r="I52" i="50"/>
  <c r="E52" i="50"/>
  <c r="L34" i="11"/>
  <c r="L1407" i="59" s="1"/>
  <c r="E102" i="8"/>
  <c r="D102" i="8"/>
  <c r="C102" i="8"/>
  <c r="B102" i="8"/>
  <c r="F102" i="8"/>
  <c r="L307" i="11"/>
  <c r="L308" i="11" s="1"/>
  <c r="K34" i="11"/>
  <c r="K1407" i="59" s="1"/>
  <c r="F55" i="6"/>
  <c r="F71" i="6" s="1"/>
  <c r="I69" i="6"/>
  <c r="L50" i="6"/>
  <c r="G50" i="6"/>
  <c r="I48" i="6"/>
  <c r="I7" i="53"/>
  <c r="I13" i="53" s="1"/>
  <c r="E7" i="53"/>
  <c r="E13" i="53" s="1"/>
  <c r="K73" i="8"/>
  <c r="C53" i="50"/>
  <c r="D13" i="50"/>
  <c r="C13" i="50"/>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845" i="59"/>
  <c r="M118" i="36"/>
  <c r="F442" i="59" s="1"/>
  <c r="H120" i="36"/>
  <c r="M120" i="36" s="1"/>
  <c r="P172" i="36" l="1"/>
  <c r="B837" i="59"/>
  <c r="P792" i="59"/>
  <c r="J43" i="15"/>
  <c r="L303" i="11"/>
  <c r="L304" i="11" s="1"/>
  <c r="D132" i="15"/>
  <c r="J182" i="36"/>
  <c r="I216" i="11"/>
  <c r="I214" i="11"/>
  <c r="N183" i="36"/>
  <c r="P181" i="36" s="1"/>
  <c r="C66" i="50" s="1"/>
  <c r="J441" i="59"/>
  <c r="I1587" i="59"/>
  <c r="L1680" i="59"/>
  <c r="L1681" i="59" s="1"/>
  <c r="E100" i="15"/>
  <c r="F122" i="15"/>
  <c r="J183" i="36"/>
  <c r="P73" i="7"/>
  <c r="P79" i="59" s="1"/>
  <c r="F52" i="54"/>
  <c r="I288" i="11"/>
  <c r="D530" i="59"/>
  <c r="N174" i="36"/>
  <c r="J184" i="36"/>
  <c r="P76" i="7"/>
  <c r="P82" i="59" s="1"/>
  <c r="F520" i="59"/>
  <c r="F1021" i="59"/>
  <c r="I1589" i="59"/>
  <c r="I1661" i="59"/>
  <c r="L1676" i="59"/>
  <c r="L1677" i="59" s="1"/>
  <c r="B74" i="8"/>
  <c r="B891" i="59" s="1"/>
  <c r="B890" i="59"/>
  <c r="I16" i="8"/>
  <c r="I833" i="59" s="1"/>
  <c r="I832" i="59"/>
  <c r="G16" i="8"/>
  <c r="G833" i="59" s="1"/>
  <c r="G832" i="59"/>
  <c r="N50" i="6"/>
  <c r="L1000" i="59"/>
  <c r="B103" i="8"/>
  <c r="B920" i="59" s="1"/>
  <c r="B919" i="59"/>
  <c r="P802" i="59"/>
  <c r="P801" i="59" s="1"/>
  <c r="M550" i="59"/>
  <c r="M551" i="59" s="1"/>
  <c r="M553" i="59" s="1"/>
  <c r="G45" i="8"/>
  <c r="G862" i="59" s="1"/>
  <c r="G861" i="59"/>
  <c r="K16" i="8"/>
  <c r="K833" i="59" s="1"/>
  <c r="K832" i="59"/>
  <c r="E74" i="8"/>
  <c r="E891" i="59" s="1"/>
  <c r="E890" i="59"/>
  <c r="F16" i="8"/>
  <c r="F833" i="59" s="1"/>
  <c r="F832" i="59"/>
  <c r="K7" i="8"/>
  <c r="B833" i="59"/>
  <c r="D74" i="8"/>
  <c r="D891" i="59" s="1"/>
  <c r="D890" i="59"/>
  <c r="K45" i="8"/>
  <c r="K862" i="59" s="1"/>
  <c r="K861" i="59"/>
  <c r="B45" i="8"/>
  <c r="B862" i="59" s="1"/>
  <c r="B861" i="59"/>
  <c r="F74" i="8"/>
  <c r="F891" i="59" s="1"/>
  <c r="F890" i="59"/>
  <c r="C45" i="8"/>
  <c r="C862" i="59" s="1"/>
  <c r="C861" i="59"/>
  <c r="C103" i="8"/>
  <c r="C920" i="59" s="1"/>
  <c r="C919" i="59"/>
  <c r="J550" i="59"/>
  <c r="J551" i="59" s="1"/>
  <c r="J553" i="59" s="1"/>
  <c r="N997" i="59"/>
  <c r="N998" i="59" s="1"/>
  <c r="N48" i="6"/>
  <c r="E16" i="8"/>
  <c r="E833" i="59" s="1"/>
  <c r="E832" i="59"/>
  <c r="H74" i="8"/>
  <c r="H891" i="59" s="1"/>
  <c r="H890" i="59"/>
  <c r="C16" i="8"/>
  <c r="C833" i="59" s="1"/>
  <c r="C832" i="59"/>
  <c r="J16" i="8"/>
  <c r="J833" i="59" s="1"/>
  <c r="J832" i="59"/>
  <c r="E45" i="8"/>
  <c r="E862" i="59" s="1"/>
  <c r="E861" i="59"/>
  <c r="I74" i="8"/>
  <c r="I891" i="59" s="1"/>
  <c r="I890" i="59"/>
  <c r="K74" i="8"/>
  <c r="K891" i="59" s="1"/>
  <c r="K890" i="59"/>
  <c r="D103" i="8"/>
  <c r="D920" i="59" s="1"/>
  <c r="D919" i="59"/>
  <c r="N1007" i="59"/>
  <c r="N1012" i="59" s="1"/>
  <c r="N62" i="6"/>
  <c r="P550" i="59"/>
  <c r="P551" i="59" s="1"/>
  <c r="P553" i="59" s="1"/>
  <c r="N1014" i="59"/>
  <c r="N1019" i="59" s="1"/>
  <c r="N69" i="6"/>
  <c r="H16" i="8"/>
  <c r="H833" i="59" s="1"/>
  <c r="H832" i="59"/>
  <c r="G74" i="8"/>
  <c r="G891" i="59" s="1"/>
  <c r="G890" i="59"/>
  <c r="D16" i="8"/>
  <c r="D833" i="59" s="1"/>
  <c r="D832" i="59"/>
  <c r="J442" i="59"/>
  <c r="G530" i="59"/>
  <c r="C74" i="8"/>
  <c r="C891" i="59" s="1"/>
  <c r="C890" i="59"/>
  <c r="H45" i="8"/>
  <c r="H862" i="59" s="1"/>
  <c r="H861" i="59"/>
  <c r="I45" i="8"/>
  <c r="I862" i="59" s="1"/>
  <c r="I861" i="59"/>
  <c r="F45" i="8"/>
  <c r="F862" i="59" s="1"/>
  <c r="F861" i="59"/>
  <c r="J45" i="8"/>
  <c r="J862" i="59" s="1"/>
  <c r="J861" i="59"/>
  <c r="D45" i="8"/>
  <c r="D862" i="59" s="1"/>
  <c r="D861" i="59"/>
  <c r="J74" i="8"/>
  <c r="J891" i="59" s="1"/>
  <c r="J890" i="59"/>
  <c r="I50" i="6"/>
  <c r="G1000" i="59"/>
  <c r="F103" i="8"/>
  <c r="F920" i="59" s="1"/>
  <c r="F919" i="59"/>
  <c r="E103" i="8"/>
  <c r="E920" i="59" s="1"/>
  <c r="E919" i="59"/>
  <c r="I1010" i="59"/>
  <c r="I1012" i="59" s="1"/>
  <c r="I62" i="6"/>
  <c r="P1605" i="59"/>
  <c r="J4" i="56"/>
  <c r="K18" i="53"/>
  <c r="H16" i="49"/>
  <c r="H19" i="50"/>
  <c r="K19" i="53"/>
  <c r="I39" i="53" s="1"/>
  <c r="K38" i="53" s="1"/>
  <c r="F16" i="49"/>
  <c r="I43" i="57"/>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D16" i="48"/>
  <c r="C19" i="50"/>
  <c r="J44" i="15"/>
  <c r="J152" i="15"/>
  <c r="J153" i="15" s="1"/>
  <c r="J155" i="15" s="1"/>
  <c r="P43" i="15"/>
  <c r="K5" i="8"/>
  <c r="F44" i="15"/>
  <c r="P152" i="15"/>
  <c r="P153" i="15" s="1"/>
  <c r="P155" i="15" s="1"/>
  <c r="M152" i="15"/>
  <c r="M153" i="15" s="1"/>
  <c r="M155" i="15" s="1"/>
  <c r="G845" i="59"/>
  <c r="G132" i="15"/>
  <c r="E20" i="8" l="1"/>
  <c r="E837" i="59" s="1"/>
  <c r="H78" i="8"/>
  <c r="H895" i="59" s="1"/>
  <c r="C49" i="8"/>
  <c r="C866" i="59" s="1"/>
  <c r="F107" i="8"/>
  <c r="F924" i="59" s="1"/>
  <c r="D78" i="8"/>
  <c r="D895" i="59" s="1"/>
  <c r="J49" i="8"/>
  <c r="J866" i="59" s="1"/>
  <c r="D20" i="8"/>
  <c r="D837" i="59" s="1"/>
  <c r="C78" i="8"/>
  <c r="C895" i="59" s="1"/>
  <c r="F78" i="8"/>
  <c r="F895" i="59" s="1"/>
  <c r="F20" i="8"/>
  <c r="F837" i="59" s="1"/>
  <c r="C20" i="8"/>
  <c r="C837" i="59" s="1"/>
  <c r="I20" i="8"/>
  <c r="I837" i="59" s="1"/>
  <c r="I78" i="8"/>
  <c r="I895" i="59" s="1"/>
  <c r="K78" i="8"/>
  <c r="K895" i="59" s="1"/>
  <c r="F49" i="8"/>
  <c r="F866" i="59" s="1"/>
  <c r="D107" i="8"/>
  <c r="D924" i="59" s="1"/>
  <c r="P798" i="59"/>
  <c r="N799" i="59" s="1"/>
  <c r="N794" i="59"/>
  <c r="N793" i="59"/>
  <c r="B49" i="8"/>
  <c r="B866" i="59" s="1"/>
  <c r="H20" i="8"/>
  <c r="H837" i="59" s="1"/>
  <c r="B107" i="8"/>
  <c r="B924" i="59" s="1"/>
  <c r="K20" i="8"/>
  <c r="K837" i="59" s="1"/>
  <c r="G78" i="8"/>
  <c r="G895" i="59" s="1"/>
  <c r="J78" i="8"/>
  <c r="J895" i="59" s="1"/>
  <c r="I49" i="8"/>
  <c r="I866" i="59" s="1"/>
  <c r="E49" i="8"/>
  <c r="E866" i="59" s="1"/>
  <c r="E78" i="8"/>
  <c r="E895" i="59" s="1"/>
  <c r="C107" i="8"/>
  <c r="C924" i="59" s="1"/>
  <c r="K49" i="8"/>
  <c r="K866" i="59" s="1"/>
  <c r="G49" i="8"/>
  <c r="G866" i="59" s="1"/>
  <c r="G20" i="8"/>
  <c r="G837" i="59" s="1"/>
  <c r="B78" i="8"/>
  <c r="B895" i="59" s="1"/>
  <c r="E107" i="8"/>
  <c r="E924" i="59" s="1"/>
  <c r="D49" i="8"/>
  <c r="D866" i="59" s="1"/>
  <c r="H49" i="8"/>
  <c r="H866" i="59" s="1"/>
  <c r="J20" i="8"/>
  <c r="J837" i="59" s="1"/>
  <c r="P178" i="36"/>
  <c r="C68" i="50"/>
  <c r="N173" i="36"/>
  <c r="E174" i="55"/>
  <c r="E175" i="55" s="1"/>
  <c r="J554" i="59"/>
  <c r="P373" i="11"/>
  <c r="P377" i="11" s="1"/>
  <c r="N55" i="6"/>
  <c r="N71" i="6" s="1"/>
  <c r="N1000" i="59"/>
  <c r="N1005" i="59" s="1"/>
  <c r="N1021" i="59" s="1"/>
  <c r="P1746" i="59"/>
  <c r="P1379" i="59" s="1"/>
  <c r="I55" i="6"/>
  <c r="I71" i="6" s="1"/>
  <c r="P60" i="6" s="1"/>
  <c r="P1010" i="59" s="1"/>
  <c r="P999" i="59" s="1"/>
  <c r="I1000" i="59"/>
  <c r="I1005" i="59" s="1"/>
  <c r="I1021" i="59" s="1"/>
  <c r="O373" i="11"/>
  <c r="O1403" i="59"/>
  <c r="O1746" i="59" s="1"/>
  <c r="O1379" i="59" s="1"/>
  <c r="F54" i="54"/>
  <c r="D33" i="55" s="1"/>
  <c r="D35" i="55" s="1"/>
  <c r="C34" i="57"/>
  <c r="I44" i="57" s="1"/>
  <c r="K21" i="53"/>
  <c r="K30" i="53" s="1"/>
  <c r="K34" i="53" s="1"/>
  <c r="K66" i="50"/>
  <c r="G66" i="50"/>
  <c r="I66" i="50"/>
  <c r="E66" i="50"/>
  <c r="B21" i="8"/>
  <c r="R30" i="11"/>
  <c r="J156" i="15"/>
  <c r="H845" i="59"/>
  <c r="P812" i="59" l="1"/>
  <c r="F517" i="59"/>
  <c r="B19" i="8"/>
  <c r="B35" i="8" s="1"/>
  <c r="B852" i="59" s="1"/>
  <c r="F120" i="15"/>
  <c r="F119" i="15"/>
  <c r="F518" i="59"/>
  <c r="N179" i="36"/>
  <c r="K68" i="50"/>
  <c r="K70" i="50" s="1"/>
  <c r="G68" i="50"/>
  <c r="I68" i="50"/>
  <c r="I70" i="50" s="1"/>
  <c r="I72" i="50" s="1"/>
  <c r="E68" i="50"/>
  <c r="E70" i="50" s="1"/>
  <c r="P192" i="36"/>
  <c r="G70" i="50"/>
  <c r="G72" i="50" s="1"/>
  <c r="C70" i="50"/>
  <c r="C76" i="50" s="1"/>
  <c r="C73" i="50" s="1"/>
  <c r="B838" i="59"/>
  <c r="P49" i="6"/>
  <c r="J160" i="15"/>
  <c r="J161" i="15" s="1"/>
  <c r="J559" i="59" s="1"/>
  <c r="J561" i="59" s="1"/>
  <c r="J563" i="59" s="1"/>
  <c r="J565" i="59" s="1"/>
  <c r="J567" i="59" s="1"/>
  <c r="M569" i="59" s="1"/>
  <c r="J558" i="59"/>
  <c r="K13" i="53"/>
  <c r="P1750" i="59"/>
  <c r="C50" i="8"/>
  <c r="C13" i="51"/>
  <c r="F79" i="8"/>
  <c r="E108" i="8"/>
  <c r="D108" i="8"/>
  <c r="C108" i="8"/>
  <c r="F108" i="8"/>
  <c r="B108" i="8"/>
  <c r="G50" i="8"/>
  <c r="B50" i="8"/>
  <c r="B79" i="8"/>
  <c r="E79" i="8"/>
  <c r="J50" i="8"/>
  <c r="H79" i="8"/>
  <c r="K21" i="8"/>
  <c r="H21" i="8"/>
  <c r="J79" i="8"/>
  <c r="D50" i="8"/>
  <c r="G79" i="8"/>
  <c r="K50" i="8"/>
  <c r="G21" i="8"/>
  <c r="F50" i="8"/>
  <c r="F21" i="8"/>
  <c r="C79" i="8"/>
  <c r="C21" i="8"/>
  <c r="I79" i="8"/>
  <c r="J21" i="8"/>
  <c r="E50" i="8"/>
  <c r="D79" i="8"/>
  <c r="I21" i="8"/>
  <c r="H50" i="8"/>
  <c r="E21" i="8"/>
  <c r="K79" i="8"/>
  <c r="D21" i="8"/>
  <c r="I50" i="8"/>
  <c r="P6" i="11"/>
  <c r="O6" i="11"/>
  <c r="I845" i="59"/>
  <c r="B22" i="8" l="1"/>
  <c r="C72" i="50"/>
  <c r="I76" i="50"/>
  <c r="I73" i="50" s="1"/>
  <c r="G76" i="50"/>
  <c r="G73" i="50" s="1"/>
  <c r="E72" i="50"/>
  <c r="E76" i="50"/>
  <c r="E73" i="50" s="1"/>
  <c r="K72" i="50"/>
  <c r="K76" i="50"/>
  <c r="K73" i="50" s="1"/>
  <c r="E106" i="8"/>
  <c r="E923" i="59" s="1"/>
  <c r="B106" i="8"/>
  <c r="B923" i="59" s="1"/>
  <c r="J48" i="8"/>
  <c r="J865" i="59" s="1"/>
  <c r="H77" i="8"/>
  <c r="H894" i="59" s="1"/>
  <c r="E19" i="8"/>
  <c r="E836" i="59" s="1"/>
  <c r="K19" i="8"/>
  <c r="K836" i="59" s="1"/>
  <c r="G48" i="8"/>
  <c r="G865" i="59" s="1"/>
  <c r="H48" i="8"/>
  <c r="H865" i="59" s="1"/>
  <c r="E77" i="8"/>
  <c r="E894" i="59" s="1"/>
  <c r="F77" i="8"/>
  <c r="F894" i="59" s="1"/>
  <c r="K48" i="8"/>
  <c r="K865" i="59" s="1"/>
  <c r="C106" i="8"/>
  <c r="C923" i="59" s="1"/>
  <c r="I48" i="8"/>
  <c r="I865" i="59" s="1"/>
  <c r="G19" i="8"/>
  <c r="G836" i="59" s="1"/>
  <c r="J19" i="8"/>
  <c r="J836" i="59" s="1"/>
  <c r="B77" i="8"/>
  <c r="B894" i="59" s="1"/>
  <c r="D19" i="8"/>
  <c r="D836" i="59" s="1"/>
  <c r="C19" i="8"/>
  <c r="C836" i="59" s="1"/>
  <c r="I77" i="8"/>
  <c r="I894" i="59" s="1"/>
  <c r="D106" i="8"/>
  <c r="D923" i="59" s="1"/>
  <c r="E48" i="8"/>
  <c r="E865" i="59" s="1"/>
  <c r="D77" i="8"/>
  <c r="D894" i="59" s="1"/>
  <c r="B48" i="8"/>
  <c r="B64" i="8" s="1"/>
  <c r="B881" i="59" s="1"/>
  <c r="B836" i="59"/>
  <c r="F106" i="8"/>
  <c r="F923" i="59" s="1"/>
  <c r="H19" i="8"/>
  <c r="H836" i="59" s="1"/>
  <c r="C77" i="8"/>
  <c r="C894" i="59" s="1"/>
  <c r="F19" i="8"/>
  <c r="F836" i="59" s="1"/>
  <c r="J77" i="8"/>
  <c r="J894" i="59" s="1"/>
  <c r="G77" i="8"/>
  <c r="G894" i="59" s="1"/>
  <c r="D48" i="8"/>
  <c r="D865" i="59" s="1"/>
  <c r="I19" i="8"/>
  <c r="I836" i="59" s="1"/>
  <c r="C48" i="8"/>
  <c r="C865" i="59" s="1"/>
  <c r="F48" i="8"/>
  <c r="F865" i="59" s="1"/>
  <c r="K77" i="8"/>
  <c r="K894" i="59" s="1"/>
  <c r="E93" i="8"/>
  <c r="E910" i="59" s="1"/>
  <c r="B839" i="59"/>
  <c r="B29" i="8"/>
  <c r="F122" i="8"/>
  <c r="F939" i="59" s="1"/>
  <c r="F867" i="59"/>
  <c r="D867" i="59"/>
  <c r="G867" i="59"/>
  <c r="G64" i="8"/>
  <c r="G881" i="59" s="1"/>
  <c r="E838" i="59"/>
  <c r="C838" i="59"/>
  <c r="G838" i="59"/>
  <c r="I867" i="59"/>
  <c r="H867" i="59"/>
  <c r="E867" i="59"/>
  <c r="K867" i="59"/>
  <c r="K64" i="8"/>
  <c r="K881" i="59" s="1"/>
  <c r="H838" i="59"/>
  <c r="J867" i="59"/>
  <c r="D838" i="59"/>
  <c r="I838" i="59"/>
  <c r="J838" i="59"/>
  <c r="F838" i="59"/>
  <c r="K838" i="59"/>
  <c r="B867" i="59"/>
  <c r="G160" i="15"/>
  <c r="J163" i="15"/>
  <c r="J165" i="15" s="1"/>
  <c r="J167" i="15" s="1"/>
  <c r="J169" i="15" s="1"/>
  <c r="M171" i="15" s="1"/>
  <c r="G558" i="59"/>
  <c r="J571" i="59"/>
  <c r="E497" i="59" s="1"/>
  <c r="D896" i="59"/>
  <c r="G896" i="59"/>
  <c r="F925" i="59"/>
  <c r="F896" i="59"/>
  <c r="K896" i="59"/>
  <c r="I896" i="59"/>
  <c r="C925" i="59"/>
  <c r="E896" i="59"/>
  <c r="J896" i="59"/>
  <c r="H896" i="59"/>
  <c r="D925" i="59"/>
  <c r="C896" i="59"/>
  <c r="B896" i="59"/>
  <c r="B925" i="59"/>
  <c r="E109" i="8"/>
  <c r="E118" i="8" s="1"/>
  <c r="E935" i="59" s="1"/>
  <c r="E925" i="59"/>
  <c r="G33" i="51"/>
  <c r="C867" i="59"/>
  <c r="C51" i="8"/>
  <c r="C868" i="59" s="1"/>
  <c r="C33" i="51"/>
  <c r="G13" i="51"/>
  <c r="E33" i="51"/>
  <c r="H33" i="51"/>
  <c r="G51" i="8"/>
  <c r="G868" i="59" s="1"/>
  <c r="D53" i="51"/>
  <c r="E22" i="8"/>
  <c r="F13" i="51"/>
  <c r="D13" i="51"/>
  <c r="H13" i="51"/>
  <c r="D22" i="8"/>
  <c r="E13" i="51"/>
  <c r="D33" i="51"/>
  <c r="F33" i="51"/>
  <c r="C53" i="51"/>
  <c r="F53" i="51"/>
  <c r="E53" i="51"/>
  <c r="I33" i="51"/>
  <c r="H53" i="51"/>
  <c r="I13" i="51"/>
  <c r="G53" i="51"/>
  <c r="J845" i="59"/>
  <c r="K51" i="8" l="1"/>
  <c r="K868" i="59" s="1"/>
  <c r="D51" i="8"/>
  <c r="D868" i="59" s="1"/>
  <c r="B51" i="8"/>
  <c r="B868" i="59" s="1"/>
  <c r="I80" i="8"/>
  <c r="I897" i="59" s="1"/>
  <c r="B109" i="8"/>
  <c r="B118" i="8" s="1"/>
  <c r="B935" i="59" s="1"/>
  <c r="F80" i="8"/>
  <c r="F897" i="59" s="1"/>
  <c r="F109" i="8"/>
  <c r="F118" i="8" s="1"/>
  <c r="F935" i="59" s="1"/>
  <c r="J22" i="8"/>
  <c r="J839" i="59" s="1"/>
  <c r="K80" i="8"/>
  <c r="K897" i="59" s="1"/>
  <c r="J51" i="8"/>
  <c r="J868" i="59" s="1"/>
  <c r="C80" i="8"/>
  <c r="C897" i="59" s="1"/>
  <c r="J35" i="8"/>
  <c r="J852" i="59" s="1"/>
  <c r="J64" i="8"/>
  <c r="J881" i="59" s="1"/>
  <c r="D64" i="8"/>
  <c r="D881" i="59" s="1"/>
  <c r="K93" i="8"/>
  <c r="K910" i="59" s="1"/>
  <c r="C93" i="8"/>
  <c r="C910" i="59" s="1"/>
  <c r="G80" i="8"/>
  <c r="G897" i="59" s="1"/>
  <c r="E80" i="8"/>
  <c r="E897" i="59" s="1"/>
  <c r="D35" i="8"/>
  <c r="D852" i="59" s="1"/>
  <c r="I51" i="8"/>
  <c r="I868" i="59" s="1"/>
  <c r="J80" i="8"/>
  <c r="J897" i="59" s="1"/>
  <c r="I64" i="8"/>
  <c r="I881" i="59" s="1"/>
  <c r="E35" i="8"/>
  <c r="E852" i="59" s="1"/>
  <c r="E51" i="8"/>
  <c r="E868" i="59" s="1"/>
  <c r="E64" i="8"/>
  <c r="E881" i="59" s="1"/>
  <c r="B80" i="8"/>
  <c r="B897" i="59" s="1"/>
  <c r="D109" i="8"/>
  <c r="D118" i="8" s="1"/>
  <c r="D935" i="59" s="1"/>
  <c r="C109" i="8"/>
  <c r="C118" i="8" s="1"/>
  <c r="C935" i="59" s="1"/>
  <c r="H80" i="8"/>
  <c r="H897" i="59" s="1"/>
  <c r="H64" i="8"/>
  <c r="H881" i="59" s="1"/>
  <c r="I22" i="8"/>
  <c r="I839" i="59" s="1"/>
  <c r="F35" i="8"/>
  <c r="F852" i="59" s="1"/>
  <c r="I35" i="8"/>
  <c r="I852" i="59" s="1"/>
  <c r="H51" i="8"/>
  <c r="H868" i="59" s="1"/>
  <c r="F22" i="8"/>
  <c r="F839" i="59" s="1"/>
  <c r="H22" i="8"/>
  <c r="H839" i="59" s="1"/>
  <c r="C22" i="8"/>
  <c r="C839" i="59" s="1"/>
  <c r="K22" i="8"/>
  <c r="K839" i="59" s="1"/>
  <c r="K35" i="8"/>
  <c r="K852" i="59" s="1"/>
  <c r="H35" i="8"/>
  <c r="H852" i="59" s="1"/>
  <c r="C35" i="8"/>
  <c r="C852" i="59" s="1"/>
  <c r="F64" i="8"/>
  <c r="F881" i="59" s="1"/>
  <c r="D80" i="8"/>
  <c r="D897" i="59" s="1"/>
  <c r="F51" i="8"/>
  <c r="F868" i="59" s="1"/>
  <c r="G22" i="8"/>
  <c r="G839" i="59" s="1"/>
  <c r="G35" i="8"/>
  <c r="G852" i="59" s="1"/>
  <c r="F93" i="8"/>
  <c r="F910" i="59" s="1"/>
  <c r="G93" i="8"/>
  <c r="G910" i="59" s="1"/>
  <c r="D93" i="8"/>
  <c r="D910" i="59" s="1"/>
  <c r="E839" i="59"/>
  <c r="B93" i="8"/>
  <c r="B910" i="59" s="1"/>
  <c r="H93" i="8"/>
  <c r="H910" i="59" s="1"/>
  <c r="D839" i="59"/>
  <c r="C64" i="8"/>
  <c r="C881" i="59" s="1"/>
  <c r="J93" i="8"/>
  <c r="J910" i="59" s="1"/>
  <c r="C122" i="8"/>
  <c r="C939" i="59" s="1"/>
  <c r="B865" i="59"/>
  <c r="G54" i="51"/>
  <c r="H54" i="51"/>
  <c r="D54" i="51"/>
  <c r="E54" i="51"/>
  <c r="C54" i="51"/>
  <c r="F54" i="51"/>
  <c r="E122" i="8"/>
  <c r="E939" i="59" s="1"/>
  <c r="I93" i="8"/>
  <c r="I910" i="59" s="1"/>
  <c r="B846" i="59"/>
  <c r="B40" i="8"/>
  <c r="B857" i="59" s="1"/>
  <c r="C14" i="51"/>
  <c r="B122" i="8"/>
  <c r="B939" i="59" s="1"/>
  <c r="D122" i="8"/>
  <c r="D939" i="59" s="1"/>
  <c r="J173" i="15"/>
  <c r="E99" i="15" s="1"/>
  <c r="E926" i="59"/>
  <c r="F926" i="59"/>
  <c r="K845" i="59"/>
  <c r="C926" i="59" l="1"/>
  <c r="B926" i="59"/>
  <c r="D926" i="59"/>
  <c r="C29" i="8"/>
  <c r="M61" i="49"/>
  <c r="P61" i="49" s="1"/>
  <c r="L44" i="3"/>
  <c r="L380" i="59" s="1"/>
  <c r="N380" i="59" s="1"/>
  <c r="C21" i="51"/>
  <c r="D21" i="51" s="1"/>
  <c r="J7" i="7"/>
  <c r="J13" i="59" s="1"/>
  <c r="L45" i="3"/>
  <c r="L381" i="59" s="1"/>
  <c r="N381" i="59" s="1"/>
  <c r="B874" i="59"/>
  <c r="C40" i="8" l="1"/>
  <c r="D29" i="8" s="1"/>
  <c r="C846" i="59"/>
  <c r="D14" i="51"/>
  <c r="N44" i="3"/>
  <c r="C41" i="51"/>
  <c r="D41" i="51" s="1"/>
  <c r="E41" i="51" s="1"/>
  <c r="C22" i="51"/>
  <c r="C42" i="51" s="1"/>
  <c r="D42" i="51" s="1"/>
  <c r="E42" i="51" s="1"/>
  <c r="N45" i="3"/>
  <c r="D22" i="51"/>
  <c r="E21" i="51"/>
  <c r="C874" i="59"/>
  <c r="C857" i="59" l="1"/>
  <c r="E22" i="51"/>
  <c r="F21" i="51"/>
  <c r="D874" i="59"/>
  <c r="D40" i="8" l="1"/>
  <c r="E29" i="8" s="1"/>
  <c r="D846" i="59"/>
  <c r="E14" i="51"/>
  <c r="G21" i="51"/>
  <c r="F22" i="51"/>
  <c r="E874" i="59"/>
  <c r="D857" i="59" l="1"/>
  <c r="H21" i="51"/>
  <c r="G22" i="51"/>
  <c r="F874" i="59"/>
  <c r="E40" i="8" l="1"/>
  <c r="F29" i="8" s="1"/>
  <c r="E846" i="59"/>
  <c r="F14" i="51"/>
  <c r="H22" i="51"/>
  <c r="I21" i="51"/>
  <c r="I22" i="51" s="1"/>
  <c r="G874" i="59"/>
  <c r="G14" i="51" l="1"/>
  <c r="F846" i="59"/>
  <c r="E857" i="59"/>
  <c r="F40" i="8"/>
  <c r="G29" i="8" s="1"/>
  <c r="H57" i="8"/>
  <c r="H874" i="59" s="1"/>
  <c r="H14" i="51" l="1"/>
  <c r="G846" i="59"/>
  <c r="F857" i="59"/>
  <c r="G40" i="8"/>
  <c r="H29" i="8" s="1"/>
  <c r="I57" i="8"/>
  <c r="I874" i="59" s="1"/>
  <c r="I14" i="51" l="1"/>
  <c r="H846" i="59"/>
  <c r="G857" i="59"/>
  <c r="H40" i="8"/>
  <c r="I29" i="8" s="1"/>
  <c r="J57" i="8"/>
  <c r="J874" i="59" s="1"/>
  <c r="I846" i="59" l="1"/>
  <c r="C34" i="51"/>
  <c r="I40" i="8"/>
  <c r="J29" i="8" s="1"/>
  <c r="H857" i="59"/>
  <c r="K57" i="8"/>
  <c r="K874" i="59" s="1"/>
  <c r="D34" i="51" l="1"/>
  <c r="J846" i="59"/>
  <c r="I857" i="59"/>
  <c r="J40" i="8"/>
  <c r="K29" i="8" s="1"/>
  <c r="B903" i="59"/>
  <c r="E34" i="51" l="1"/>
  <c r="K846" i="59"/>
  <c r="K40" i="8"/>
  <c r="J857" i="59"/>
  <c r="C86" i="8"/>
  <c r="C903" i="59" s="1"/>
  <c r="K857" i="59" l="1"/>
  <c r="B69" i="8"/>
  <c r="D86" i="8"/>
  <c r="D903" i="59" s="1"/>
  <c r="B886" i="59" l="1"/>
  <c r="C69" i="8"/>
  <c r="E86" i="8"/>
  <c r="E903" i="59" s="1"/>
  <c r="C886" i="59" l="1"/>
  <c r="D69" i="8"/>
  <c r="F86" i="8"/>
  <c r="F903" i="59" s="1"/>
  <c r="D886" i="59" l="1"/>
  <c r="E69" i="8"/>
  <c r="G86" i="8"/>
  <c r="G903" i="59" s="1"/>
  <c r="E886" i="59" l="1"/>
  <c r="F69" i="8"/>
  <c r="H86" i="8"/>
  <c r="H903" i="59" s="1"/>
  <c r="F886" i="59" l="1"/>
  <c r="G69" i="8"/>
  <c r="I86" i="8"/>
  <c r="I903" i="59" s="1"/>
  <c r="G886" i="59" l="1"/>
  <c r="H69" i="8"/>
  <c r="J86" i="8"/>
  <c r="J903" i="59" s="1"/>
  <c r="I69" i="8" l="1"/>
  <c r="H886" i="59"/>
  <c r="K86" i="8"/>
  <c r="K903" i="59" s="1"/>
  <c r="I886" i="59" l="1"/>
  <c r="J69"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J886" i="59" l="1"/>
  <c r="K69" i="8"/>
  <c r="K869" i="59"/>
  <c r="H29" i="51"/>
  <c r="D876" i="59"/>
  <c r="E9" i="51"/>
  <c r="D847" i="59"/>
  <c r="E14" i="52"/>
  <c r="H840" i="59"/>
  <c r="E10" i="52"/>
  <c r="D840" i="59"/>
  <c r="C9" i="51"/>
  <c r="C17" i="51" s="1"/>
  <c r="C18" i="51" s="1"/>
  <c r="C20" i="51" s="1"/>
  <c r="C24" i="51" s="1"/>
  <c r="K6" i="51" s="1"/>
  <c r="G66" i="51" s="1"/>
  <c r="N85" i="49" s="1"/>
  <c r="B847" i="59"/>
  <c r="I29" i="51"/>
  <c r="E876" i="59"/>
  <c r="C115" i="8"/>
  <c r="C117" i="8" s="1"/>
  <c r="C934" i="59" s="1"/>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K886" i="59" l="1"/>
  <c r="B98" i="8"/>
  <c r="E29" i="51"/>
  <c r="K847" i="59"/>
  <c r="H49" i="51"/>
  <c r="K876" i="59"/>
  <c r="D9" i="51"/>
  <c r="C847" i="59"/>
  <c r="G9" i="51"/>
  <c r="F847" i="59"/>
  <c r="F9" i="51"/>
  <c r="E847" i="59"/>
  <c r="D29" i="51"/>
  <c r="J847" i="59"/>
  <c r="F29" i="51"/>
  <c r="B876" i="59"/>
  <c r="C49" i="51"/>
  <c r="F876" i="59"/>
  <c r="G29" i="51"/>
  <c r="C876" i="59"/>
  <c r="G49" i="51"/>
  <c r="J876" i="59"/>
  <c r="C29" i="51"/>
  <c r="I847" i="59"/>
  <c r="I9" i="51"/>
  <c r="H847" i="59"/>
  <c r="F49" i="51"/>
  <c r="I876" i="59"/>
  <c r="H9" i="51"/>
  <c r="G847" i="59"/>
  <c r="E49" i="51"/>
  <c r="H876" i="59"/>
  <c r="D49" i="51"/>
  <c r="G876" i="59"/>
  <c r="D115" i="8"/>
  <c r="D117" i="8" s="1"/>
  <c r="D934" i="59" s="1"/>
  <c r="C932" i="59"/>
  <c r="D10" i="51"/>
  <c r="D36" i="8"/>
  <c r="D853" i="59" s="1"/>
  <c r="C98" i="8" l="1"/>
  <c r="B915" i="59"/>
  <c r="D17" i="51"/>
  <c r="D18" i="51" s="1"/>
  <c r="D20" i="51" s="1"/>
  <c r="D24" i="51" s="1"/>
  <c r="K7" i="51" s="1"/>
  <c r="E115" i="8"/>
  <c r="E117" i="8" s="1"/>
  <c r="E934" i="59" s="1"/>
  <c r="D932" i="59"/>
  <c r="E10" i="51"/>
  <c r="E36" i="8"/>
  <c r="D98" i="8" l="1"/>
  <c r="C915" i="59"/>
  <c r="F10" i="51"/>
  <c r="F17" i="51" s="1"/>
  <c r="F18" i="51" s="1"/>
  <c r="F20" i="51" s="1"/>
  <c r="F24" i="51" s="1"/>
  <c r="K9" i="51" s="1"/>
  <c r="E853" i="59"/>
  <c r="F115" i="8"/>
  <c r="E932" i="59"/>
  <c r="E17" i="51"/>
  <c r="E18" i="51" s="1"/>
  <c r="E20" i="51" s="1"/>
  <c r="E24" i="51" s="1"/>
  <c r="K8" i="51" s="1"/>
  <c r="F36" i="8"/>
  <c r="F853" i="59" s="1"/>
  <c r="D915" i="59" l="1"/>
  <c r="E98" i="8"/>
  <c r="F932" i="59"/>
  <c r="F117" i="8"/>
  <c r="F934" i="59" s="1"/>
  <c r="G10" i="51"/>
  <c r="G36" i="8"/>
  <c r="F98" i="8" l="1"/>
  <c r="E915" i="59"/>
  <c r="H10" i="51"/>
  <c r="H17" i="51" s="1"/>
  <c r="H18" i="51" s="1"/>
  <c r="H20" i="51" s="1"/>
  <c r="H24" i="51" s="1"/>
  <c r="K11" i="51" s="1"/>
  <c r="G853" i="59"/>
  <c r="G17" i="51"/>
  <c r="G18" i="51" s="1"/>
  <c r="G20" i="51" s="1"/>
  <c r="G24" i="51" s="1"/>
  <c r="K10" i="51" s="1"/>
  <c r="H36" i="8"/>
  <c r="H853" i="59" s="1"/>
  <c r="F915" i="59" l="1"/>
  <c r="G98" i="8"/>
  <c r="I10" i="51"/>
  <c r="I36" i="8"/>
  <c r="G915" i="59" l="1"/>
  <c r="H98" i="8"/>
  <c r="C30" i="51"/>
  <c r="I853" i="59"/>
  <c r="C37" i="51"/>
  <c r="C38" i="51" s="1"/>
  <c r="C40" i="51" s="1"/>
  <c r="C44" i="51" s="1"/>
  <c r="K13" i="51" s="1"/>
  <c r="I17" i="51"/>
  <c r="I18" i="51" s="1"/>
  <c r="I20" i="51" s="1"/>
  <c r="I24" i="51" s="1"/>
  <c r="K12" i="51" s="1"/>
  <c r="J36" i="8"/>
  <c r="J853" i="59" s="1"/>
  <c r="I98" i="8" l="1"/>
  <c r="H915" i="59"/>
  <c r="D30" i="51"/>
  <c r="K36" i="8"/>
  <c r="I915" i="59" l="1"/>
  <c r="J98" i="8"/>
  <c r="E30" i="51"/>
  <c r="K853" i="59"/>
  <c r="E37" i="51"/>
  <c r="E38" i="51" s="1"/>
  <c r="E40" i="51" s="1"/>
  <c r="E44" i="51" s="1"/>
  <c r="K15" i="51" s="1"/>
  <c r="D37" i="51"/>
  <c r="D38" i="51" s="1"/>
  <c r="D40" i="51" s="1"/>
  <c r="D44" i="51" s="1"/>
  <c r="K14" i="51" s="1"/>
  <c r="B65" i="8"/>
  <c r="B882" i="59" s="1"/>
  <c r="K98" i="8" l="1"/>
  <c r="J915" i="59"/>
  <c r="F30" i="51"/>
  <c r="C65" i="8"/>
  <c r="B127" i="8" l="1"/>
  <c r="K915" i="59"/>
  <c r="G30" i="51"/>
  <c r="G37" i="51" s="1"/>
  <c r="G38" i="51" s="1"/>
  <c r="G40" i="51" s="1"/>
  <c r="G44" i="51" s="1"/>
  <c r="K17" i="51" s="1"/>
  <c r="C882" i="59"/>
  <c r="F37" i="51"/>
  <c r="F38" i="51" s="1"/>
  <c r="F40" i="51" s="1"/>
  <c r="F44" i="51" s="1"/>
  <c r="K16" i="51" s="1"/>
  <c r="D65" i="8"/>
  <c r="D882" i="59" s="1"/>
  <c r="B944" i="59" l="1"/>
  <c r="C127" i="8"/>
  <c r="H30" i="51"/>
  <c r="E65" i="8"/>
  <c r="D127" i="8" l="1"/>
  <c r="C944" i="59"/>
  <c r="I30" i="51"/>
  <c r="I37" i="51" s="1"/>
  <c r="I38" i="51" s="1"/>
  <c r="I40" i="51" s="1"/>
  <c r="I44" i="51" s="1"/>
  <c r="K19" i="51" s="1"/>
  <c r="E882" i="59"/>
  <c r="H37" i="51"/>
  <c r="H38" i="51" s="1"/>
  <c r="H40" i="51" s="1"/>
  <c r="H44" i="51" s="1"/>
  <c r="K18" i="51" s="1"/>
  <c r="F65" i="8"/>
  <c r="F882" i="59" s="1"/>
  <c r="D944" i="59" l="1"/>
  <c r="E127" i="8"/>
  <c r="C50" i="51"/>
  <c r="G65" i="8"/>
  <c r="E944" i="59" l="1"/>
  <c r="F127" i="8"/>
  <c r="F944" i="59" s="1"/>
  <c r="D50" i="51"/>
  <c r="D57" i="51" s="1"/>
  <c r="D58" i="51" s="1"/>
  <c r="D60" i="51" s="1"/>
  <c r="D64" i="51" s="1"/>
  <c r="K21" i="51" s="1"/>
  <c r="G882" i="59"/>
  <c r="C57" i="51"/>
  <c r="C58" i="51" s="1"/>
  <c r="C60" i="51" s="1"/>
  <c r="C64" i="51" s="1"/>
  <c r="K20" i="51" s="1"/>
  <c r="H65" i="8"/>
  <c r="H882" i="59" s="1"/>
  <c r="E50" i="51" l="1"/>
  <c r="I65" i="8"/>
  <c r="F50" i="51" l="1"/>
  <c r="I882" i="59"/>
  <c r="F57" i="51"/>
  <c r="F58" i="51" s="1"/>
  <c r="F60" i="51" s="1"/>
  <c r="F64" i="51" s="1"/>
  <c r="K23" i="51" s="1"/>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<sst xmlns="http://schemas.openxmlformats.org/spreadsheetml/2006/main" count="12675" uniqueCount="4619">
  <si>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</si>
  <si>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</si>
  <si>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</si>
  <si>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</si>
  <si>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</si>
  <si>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</si>
  <si>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</si>
  <si>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</si>
  <si>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</si>
  <si>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</si>
  <si>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</si>
  <si>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</si>
  <si>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</si>
  <si>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</si>
  <si>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</si>
  <si>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</si>
  <si>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</si>
  <si>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</si>
  <si>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</si>
  <si>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</si>
  <si>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</si>
  <si>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</si>
  <si>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</si>
  <si>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</si>
  <si>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</si>
  <si>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</si>
  <si>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</si>
  <si>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</si>
  <si>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</si>
  <si>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</si>
  <si>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</si>
  <si>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</si>
  <si>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</si>
  <si>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</si>
  <si>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</si>
  <si>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</si>
  <si>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</si>
  <si>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</si>
  <si>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</si>
  <si>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</si>
  <si>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</si>
  <si>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</si>
  <si>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</si>
  <si>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</si>
  <si>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</si>
  <si>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</si>
  <si>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</si>
  <si>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</si>
  <si>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</si>
  <si>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</si>
  <si>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</si>
  <si>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</si>
  <si>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</si>
  <si>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</si>
  <si>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</si>
  <si>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</si>
  <si>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</si>
  <si>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</si>
  <si>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</si>
  <si>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</si>
  <si>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</si>
  <si>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</si>
  <si>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</si>
  <si>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</si>
  <si>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</si>
  <si>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</si>
  <si>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</si>
  <si>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</si>
  <si>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</si>
  <si>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</si>
  <si>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</si>
  <si>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</si>
  <si>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</si>
  <si>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</si>
  <si>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</si>
  <si>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</si>
  <si>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</si>
  <si>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</si>
  <si>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</si>
  <si>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</si>
  <si>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</si>
  <si>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</si>
  <si>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</si>
  <si>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</si>
  <si>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</si>
  <si>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</si>
  <si>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</si>
  <si>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</si>
  <si>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</si>
  <si>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</si>
  <si>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</si>
  <si>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</si>
  <si>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</si>
  <si>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</si>
  <si>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</si>
  <si>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</si>
  <si>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</si>
  <si>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</si>
  <si>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</si>
  <si>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</si>
  <si>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</si>
  <si>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</si>
  <si>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</si>
  <si>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</si>
  <si>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</si>
  <si>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</si>
  <si>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</si>
  <si>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</si>
  <si>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</si>
  <si>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</si>
  <si>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</si>
  <si>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</si>
  <si>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</si>
  <si>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</si>
  <si>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</si>
  <si>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</si>
  <si>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</si>
  <si>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</si>
  <si>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</si>
  <si>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</si>
  <si>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</si>
  <si>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</si>
  <si>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</si>
  <si>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</si>
  <si>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</si>
  <si>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</si>
  <si>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</si>
  <si>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</si>
  <si>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</si>
  <si>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</si>
  <si>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</si>
  <si>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</si>
  <si>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</si>
  <si>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</si>
  <si>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</si>
  <si>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</si>
  <si>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</si>
  <si>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</si>
  <si>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</si>
  <si>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</si>
  <si>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</si>
  <si>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</si>
  <si>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</si>
  <si>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</si>
  <si>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</si>
  <si>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</si>
  <si>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</si>
  <si>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</si>
  <si>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</si>
  <si>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</si>
  <si>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</si>
  <si>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</si>
  <si>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</si>
  <si>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</si>
  <si>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</si>
  <si>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</si>
  <si>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</si>
  <si>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</si>
  <si>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</si>
  <si>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</si>
  <si>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</si>
  <si>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</si>
  <si>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</si>
  <si>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</si>
  <si>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</si>
  <si>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</si>
  <si>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</si>
  <si>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</si>
  <si>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</si>
  <si>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</si>
  <si>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</si>
  <si>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</si>
  <si>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</si>
  <si>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</si>
  <si>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</si>
  <si>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</si>
  <si>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</si>
  <si>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</si>
  <si>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</si>
  <si>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</si>
  <si>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</si>
  <si>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</si>
  <si>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</si>
  <si>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</si>
  <si>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</si>
  <si>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</si>
  <si>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</si>
  <si>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</si>
  <si>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</si>
  <si>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</si>
  <si>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</si>
  <si>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</si>
  <si>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</si>
  <si>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</si>
  <si>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</si>
  <si>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</si>
  <si>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</si>
  <si>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</si>
  <si>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</si>
  <si>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</si>
  <si>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</si>
  <si>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</si>
  <si>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</si>
  <si>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</si>
  <si>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</si>
  <si>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</si>
  <si>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</si>
  <si>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</si>
  <si>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</si>
  <si>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</si>
  <si>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</si>
  <si>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</si>
  <si>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</si>
  <si>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</si>
  <si>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</si>
  <si>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</si>
  <si>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</si>
  <si>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</si>
  <si>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</si>
  <si>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</si>
  <si>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</si>
  <si>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</si>
  <si>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</si>
  <si>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</si>
  <si>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</si>
  <si>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</si>
  <si>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</si>
  <si>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</si>
  <si>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</si>
  <si>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</si>
  <si>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</si>
  <si>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</si>
  <si>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</si>
  <si>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</si>
  <si>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</si>
  <si>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</si>
  <si>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</si>
  <si>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</si>
  <si>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</si>
  <si>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</si>
  <si>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</si>
  <si>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</si>
  <si>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</si>
  <si>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</si>
  <si>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</si>
  <si>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</si>
  <si>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</si>
  <si>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</si>
  <si>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</si>
  <si>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</si>
  <si>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</si>
  <si>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</si>
  <si>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</si>
  <si>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</si>
  <si>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</si>
  <si>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</si>
  <si>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</si>
  <si>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</si>
  <si>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</si>
  <si>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</si>
  <si>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</si>
  <si>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</si>
  <si>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</si>
  <si>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</si>
  <si>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</si>
  <si>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</si>
  <si>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</si>
  <si>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</si>
  <si>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</si>
  <si>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</si>
  <si>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</si>
  <si>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</si>
  <si>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</si>
  <si>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</si>
  <si>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</si>
  <si>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</si>
  <si>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</si>
  <si>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</si>
  <si>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</si>
  <si>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</si>
  <si>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</si>
  <si>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</si>
  <si>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</si>
  <si>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</si>
  <si>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</si>
  <si>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</si>
  <si>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</si>
  <si>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</si>
  <si>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</si>
  <si>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</si>
  <si>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</si>
  <si>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</si>
  <si>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</si>
  <si>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</si>
  <si>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</si>
  <si>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</si>
  <si>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</si>
  <si>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</si>
  <si>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</si>
  <si>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</si>
  <si>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</si>
  <si>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</si>
  <si>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</si>
  <si>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</si>
  <si>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</si>
  <si>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</si>
  <si>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</si>
  <si>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</si>
  <si>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</si>
  <si>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</si>
  <si>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</si>
  <si>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</si>
  <si>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</si>
  <si>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</si>
  <si>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</si>
  <si>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</si>
  <si>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</si>
  <si>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</si>
  <si>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</si>
  <si>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</si>
  <si>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</si>
  <si>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</si>
  <si>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</si>
  <si>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</si>
  <si>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</si>
  <si>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</si>
  <si>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</si>
  <si>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</si>
  <si>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</si>
  <si>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</si>
  <si>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</si>
  <si>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</si>
  <si>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</si>
  <si>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</si>
  <si>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</si>
  <si>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</si>
  <si>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</si>
  <si>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</si>
  <si>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</si>
  <si>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</si>
  <si>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</si>
  <si>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</si>
  <si>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</si>
  <si>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</si>
  <si>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</si>
  <si>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</si>
  <si>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</si>
  <si>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</si>
  <si>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</si>
  <si>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</si>
  <si>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</si>
  <si>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</si>
  <si>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</si>
  <si>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</si>
  <si>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</si>
  <si>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</si>
  <si>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</si>
  <si>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</si>
  <si>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</si>
  <si>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</si>
  <si>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</si>
  <si>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</si>
  <si>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</si>
  <si>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</si>
  <si>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</si>
  <si>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</si>
  <si>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</si>
  <si>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</si>
  <si>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</si>
  <si>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</si>
  <si>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</si>
  <si>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</si>
  <si>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</si>
  <si>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</si>
  <si>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</si>
  <si>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</si>
  <si>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</si>
  <si>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</si>
  <si>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</si>
  <si>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</si>
  <si>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</si>
  <si>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</si>
  <si>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</si>
  <si>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</si>
  <si>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</si>
  <si>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</si>
  <si>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</si>
  <si>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</si>
  <si>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</si>
  <si>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</si>
  <si>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</si>
  <si>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</si>
  <si>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</si>
  <si>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</si>
  <si>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</si>
  <si>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</si>
  <si>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</si>
  <si>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</si>
  <si>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</si>
  <si>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</si>
  <si>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</si>
  <si>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</si>
  <si>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</si>
  <si>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</si>
  <si>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</si>
  <si>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</si>
  <si>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</si>
  <si>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</si>
  <si>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</si>
  <si>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</si>
  <si>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</si>
  <si>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</si>
  <si>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</si>
  <si>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</si>
  <si>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</si>
  <si>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</si>
  <si>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</si>
  <si>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</si>
  <si>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</si>
  <si>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</si>
  <si>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</si>
  <si>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</si>
  <si>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</si>
  <si>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</si>
  <si>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</si>
  <si>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</si>
  <si>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</si>
  <si>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</si>
  <si>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</si>
  <si>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</si>
  <si>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</si>
  <si>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</si>
  <si>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</si>
  <si>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</si>
  <si>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</si>
  <si>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</si>
  <si>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</si>
  <si>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</si>
  <si>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</si>
  <si>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</si>
  <si>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</si>
  <si>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</si>
  <si>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</si>
  <si>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</si>
  <si>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</si>
  <si>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</si>
  <si>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</si>
  <si>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</si>
  <si>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</si>
  <si>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</si>
  <si>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</si>
  <si>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</si>
  <si>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</si>
  <si>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</si>
  <si>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</si>
  <si>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</si>
  <si>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</si>
  <si>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</si>
  <si>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</si>
  <si>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</si>
  <si>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</si>
  <si>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</si>
  <si>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</si>
  <si>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</si>
  <si>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</si>
  <si>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</si>
  <si>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</si>
  <si>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</si>
  <si>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</si>
  <si>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</si>
  <si>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</si>
  <si>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</si>
  <si>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</si>
  <si>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</si>
  <si>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</si>
  <si>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</si>
  <si>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</si>
  <si>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</si>
  <si>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</si>
  <si>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</si>
  <si>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</si>
  <si>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</si>
  <si>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</si>
  <si>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</si>
  <si>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</si>
  <si>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</si>
  <si>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</si>
  <si>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</si>
  <si>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</si>
  <si>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</si>
  <si>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</si>
  <si>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</si>
  <si>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</si>
  <si>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</si>
  <si>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</si>
  <si>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</si>
  <si>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</si>
  <si>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</si>
  <si>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</si>
  <si>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</si>
  <si>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</si>
  <si>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</si>
  <si>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</si>
  <si>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</si>
  <si>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</si>
  <si>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</si>
  <si>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</si>
  <si>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</si>
  <si>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</si>
  <si>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</si>
  <si>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</si>
  <si>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</si>
  <si>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</si>
  <si>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</si>
  <si>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</si>
  <si>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</si>
  <si>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</si>
  <si>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</si>
  <si>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</si>
  <si>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</si>
  <si>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</si>
  <si>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</si>
  <si>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</si>
  <si>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</si>
  <si>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</si>
  <si>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</si>
  <si>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</si>
  <si>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</si>
  <si>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</si>
  <si>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</si>
  <si>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</si>
  <si>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</si>
  <si>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</si>
  <si>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</si>
  <si>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</si>
  <si>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</si>
  <si>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</si>
  <si>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</si>
  <si>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</si>
  <si>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</si>
  <si>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</si>
  <si>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</si>
  <si>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</si>
  <si>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</si>
  <si>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</si>
  <si>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</si>
  <si>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</si>
  <si>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</si>
  <si>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</si>
  <si>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</si>
  <si>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</si>
  <si>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</si>
  <si>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</si>
  <si>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</si>
  <si>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</si>
  <si>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</si>
  <si>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</si>
  <si>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</si>
  <si>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</si>
  <si>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</si>
  <si>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</si>
  <si>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</si>
  <si>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</si>
  <si>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</si>
  <si>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</si>
  <si>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</si>
  <si>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</si>
  <si>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</si>
  <si>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</si>
  <si>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</si>
  <si>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</si>
  <si>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</si>
  <si>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</si>
  <si>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</si>
  <si>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</si>
  <si>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</si>
  <si>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</si>
  <si>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</si>
  <si>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</si>
  <si>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</si>
  <si>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</si>
  <si>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</si>
  <si>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</si>
  <si>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</si>
  <si>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</si>
  <si>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</si>
  <si>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</si>
  <si>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</si>
  <si>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</si>
  <si>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</si>
  <si>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</si>
  <si>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</si>
  <si>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</si>
  <si>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</si>
  <si>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</si>
  <si>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</si>
  <si>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</si>
  <si>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</si>
  <si>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</si>
  <si>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</si>
  <si>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</si>
  <si>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</si>
  <si>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</si>
  <si>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</si>
  <si>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</si>
  <si>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</si>
  <si>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</si>
  <si>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</si>
  <si>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</si>
  <si>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</si>
  <si>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</si>
  <si>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</si>
  <si>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</si>
  <si>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</si>
  <si>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</si>
  <si>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</si>
  <si>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</si>
  <si>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</si>
  <si>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</si>
  <si>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</si>
  <si>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</si>
  <si>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</si>
  <si>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</si>
  <si>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</si>
  <si>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</si>
  <si>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</si>
  <si>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</si>
  <si>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</si>
  <si>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</si>
  <si>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</si>
  <si>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</si>
  <si>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</si>
  <si>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</si>
  <si>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</si>
  <si>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</si>
  <si>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</si>
  <si>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</si>
  <si>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</si>
  <si>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</si>
  <si>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</si>
  <si>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</si>
  <si>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</si>
  <si>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</si>
  <si>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</si>
  <si>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</si>
  <si>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</si>
  <si>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</si>
  <si>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</si>
  <si>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</si>
  <si>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</si>
  <si>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</si>
  <si>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</si>
  <si>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</si>
  <si>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</si>
  <si>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</si>
  <si>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</si>
  <si>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</si>
  <si>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</si>
  <si>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</si>
  <si>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</si>
  <si>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</si>
  <si>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</si>
  <si>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</si>
  <si>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</si>
  <si>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</si>
  <si>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</si>
  <si>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</si>
  <si>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</si>
  <si>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</si>
  <si>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</si>
  <si>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</si>
  <si>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</si>
  <si>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</si>
  <si>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</si>
  <si>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</si>
  <si>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</si>
  <si>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</si>
  <si>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</si>
  <si>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</si>
  <si>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</si>
  <si>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</si>
  <si>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</si>
  <si>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</si>
  <si>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</si>
  <si>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</si>
  <si>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</si>
  <si>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</si>
  <si>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</si>
  <si>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</si>
  <si>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</si>
  <si>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</si>
  <si>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</si>
  <si>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</si>
  <si>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</si>
  <si>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</si>
  <si>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</si>
  <si>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</si>
  <si>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</si>
  <si>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</si>
  <si>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</si>
  <si>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</si>
  <si>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</si>
  <si>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</si>
  <si>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</si>
  <si>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</si>
  <si>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</si>
  <si>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</si>
  <si>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</si>
  <si>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</si>
  <si>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</si>
  <si>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</si>
  <si>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</si>
  <si>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</si>
  <si>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</si>
  <si>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</si>
  <si>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</si>
  <si>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</si>
  <si>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</si>
  <si>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</si>
  <si>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</si>
  <si>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</si>
  <si>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</si>
  <si>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</si>
  <si>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</si>
  <si>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</si>
  <si>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</si>
  <si>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</si>
  <si>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</si>
  <si>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</si>
  <si>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</si>
  <si>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</si>
  <si>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</si>
  <si>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</si>
  <si>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</si>
  <si>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</si>
  <si>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</si>
  <si>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</si>
  <si>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</si>
  <si>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</si>
  <si>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</si>
  <si>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</si>
  <si>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</si>
  <si>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</si>
  <si>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</si>
  <si>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</si>
  <si>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</si>
  <si>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</si>
  <si>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</si>
  <si>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</si>
  <si>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</si>
  <si>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</si>
  <si>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</si>
  <si>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</si>
  <si>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</si>
  <si>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</si>
  <si>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</si>
  <si>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</si>
  <si>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</si>
  <si>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</si>
  <si>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</si>
  <si>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</si>
  <si>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</si>
  <si>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</si>
  <si>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</si>
  <si>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</si>
  <si>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</si>
  <si>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</si>
  <si>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</si>
  <si>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</si>
  <si>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</si>
  <si>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</si>
  <si>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</si>
  <si>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</si>
  <si>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</si>
  <si>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</si>
  <si>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</si>
  <si>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</si>
  <si>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</si>
  <si>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</si>
  <si>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</si>
  <si>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</si>
  <si>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</si>
  <si>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</si>
  <si>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</si>
  <si>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</si>
  <si>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</si>
  <si>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</si>
  <si>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</si>
  <si>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</si>
  <si>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</si>
  <si>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</si>
  <si>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</si>
  <si>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</si>
  <si>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</si>
  <si>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</si>
  <si>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</si>
  <si>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</si>
  <si>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</si>
  <si>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</si>
  <si>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</si>
  <si>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</si>
  <si>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</si>
  <si>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</si>
  <si>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</si>
  <si>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</si>
  <si>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</si>
  <si>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</si>
  <si>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</si>
  <si>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</si>
  <si>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</si>
  <si>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</si>
  <si>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</si>
  <si>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</si>
  <si>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</si>
  <si>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</si>
  <si>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</si>
  <si>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</si>
  <si>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</si>
  <si>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</si>
  <si>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</si>
  <si>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</si>
  <si>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</si>
  <si>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</si>
  <si>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</si>
  <si>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</si>
  <si>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</si>
  <si>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</si>
  <si>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</si>
  <si>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</si>
  <si>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</si>
  <si>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</si>
  <si>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</si>
  <si>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</si>
  <si>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</si>
  <si>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</si>
  <si>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</si>
  <si>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</si>
  <si>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</si>
  <si>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</si>
  <si>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</si>
  <si>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</si>
  <si>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</si>
  <si>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</si>
  <si>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</si>
  <si>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</si>
  <si>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</si>
  <si>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</si>
  <si>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</si>
  <si>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</si>
  <si>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</si>
  <si>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</si>
  <si>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</si>
  <si>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</si>
  <si>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</si>
  <si>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</si>
  <si>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</si>
  <si>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</si>
  <si>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</si>
  <si>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</si>
  <si>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</si>
  <si>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</si>
  <si>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</si>
  <si>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</si>
  <si>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</si>
  <si>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</si>
  <si>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</si>
  <si>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</si>
  <si>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</si>
  <si>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</si>
  <si>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</si>
  <si>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</si>
  <si>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</si>
  <si>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</si>
  <si>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</si>
  <si>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</si>
  <si>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</si>
  <si>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</si>
  <si>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</si>
  <si>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</si>
  <si>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</si>
  <si>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</si>
  <si>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</si>
  <si>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</si>
  <si>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</si>
  <si>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</si>
  <si>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</si>
  <si>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</si>
  <si>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</si>
  <si>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</si>
  <si>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</si>
  <si>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</si>
  <si>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</si>
  <si>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</si>
  <si>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</si>
  <si>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</si>
  <si>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</si>
  <si>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</si>
  <si>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</si>
  <si>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</si>
  <si>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</si>
  <si>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</si>
  <si>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</si>
  <si>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</si>
  <si>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</si>
  <si>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</si>
  <si>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</si>
  <si>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</si>
  <si>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</si>
  <si>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</si>
  <si>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</si>
  <si>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</si>
  <si>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</si>
  <si>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</si>
  <si>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</si>
  <si>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</si>
  <si>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</si>
  <si>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</si>
  <si>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</si>
  <si>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</si>
  <si>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</si>
  <si>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</si>
  <si>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</si>
  <si>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</si>
  <si>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</si>
  <si>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</si>
  <si>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</si>
  <si>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</si>
  <si>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</si>
  <si>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</si>
  <si>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</si>
  <si>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</si>
  <si>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</si>
  <si>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</si>
  <si>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</si>
  <si>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</si>
  <si>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</si>
  <si>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</si>
  <si>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</si>
  <si>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</si>
  <si>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</si>
  <si>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</si>
  <si>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</si>
  <si>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</si>
  <si>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</si>
  <si>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</si>
  <si>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</si>
  <si>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</si>
  <si>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</si>
  <si>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</si>
  <si>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</si>
  <si>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</si>
  <si>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</si>
  <si>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</si>
  <si>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</si>
  <si>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</si>
  <si>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</si>
  <si>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</si>
  <si>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</si>
  <si>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</si>
  <si>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</si>
  <si>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</si>
  <si>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</si>
  <si>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</si>
  <si>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</si>
  <si>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</si>
  <si>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</si>
  <si>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</si>
  <si>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</si>
  <si>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</si>
  <si>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</si>
  <si>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</si>
  <si>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</si>
  <si>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</si>
  <si>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</si>
  <si>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</si>
  <si>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</si>
  <si>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</si>
  <si>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</si>
  <si>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</si>
  <si>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</si>
  <si>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</si>
  <si>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</si>
  <si>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</si>
  <si>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</si>
  <si>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</si>
  <si>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</si>
  <si>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</si>
  <si>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</si>
  <si>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</si>
  <si>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</si>
  <si>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</si>
  <si>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</si>
  <si>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</si>
  <si>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</si>
  <si>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</si>
  <si>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</si>
  <si>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</si>
  <si>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</si>
  <si>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</si>
  <si>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</si>
  <si>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</si>
  <si>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</si>
  <si>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</si>
  <si>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</si>
  <si>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</si>
  <si>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</si>
  <si>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</si>
  <si>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</si>
  <si>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</si>
  <si>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</si>
  <si>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</si>
  <si>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</si>
  <si>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</si>
  <si>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</si>
  <si>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</si>
  <si>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</si>
  <si>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</si>
  <si>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</si>
  <si>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</si>
  <si>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</si>
  <si>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</si>
  <si>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</si>
  <si>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</si>
  <si>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</si>
  <si>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</si>
  <si>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</si>
  <si>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</si>
  <si>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</si>
  <si>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</si>
  <si>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</si>
  <si>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</si>
  <si>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</si>
  <si>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</si>
  <si>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</si>
  <si>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</si>
  <si>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</si>
  <si>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</si>
  <si>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</si>
  <si>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</si>
  <si>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</si>
  <si>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</si>
  <si>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</si>
  <si>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</si>
  <si>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</si>
  <si>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</si>
  <si>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</si>
  <si>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</si>
  <si>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</si>
  <si>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</si>
  <si>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</si>
  <si>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</si>
  <si>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</si>
  <si>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</si>
  <si>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</si>
  <si>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</si>
  <si>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</si>
  <si>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</si>
  <si>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</si>
  <si>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</si>
  <si>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</si>
  <si>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</si>
  <si>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</si>
  <si>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</si>
  <si>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</si>
  <si>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</si>
  <si>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</si>
  <si>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</si>
  <si>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</si>
  <si>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</si>
  <si>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</si>
  <si>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</si>
  <si>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</si>
  <si>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</si>
  <si>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</si>
  <si>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</si>
  <si>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</si>
  <si>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</si>
  <si>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</si>
  <si>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</si>
  <si>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</si>
  <si>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</si>
  <si>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</si>
  <si>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</si>
  <si>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</si>
  <si>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</si>
  <si>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</si>
  <si>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</si>
  <si>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</si>
  <si>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</si>
  <si>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</si>
  <si>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</si>
  <si>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</si>
  <si>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</si>
  <si>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</si>
  <si>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</si>
  <si>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</si>
  <si>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</si>
  <si>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</si>
  <si>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</si>
  <si>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</si>
  <si>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</si>
  <si>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</si>
  <si>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</si>
  <si>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</si>
  <si>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</si>
  <si>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</si>
  <si>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</si>
  <si>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</si>
  <si>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</si>
  <si>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</si>
  <si>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</si>
  <si>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</si>
  <si>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</si>
  <si>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</si>
  <si>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</si>
  <si>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</si>
  <si>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</si>
  <si>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</si>
  <si>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</si>
  <si>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</si>
  <si>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</si>
  <si>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</si>
  <si>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</si>
  <si>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</si>
  <si>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</si>
  <si>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</si>
  <si>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</si>
  <si>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</si>
  <si>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</si>
  <si>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</si>
  <si>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</si>
  <si>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</si>
  <si>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</si>
  <si>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</si>
  <si>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</si>
  <si>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</si>
  <si>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</si>
  <si>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</si>
  <si>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</si>
  <si>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</si>
  <si>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</si>
  <si>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</si>
  <si>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</si>
  <si>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</si>
  <si>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</si>
  <si>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</si>
  <si>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</si>
  <si>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</si>
  <si>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</si>
  <si>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</si>
  <si>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</si>
  <si>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</si>
  <si>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</si>
  <si>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</si>
  <si>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</si>
  <si>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</si>
  <si>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</si>
  <si>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</si>
  <si>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</si>
  <si>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</si>
  <si>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</si>
  <si>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</si>
  <si>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</si>
  <si>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</si>
  <si>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</si>
  <si>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</si>
  <si>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</si>
  <si>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</si>
  <si>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</si>
  <si>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</si>
  <si>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</si>
  <si>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</si>
  <si>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</si>
  <si>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</si>
  <si>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</si>
  <si>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</si>
  <si>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</si>
  <si>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</si>
  <si>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</si>
  <si>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</si>
  <si>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</si>
  <si>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</si>
  <si>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</si>
  <si>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</si>
  <si>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</si>
  <si>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</si>
  <si>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</si>
  <si>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</si>
  <si>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</si>
  <si>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</si>
  <si>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</si>
  <si>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</si>
  <si>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</si>
  <si>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</si>
  <si>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</si>
  <si>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</si>
  <si>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</si>
  <si>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</si>
  <si>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</si>
  <si>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</si>
  <si>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</si>
  <si>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</si>
  <si>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</si>
  <si>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</si>
  <si>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</si>
  <si>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</si>
  <si>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</si>
  <si>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</si>
  <si>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</si>
  <si>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</si>
  <si>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</si>
  <si>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</si>
  <si>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</si>
  <si>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</si>
  <si>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</si>
  <si>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</si>
  <si>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</si>
  <si>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</si>
  <si>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</si>
  <si>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</si>
  <si>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</si>
  <si>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</si>
  <si>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</si>
  <si>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</si>
  <si>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</si>
  <si>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</si>
  <si>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</si>
  <si>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</si>
  <si>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</si>
  <si>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</si>
  <si>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</si>
  <si>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</si>
  <si>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</si>
  <si>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</si>
  <si>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</si>
  <si>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</si>
  <si>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</si>
  <si>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</si>
  <si>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</si>
  <si>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</si>
  <si>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</si>
  <si>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</si>
  <si>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</si>
  <si>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</si>
  <si>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</si>
  <si>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</si>
  <si>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</si>
  <si>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</si>
  <si>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</si>
  <si>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</si>
  <si>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</si>
  <si>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</si>
  <si>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</si>
  <si>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</si>
  <si>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</si>
  <si>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</si>
  <si>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</si>
  <si>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</si>
  <si>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</si>
  <si>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</si>
  <si>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</si>
  <si>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</si>
  <si>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</si>
  <si>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</si>
  <si>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</si>
  <si>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</si>
  <si>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</si>
  <si>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</si>
  <si>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</si>
  <si>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</si>
  <si>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</si>
  <si>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</si>
  <si>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</si>
  <si>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</si>
  <si>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</si>
  <si>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</si>
  <si>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</si>
  <si>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</si>
  <si>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</si>
  <si>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</si>
  <si>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</si>
  <si>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</si>
  <si>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</si>
  <si>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</si>
  <si>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</si>
  <si>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</si>
  <si>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</si>
  <si>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</si>
  <si>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</si>
  <si>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</si>
  <si>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</si>
  <si>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</si>
  <si>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</si>
  <si>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</si>
  <si>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</si>
  <si>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</si>
  <si>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</si>
  <si>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</si>
  <si>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</si>
  <si>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</si>
  <si>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</si>
  <si>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</si>
  <si>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</si>
  <si>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</si>
  <si>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</si>
  <si>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</si>
  <si>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</si>
  <si>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</si>
  <si>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</si>
  <si>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</si>
  <si>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</si>
  <si>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</si>
  <si>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</si>
  <si>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</si>
  <si>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</si>
  <si>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</si>
  <si>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</si>
  <si>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</si>
  <si>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</si>
  <si>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</si>
  <si>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</si>
  <si>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</si>
  <si>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</si>
  <si>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</si>
  <si>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</si>
  <si>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</si>
  <si>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</si>
  <si>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</si>
  <si>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</si>
  <si>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</si>
  <si>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</si>
  <si>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</si>
  <si>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</si>
  <si>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</si>
  <si>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</si>
  <si>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</si>
  <si>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</si>
  <si>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</si>
  <si>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</si>
  <si>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</si>
  <si>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</si>
  <si>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</si>
  <si>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</si>
  <si>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</si>
  <si>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</si>
  <si>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</si>
  <si>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</si>
  <si>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</si>
  <si>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</si>
  <si>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</si>
  <si>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</si>
  <si>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</si>
  <si>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</si>
  <si>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</si>
  <si>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</si>
  <si>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</si>
  <si>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</si>
  <si>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</si>
  <si>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</si>
  <si>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</si>
  <si>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</si>
  <si>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</si>
  <si>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</si>
  <si>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</si>
  <si>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</si>
  <si>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</si>
  <si>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</si>
  <si>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</si>
  <si>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</si>
  <si>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</si>
  <si>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</si>
  <si>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</si>
  <si>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</si>
  <si>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</si>
  <si>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</si>
  <si>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</si>
  <si>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</si>
  <si>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</si>
  <si>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</si>
  <si>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</si>
  <si>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</si>
  <si>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</si>
  <si>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</si>
  <si>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</si>
  <si>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</si>
  <si>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</si>
  <si>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</si>
  <si>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</si>
  <si>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</si>
  <si>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</si>
  <si>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</si>
  <si>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</si>
  <si>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</si>
  <si>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</si>
  <si>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</si>
  <si>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</si>
  <si>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</si>
  <si>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</si>
  <si>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</si>
  <si>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</si>
  <si>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</si>
  <si>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</si>
  <si>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</si>
  <si>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</si>
  <si>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</si>
  <si>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</si>
  <si>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</si>
  <si>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</si>
  <si>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</si>
  <si>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</si>
  <si>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</si>
  <si>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</si>
  <si>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</si>
  <si>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</si>
  <si>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</si>
  <si>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</si>
  <si>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</si>
  <si>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</si>
  <si>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</si>
  <si>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</si>
  <si>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</si>
  <si>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</si>
  <si>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</si>
  <si>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</si>
  <si>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</si>
  <si>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</si>
  <si>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</si>
  <si>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</si>
  <si>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</si>
  <si>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</si>
  <si>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</si>
  <si>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</si>
  <si>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</si>
  <si>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</si>
  <si>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</si>
  <si>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</si>
  <si>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</si>
  <si>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</si>
  <si>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</si>
  <si>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</si>
  <si>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</si>
  <si>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</si>
  <si>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</si>
  <si>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</si>
  <si>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</si>
  <si>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</si>
  <si>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</si>
  <si>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</si>
  <si>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</si>
  <si>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</si>
  <si>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</si>
  <si>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</si>
  <si>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</si>
  <si>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</si>
  <si>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</si>
  <si>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</si>
  <si>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</si>
  <si>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</si>
  <si>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</si>
  <si>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</si>
  <si>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</si>
  <si>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</si>
  <si>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</si>
  <si>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</si>
  <si>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</si>
  <si>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</si>
  <si>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</si>
  <si>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</si>
  <si>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</si>
  <si>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</si>
  <si>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</si>
  <si>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</si>
  <si>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</si>
  <si>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</si>
  <si>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</si>
  <si>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</si>
  <si>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</si>
  <si>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</si>
  <si>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</si>
  <si>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</si>
  <si>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</si>
  <si>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</si>
  <si>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</si>
  <si>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</si>
  <si>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</si>
  <si>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</si>
  <si>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</si>
  <si>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</si>
  <si>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</si>
  <si>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</si>
  <si>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</si>
  <si>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</si>
  <si>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</si>
  <si>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</si>
  <si>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</si>
  <si>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</si>
  <si>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</si>
  <si>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</si>
  <si>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</si>
  <si>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</si>
  <si>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</si>
  <si>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</si>
  <si>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</si>
  <si>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</si>
  <si>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</si>
  <si>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</si>
  <si>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</si>
  <si>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</si>
  <si>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</si>
  <si>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</si>
  <si>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</si>
  <si>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</si>
  <si>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</si>
  <si>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</si>
  <si>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</si>
  <si>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</si>
  <si>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</si>
  <si>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</si>
  <si>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</si>
  <si>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</si>
  <si>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</si>
  <si>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</si>
  <si>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</si>
  <si>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</si>
  <si>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</si>
  <si>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</si>
  <si>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</si>
  <si>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</si>
  <si>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</si>
  <si>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</si>
  <si>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</si>
  <si>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</si>
  <si>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</si>
  <si>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</si>
  <si>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</si>
  <si>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</si>
  <si>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</si>
  <si>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</si>
  <si>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</si>
  <si>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</si>
  <si>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</si>
  <si>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</si>
  <si>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</si>
  <si>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</si>
  <si>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</si>
  <si>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</si>
  <si>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</si>
  <si>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</si>
  <si>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</si>
  <si>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</si>
  <si>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</si>
  <si>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</si>
  <si>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</si>
  <si>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</si>
  <si>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</si>
  <si>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</si>
  <si>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</si>
  <si>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</si>
  <si>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</si>
  <si>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</si>
  <si>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</si>
  <si>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</si>
  <si>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</si>
  <si>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</si>
  <si>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</si>
  <si>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</si>
  <si>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</si>
  <si>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</si>
  <si>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</si>
  <si>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</si>
  <si>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</si>
  <si>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</si>
  <si>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</si>
  <si>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</si>
  <si>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</si>
  <si>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</si>
  <si>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</si>
  <si>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</si>
  <si>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</si>
  <si>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</si>
  <si>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</si>
  <si>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</si>
  <si>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</si>
  <si>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</si>
  <si>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</si>
  <si>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</si>
  <si>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</si>
  <si>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</si>
  <si>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</si>
  <si>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</si>
  <si>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</si>
  <si>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</si>
  <si>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</si>
  <si>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</si>
  <si>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</si>
  <si>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</si>
  <si>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</si>
  <si>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</si>
  <si>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</si>
  <si>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</si>
  <si>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</si>
  <si>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</si>
  <si>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</si>
  <si>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</si>
  <si>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</si>
  <si>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</si>
  <si>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</si>
  <si>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</si>
  <si>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</si>
  <si>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</si>
  <si>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</si>
  <si>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</si>
  <si>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</si>
  <si>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</si>
  <si>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</si>
  <si>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</si>
  <si>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</si>
  <si>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</si>
  <si>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</si>
  <si>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</si>
  <si>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</si>
  <si>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</si>
  <si>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</si>
  <si>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</si>
  <si>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</si>
  <si>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</si>
  <si>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</si>
  <si>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</si>
  <si>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</si>
  <si>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</si>
  <si>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</si>
  <si>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</si>
  <si>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</si>
  <si>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</si>
  <si>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</si>
  <si>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</si>
  <si>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</si>
  <si>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</si>
  <si>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</si>
  <si>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</si>
  <si>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</si>
  <si>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</si>
  <si>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</si>
  <si>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</si>
  <si>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</si>
  <si>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</si>
  <si>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</si>
  <si>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</si>
  <si>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</si>
  <si>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</si>
  <si>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</si>
  <si>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</si>
  <si>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</si>
  <si>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</si>
  <si>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</si>
  <si>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</si>
  <si>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</si>
  <si>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</si>
  <si>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</si>
  <si>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</si>
  <si>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</si>
  <si>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</si>
  <si>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</si>
  <si>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</si>
  <si>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</si>
  <si>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</si>
  <si>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</si>
  <si>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</si>
  <si>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</si>
  <si>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</si>
  <si>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</si>
  <si>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</si>
  <si>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</si>
  <si>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</si>
  <si>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</si>
  <si>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</si>
  <si>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</si>
  <si>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</si>
  <si>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</si>
  <si>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</si>
  <si>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</si>
  <si>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</si>
  <si>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</si>
  <si>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</si>
  <si>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</si>
  <si>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</si>
  <si>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</si>
  <si>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</si>
  <si>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</si>
  <si>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</si>
  <si>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</si>
  <si>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</si>
  <si>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</si>
  <si>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</si>
  <si>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</si>
  <si>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</si>
  <si>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</si>
  <si>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</si>
  <si>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</si>
  <si>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</si>
  <si>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</si>
  <si>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</si>
  <si>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</si>
  <si>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</si>
  <si>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</si>
  <si>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</si>
  <si>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</si>
  <si>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</si>
  <si>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</si>
  <si>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</si>
  <si>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</si>
  <si>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</si>
  <si>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</si>
  <si>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</si>
  <si>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</si>
  <si>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</si>
  <si>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</si>
  <si>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</si>
  <si>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</si>
  <si>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</si>
  <si>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</si>
  <si>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</si>
  <si>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</si>
  <si>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</si>
  <si>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</si>
  <si>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</si>
  <si>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</si>
  <si>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</si>
  <si>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</si>
  <si>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</si>
  <si>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</si>
  <si>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</si>
  <si>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</si>
  <si>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</si>
  <si>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</si>
  <si>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</si>
  <si>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</si>
  <si>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</si>
  <si>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</si>
  <si>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</si>
  <si>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</si>
  <si>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</si>
  <si>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</si>
  <si>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</si>
  <si>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</si>
  <si>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</si>
  <si>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</si>
  <si>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</si>
  <si>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</si>
  <si>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</si>
  <si>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</si>
  <si>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</si>
  <si>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</si>
  <si>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</si>
  <si>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</si>
  <si>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</si>
  <si>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</si>
  <si>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</si>
  <si>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</si>
  <si>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</si>
  <si>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</si>
  <si>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</si>
  <si>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</si>
  <si>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</si>
  <si>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</si>
  <si>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</si>
  <si>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</si>
  <si>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</si>
  <si>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</si>
  <si>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</si>
  <si>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</si>
  <si>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</si>
  <si>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</si>
  <si>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</si>
  <si>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</si>
  <si>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</si>
  <si>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</si>
  <si>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</si>
  <si>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</si>
  <si>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</si>
  <si>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</si>
  <si>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</si>
  <si>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</si>
  <si>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</si>
  <si>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</si>
  <si>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</si>
  <si>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</si>
  <si>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</si>
  <si>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</si>
  <si>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</si>
  <si>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</si>
  <si>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</si>
  <si>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</si>
  <si>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</si>
  <si>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</si>
  <si>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</si>
  <si>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</si>
  <si>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</si>
  <si>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</si>
  <si>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</si>
  <si>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</si>
  <si>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</si>
  <si>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</si>
  <si>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</si>
  <si>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</si>
  <si>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</si>
  <si>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</si>
  <si>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</si>
  <si>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</si>
  <si>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</si>
  <si>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</si>
  <si>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</si>
  <si>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</si>
  <si>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</si>
  <si>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</si>
  <si>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</si>
  <si>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</si>
  <si>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</si>
  <si>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</si>
  <si>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</si>
  <si>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</si>
  <si>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</si>
  <si>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</si>
  <si>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</si>
  <si>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</si>
  <si>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</si>
  <si>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</si>
  <si>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</si>
  <si>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</si>
  <si>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</si>
  <si>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</si>
  <si>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</si>
  <si>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</si>
  <si>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</si>
  <si>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</si>
  <si>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</si>
  <si>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</si>
  <si>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</si>
  <si>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</si>
  <si>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</si>
  <si>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</si>
  <si>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</si>
  <si>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</si>
  <si>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</si>
  <si>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</si>
  <si>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</si>
  <si>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</si>
  <si>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</si>
  <si>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</si>
  <si>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</si>
  <si>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</si>
  <si>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</si>
  <si>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</si>
  <si>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</si>
  <si>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</si>
  <si>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</si>
  <si>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</si>
  <si>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</si>
  <si>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</si>
  <si>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</si>
  <si>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</si>
  <si>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</si>
  <si>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</si>
  <si>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</si>
  <si>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</si>
  <si>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</si>
  <si>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</si>
  <si>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</si>
  <si>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</si>
  <si>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</si>
  <si>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</si>
  <si>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</si>
  <si>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</si>
  <si>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</si>
  <si>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</si>
  <si>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</si>
  <si>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</si>
  <si>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</si>
  <si>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</si>
  <si>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</si>
  <si>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</si>
  <si>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</si>
  <si>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</si>
  <si>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</si>
  <si>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</si>
  <si>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</si>
  <si>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</si>
  <si>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</si>
  <si>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</si>
  <si>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</si>
  <si>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</si>
  <si>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</si>
  <si>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</si>
  <si>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</si>
  <si>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</si>
  <si>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</si>
  <si>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</si>
  <si>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</si>
  <si>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</si>
  <si>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</si>
  <si>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</si>
  <si>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</si>
  <si>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</si>
  <si>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</si>
  <si>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</si>
  <si>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</si>
  <si>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</si>
  <si>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</si>
  <si>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</si>
  <si>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</si>
  <si>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</si>
  <si>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</si>
  <si>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</si>
  <si>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</si>
  <si>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</si>
  <si>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</si>
  <si>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</si>
  <si>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</si>
  <si>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</si>
  <si>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</si>
  <si>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</si>
  <si>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</si>
  <si>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</si>
  <si>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</si>
  <si>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</si>
  <si>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</si>
  <si>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</si>
  <si>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</si>
  <si>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</si>
  <si>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</si>
  <si>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</si>
  <si>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</si>
  <si>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</si>
  <si>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</si>
  <si>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</si>
  <si>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</si>
  <si>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</si>
  <si>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</si>
  <si>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</si>
  <si>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</si>
  <si>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</si>
  <si>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</si>
  <si>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</si>
  <si>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</si>
  <si>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</si>
  <si>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</si>
  <si>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</si>
  <si>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</si>
  <si>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</si>
  <si>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</si>
  <si>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</si>
  <si>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</si>
  <si>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</si>
  <si>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</si>
  <si>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</si>
  <si>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</si>
  <si>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</si>
  <si>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</si>
  <si>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</si>
  <si>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</si>
  <si>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</si>
  <si>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</si>
  <si>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</si>
  <si>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</si>
  <si>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</si>
  <si>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</si>
  <si>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</si>
  <si>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</si>
  <si>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</si>
  <si>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</si>
  <si>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</si>
  <si>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</si>
  <si>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</si>
  <si>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</si>
  <si>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</si>
  <si>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</si>
  <si>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</si>
  <si>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</si>
  <si>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</si>
  <si>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</si>
  <si>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</si>
  <si>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</si>
  <si>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</si>
  <si>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</si>
  <si>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</si>
  <si>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</si>
  <si>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</si>
  <si>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</si>
  <si>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</si>
  <si>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</si>
  <si>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</si>
  <si>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</si>
  <si>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</si>
  <si>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</si>
  <si>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</si>
  <si>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</si>
  <si>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</si>
  <si>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</si>
  <si>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</si>
  <si>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</si>
  <si>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</si>
  <si>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</si>
  <si>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</si>
  <si>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</si>
  <si>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</si>
  <si>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</si>
  <si>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</si>
  <si>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</si>
  <si>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</si>
  <si>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</si>
  <si>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</si>
  <si>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</si>
  <si>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</si>
  <si>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</si>
  <si>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</si>
  <si>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</si>
  <si>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</si>
  <si>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</si>
  <si>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</si>
  <si>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</si>
  <si>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</si>
  <si>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</si>
  <si>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</si>
  <si>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</si>
  <si>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</si>
  <si>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</si>
  <si>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</si>
  <si>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</si>
  <si>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</si>
  <si>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</si>
  <si>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</si>
  <si>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</si>
  <si>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</si>
  <si>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</si>
  <si>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</si>
  <si>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</si>
  <si>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</si>
  <si>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</si>
  <si>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</si>
  <si>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</si>
  <si>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</si>
  <si>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</si>
  <si>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</si>
  <si>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</si>
  <si>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</si>
  <si>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</si>
  <si>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</si>
  <si>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</si>
  <si>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</si>
  <si>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</si>
  <si>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</si>
  <si>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</si>
  <si>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</si>
  <si>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</si>
  <si>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</si>
  <si>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</si>
  <si>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</si>
  <si>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</si>
  <si>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</si>
  <si>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</si>
  <si>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</si>
  <si>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</si>
  <si>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</si>
  <si>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</si>
  <si>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</si>
  <si>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</si>
  <si>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</si>
  <si>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</si>
  <si>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</si>
  <si>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</si>
  <si>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</si>
  <si>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</si>
  <si>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</si>
  <si>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</si>
  <si>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</si>
  <si>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</si>
  <si>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</si>
  <si>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</si>
  <si>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</si>
  <si>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</si>
  <si>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</si>
  <si>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</si>
  <si>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</si>
  <si>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</si>
  <si>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</si>
  <si>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</si>
  <si>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</si>
  <si>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</si>
  <si>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</si>
  <si>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</si>
  <si>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</si>
  <si>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</si>
  <si>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</si>
  <si>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</si>
  <si>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</si>
  <si>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</si>
  <si>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</si>
  <si>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</si>
  <si>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</si>
  <si>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</si>
  <si>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</si>
  <si>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</si>
  <si>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</si>
  <si>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</si>
  <si>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</si>
  <si>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</si>
  <si>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</si>
  <si>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</si>
  <si>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</si>
  <si>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</si>
  <si>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</si>
  <si>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</si>
  <si>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</si>
  <si>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</si>
  <si>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</si>
  <si>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</si>
  <si>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</si>
  <si>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</si>
  <si>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</si>
  <si>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</si>
  <si>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</si>
  <si>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</si>
  <si>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</si>
  <si>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</si>
  <si>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</si>
  <si>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</si>
  <si>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</si>
  <si>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</si>
  <si>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</si>
  <si>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</si>
  <si>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</si>
  <si>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</si>
  <si>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</si>
  <si>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</si>
  <si>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</si>
  <si>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</si>
  <si>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</si>
  <si>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</si>
  <si>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</si>
  <si>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</si>
  <si>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</si>
  <si>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</si>
  <si>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</si>
  <si>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</si>
  <si>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</si>
  <si>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</si>
  <si>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</si>
  <si>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</si>
  <si>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</si>
  <si>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</si>
  <si>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</si>
  <si>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</si>
  <si>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</si>
  <si>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</si>
  <si>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</si>
  <si>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</si>
  <si>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</si>
  <si>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</si>
  <si>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</si>
  <si>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</si>
  <si>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</si>
  <si>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</si>
  <si>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</si>
  <si>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</si>
  <si>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</si>
  <si>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</si>
  <si>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</si>
  <si>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</si>
  <si>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</si>
  <si>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</si>
  <si>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</si>
  <si>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</si>
  <si>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</si>
  <si>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</si>
  <si>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</si>
  <si>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</si>
  <si>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</si>
  <si>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</si>
  <si>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</si>
  <si>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</si>
  <si>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</si>
  <si>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</si>
  <si>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</si>
  <si>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</si>
  <si>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</si>
  <si>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</si>
  <si>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</si>
  <si>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</si>
  <si>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</si>
  <si>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</si>
  <si>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</si>
  <si>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</si>
  <si>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</si>
  <si>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</si>
  <si>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</si>
  <si>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</si>
  <si>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</si>
  <si>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</si>
  <si>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</si>
  <si>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</si>
  <si>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</si>
  <si>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</si>
  <si>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</si>
  <si>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</si>
  <si>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</si>
  <si>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</si>
  <si>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</si>
  <si>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</si>
  <si>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</si>
  <si>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</si>
  <si>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</si>
  <si>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</si>
  <si>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</si>
  <si>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</si>
  <si>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</si>
  <si>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</si>
  <si>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</si>
  <si>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</si>
  <si>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</si>
  <si>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</si>
  <si>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</si>
  <si>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</si>
  <si>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</si>
  <si>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</si>
  <si>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</si>
  <si>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</si>
  <si>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</si>
  <si>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</si>
  <si>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</si>
  <si>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</si>
  <si>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</si>
  <si>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</si>
  <si>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</si>
  <si>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</si>
  <si>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</si>
  <si>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</si>
  <si>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</si>
  <si>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</si>
  <si>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</si>
  <si>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</si>
  <si>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</si>
  <si>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</si>
  <si>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</si>
  <si>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</si>
  <si>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</si>
  <si>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</si>
  <si>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</si>
  <si>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</si>
  <si>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</si>
  <si>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</si>
  <si>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</si>
  <si>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</si>
  <si>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</si>
  <si>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</si>
  <si>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</si>
  <si>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</si>
  <si>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</si>
  <si>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</si>
  <si>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</si>
  <si>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</si>
  <si>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</si>
  <si>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</si>
  <si>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</si>
  <si>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</si>
  <si>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</si>
  <si>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</si>
  <si>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</si>
  <si>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</si>
  <si>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</si>
  <si>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</si>
  <si>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</si>
  <si>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</si>
  <si>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</si>
  <si>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</si>
  <si>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</si>
  <si>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</si>
  <si>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</si>
  <si>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</si>
  <si>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</si>
  <si>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</si>
  <si>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</si>
  <si>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</si>
  <si>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</si>
  <si>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</si>
  <si>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</si>
  <si>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</si>
  <si>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</si>
  <si>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</si>
  <si>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</si>
  <si>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</si>
  <si>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</si>
  <si>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</si>
  <si>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</si>
  <si>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</si>
  <si>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</si>
  <si>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</si>
  <si>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</si>
  <si>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</si>
  <si>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</si>
  <si>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</si>
  <si>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</si>
  <si>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</si>
  <si>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</si>
  <si>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</si>
  <si>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</si>
  <si>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</si>
  <si>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</si>
  <si>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</si>
  <si>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</si>
  <si>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</si>
  <si>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</si>
  <si>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</si>
  <si>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</si>
  <si>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</si>
  <si>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</si>
  <si>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</si>
  <si>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</si>
  <si>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</si>
  <si>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</si>
  <si>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</si>
  <si>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</si>
  <si>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</si>
  <si>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</si>
  <si>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</si>
  <si>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</si>
  <si>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</si>
  <si>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</si>
  <si>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</si>
  <si>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</si>
  <si>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</si>
  <si>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</si>
  <si>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</si>
  <si>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</si>
  <si>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</si>
  <si>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</si>
  <si>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</si>
  <si>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</si>
  <si>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</si>
  <si>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</si>
  <si>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</si>
  <si>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</si>
  <si>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</si>
  <si>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</si>
  <si>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</si>
  <si>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</si>
  <si>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</si>
  <si>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</si>
  <si>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</si>
  <si>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</si>
  <si>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</si>
  <si>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</si>
  <si>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</si>
  <si>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</si>
  <si>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</si>
  <si>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</si>
  <si>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</si>
  <si>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</si>
  <si>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</si>
  <si>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</si>
  <si>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</si>
  <si>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</si>
  <si>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</si>
  <si>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</si>
  <si>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</si>
  <si>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</si>
  <si>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</si>
  <si>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</si>
  <si>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</si>
  <si>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</si>
  <si>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</si>
  <si>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</si>
  <si>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</si>
  <si>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</si>
  <si>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</si>
  <si>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</si>
  <si>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</si>
  <si>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</si>
  <si>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</si>
  <si>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</si>
  <si>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</si>
  <si>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</si>
  <si>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</si>
  <si>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</si>
  <si>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</si>
  <si>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</si>
  <si>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</si>
  <si>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</si>
  <si>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</si>
  <si>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</si>
  <si>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</si>
  <si>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</si>
  <si>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</si>
  <si>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</si>
  <si>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</si>
  <si>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</si>
  <si>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</si>
  <si>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</si>
  <si>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</si>
  <si>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</si>
  <si>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</si>
  <si>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</si>
  <si>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</si>
  <si>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</si>
  <si>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</si>
  <si>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</si>
  <si>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</si>
  <si>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</si>
  <si>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</si>
  <si>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</si>
  <si>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</si>
  <si>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</si>
  <si>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</si>
  <si>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</si>
  <si>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</si>
  <si>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</si>
  <si>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</si>
  <si>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</si>
  <si>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</si>
  <si>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</si>
  <si>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</si>
  <si>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</si>
  <si>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</si>
  <si>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</si>
  <si>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</si>
  <si>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</si>
  <si>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</si>
  <si>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</si>
  <si>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</si>
  <si>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</si>
  <si>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</si>
  <si>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</si>
  <si>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</si>
  <si>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</si>
  <si>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</si>
  <si>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</si>
  <si>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</si>
  <si>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</si>
  <si>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</si>
  <si>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</si>
  <si>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</si>
  <si>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</si>
  <si>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</si>
  <si>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</si>
  <si>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</si>
  <si>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</si>
  <si>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</si>
  <si>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</si>
  <si>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</si>
  <si>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</si>
  <si>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</si>
  <si>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</si>
  <si>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</si>
  <si>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</si>
  <si>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</si>
  <si>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</si>
  <si>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</si>
  <si>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</si>
  <si>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</si>
  <si>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</si>
  <si>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</si>
  <si>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</si>
  <si>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</si>
  <si>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</si>
  <si>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</si>
  <si>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</si>
  <si>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</si>
  <si>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</si>
  <si>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</si>
  <si>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</si>
  <si>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</si>
  <si>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</si>
  <si>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</si>
  <si>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</si>
  <si>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</si>
  <si>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</si>
  <si>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</si>
  <si>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</si>
  <si>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</si>
  <si>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</si>
  <si>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</si>
  <si>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</si>
  <si>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</si>
  <si>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</si>
  <si>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</si>
  <si>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</si>
  <si>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</si>
  <si>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</si>
  <si>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</si>
  <si>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</si>
  <si>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</si>
  <si>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</si>
  <si>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</si>
  <si>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</si>
  <si>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</si>
  <si>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</si>
  <si>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</si>
  <si>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</si>
  <si>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</si>
  <si>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</si>
  <si>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</si>
  <si>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</si>
  <si>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</si>
  <si>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</si>
  <si>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</si>
  <si>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</si>
  <si>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</si>
  <si>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</si>
  <si>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</si>
  <si>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</si>
  <si>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</si>
  <si>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</si>
  <si>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</si>
  <si>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</si>
  <si>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</si>
  <si>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</si>
  <si>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</si>
  <si>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</si>
  <si>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</si>
  <si>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</si>
  <si>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</si>
  <si>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</si>
  <si>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</si>
  <si>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</si>
  <si>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</si>
  <si>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</si>
  <si>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</si>
  <si>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</si>
  <si>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</si>
  <si>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</si>
  <si>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</si>
  <si>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</si>
  <si>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</si>
  <si>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</si>
  <si>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</si>
  <si>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</si>
  <si>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</si>
  <si>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</si>
  <si>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</si>
  <si>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</si>
  <si>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</si>
  <si>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</si>
  <si>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</si>
  <si>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</si>
  <si>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</si>
  <si>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</si>
  <si>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</si>
  <si>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</si>
  <si>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</si>
  <si>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</si>
  <si>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</si>
  <si>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</si>
  <si>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</si>
  <si>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</si>
  <si>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</si>
  <si>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</si>
  <si>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</si>
  <si>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</si>
  <si>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</si>
  <si>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</si>
  <si>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</si>
  <si>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</si>
  <si>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</si>
  <si>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</si>
  <si>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</si>
  <si>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</si>
  <si>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</si>
  <si>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</si>
  <si>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</si>
  <si>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</si>
  <si>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</si>
  <si>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</si>
  <si>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</si>
  <si>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</si>
  <si>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</si>
  <si>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</si>
  <si>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</si>
  <si>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</si>
  <si>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</si>
  <si>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</si>
  <si>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</si>
  <si>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</si>
  <si>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</si>
  <si>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</si>
  <si>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</si>
  <si>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</si>
  <si>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</si>
  <si>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</si>
  <si>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</si>
  <si>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</si>
  <si>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</si>
  <si>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</si>
  <si>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</si>
  <si>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</si>
  <si>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</si>
  <si>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</si>
  <si>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</si>
  <si>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</si>
  <si>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</si>
  <si>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</si>
  <si>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</si>
  <si>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</si>
  <si>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</si>
  <si>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</si>
  <si>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</si>
  <si>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</si>
  <si>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</si>
  <si>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</si>
  <si>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</si>
  <si>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</si>
  <si>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</si>
  <si>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</si>
  <si>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</si>
  <si>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</si>
  <si>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</si>
  <si>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</si>
  <si>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</si>
  <si>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</si>
  <si>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</si>
  <si>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</si>
  <si>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</si>
  <si>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</si>
  <si>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</si>
  <si>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</si>
  <si>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</si>
  <si>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</si>
  <si>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</si>
  <si>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</si>
  <si>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</si>
  <si>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</si>
  <si>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</si>
  <si>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</si>
  <si>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</si>
  <si>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</si>
  <si>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</si>
  <si>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</si>
  <si>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</si>
  <si>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</si>
  <si>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</si>
  <si>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</si>
  <si>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</si>
  <si>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</si>
  <si>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</si>
  <si>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</si>
  <si>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</si>
  <si>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</si>
  <si>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</si>
  <si>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</si>
  <si>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</si>
  <si>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</si>
  <si>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</si>
  <si>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</si>
  <si>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</si>
  <si>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</si>
  <si>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</si>
  <si>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</si>
  <si>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</si>
  <si>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</si>
  <si>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</si>
  <si>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</si>
  <si>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</si>
  <si>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</si>
  <si>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</si>
  <si>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</si>
  <si>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</si>
  <si>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</si>
  <si>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</si>
  <si>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</si>
  <si>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</si>
  <si>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</si>
  <si>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</si>
  <si>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</si>
  <si>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</si>
  <si>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</si>
  <si>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</si>
  <si>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</si>
  <si>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</si>
  <si>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</si>
  <si>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</si>
  <si>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</si>
  <si>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</si>
  <si>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</si>
  <si>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</si>
  <si>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</si>
  <si>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</si>
  <si>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</si>
  <si>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</si>
  <si>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</si>
  <si>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</si>
  <si>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</si>
  <si>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</si>
  <si>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</si>
  <si>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</si>
  <si>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</si>
  <si>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</si>
  <si>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</si>
  <si>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</si>
  <si>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</si>
  <si>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</si>
  <si>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</si>
  <si>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</si>
  <si>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</si>
  <si>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</si>
  <si>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</si>
  <si>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</si>
  <si>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</si>
  <si>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</si>
  <si>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</si>
  <si>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</si>
  <si>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</si>
  <si>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</si>
  <si>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</si>
  <si>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</si>
  <si>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</si>
  <si>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</si>
  <si>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</si>
  <si>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</si>
  <si>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</si>
  <si>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</si>
  <si>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</si>
  <si>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</si>
  <si>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</si>
  <si>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</si>
  <si>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</si>
  <si>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</si>
  <si>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</si>
  <si>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</si>
  <si>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</si>
  <si>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</si>
  <si>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</si>
  <si>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</si>
  <si>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</si>
  <si>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</si>
  <si>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</si>
  <si>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</si>
  <si>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</si>
  <si>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</si>
  <si>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</si>
  <si>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</si>
  <si>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</si>
  <si>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</si>
  <si>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</si>
  <si>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</si>
  <si>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</si>
  <si>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</si>
  <si>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</si>
  <si>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</si>
  <si>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</si>
  <si>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</si>
  <si>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</si>
  <si>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</si>
  <si>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</si>
  <si>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</si>
  <si>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</si>
  <si>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</si>
  <si>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</si>
  <si>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</si>
  <si>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</si>
  <si>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</si>
  <si>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</si>
  <si>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</si>
  <si>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</si>
  <si>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</si>
  <si>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</si>
  <si>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</si>
  <si>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</si>
  <si>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</si>
  <si>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</si>
  <si>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</si>
  <si>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</si>
  <si>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</si>
  <si>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</si>
  <si>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</si>
  <si>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</si>
  <si>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</si>
  <si>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</si>
  <si>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</si>
  <si>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</si>
  <si>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</si>
  <si>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</si>
  <si>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</si>
  <si>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</si>
  <si>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</si>
  <si>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</si>
  <si>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</si>
  <si>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</si>
  <si>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</si>
  <si>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</si>
  <si>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</si>
  <si>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</si>
  <si>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</si>
  <si>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</si>
  <si>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</si>
  <si>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</si>
  <si>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</si>
  <si>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</si>
  <si>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</si>
  <si>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</si>
  <si>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</si>
  <si>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</si>
  <si>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</si>
  <si>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</si>
  <si>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</si>
  <si>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</si>
  <si>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</si>
  <si>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</si>
  <si>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</si>
  <si>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</si>
  <si>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</si>
  <si>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</si>
  <si>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</si>
  <si>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</si>
  <si>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</si>
  <si>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</si>
  <si>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</si>
  <si>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</si>
  <si>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</si>
  <si>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</si>
  <si>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</si>
  <si>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</si>
  <si>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</si>
  <si>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</si>
  <si>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</si>
  <si>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</si>
  <si>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</si>
  <si>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</si>
  <si>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</si>
  <si>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</si>
  <si>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</si>
  <si>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</si>
  <si>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</si>
  <si>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</si>
  <si>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</si>
  <si>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</si>
  <si>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</si>
  <si>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</si>
  <si>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</si>
  <si>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</si>
  <si>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</si>
  <si>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</si>
  <si>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</si>
  <si>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</si>
  <si>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</si>
  <si>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</si>
  <si>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</si>
  <si>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</si>
  <si>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</si>
  <si>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</si>
  <si>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</si>
  <si>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</si>
  <si>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</si>
  <si>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</si>
  <si>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</si>
  <si>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</si>
  <si>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</si>
  <si>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</si>
  <si>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</si>
  <si>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</si>
  <si>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</si>
  <si>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</si>
  <si>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</si>
  <si>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</si>
  <si>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</si>
  <si>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</si>
  <si>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</si>
  <si>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</si>
  <si>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</si>
  <si>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</si>
  <si>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</si>
  <si>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</si>
  <si>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</si>
  <si>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</si>
  <si>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</si>
  <si>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</si>
  <si>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</si>
  <si>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</si>
  <si>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</si>
  <si>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</si>
  <si>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</si>
  <si>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</si>
  <si>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</si>
  <si>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</si>
  <si>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</si>
  <si>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</si>
  <si>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</si>
  <si>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</si>
  <si>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</si>
  <si>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</si>
  <si>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</si>
  <si>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</si>
  <si>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</si>
  <si>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</si>
  <si>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</si>
  <si>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</si>
  <si>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</si>
  <si>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</si>
  <si>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</si>
  <si>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</si>
  <si>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</si>
  <si>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</si>
  <si>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</si>
  <si>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</si>
  <si>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</si>
  <si>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</si>
  <si>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</si>
  <si>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</si>
  <si>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</si>
  <si>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</si>
  <si>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</si>
  <si>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</si>
  <si>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</si>
  <si>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</si>
  <si>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</si>
  <si>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</si>
  <si>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</si>
  <si>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</si>
  <si>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</si>
  <si>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</si>
  <si>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</si>
  <si>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</si>
  <si>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</si>
  <si>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</si>
  <si>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</si>
  <si>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</si>
  <si>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</si>
  <si>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</si>
  <si>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</si>
  <si>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</si>
  <si>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</si>
  <si>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</si>
  <si>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</si>
  <si>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</si>
  <si>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</si>
  <si>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</si>
  <si>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</si>
  <si>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</si>
  <si>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</si>
  <si>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</si>
  <si>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</si>
  <si>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</si>
  <si>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</si>
  <si>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</si>
  <si>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</si>
  <si>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</si>
  <si>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</si>
  <si>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</si>
  <si>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</si>
  <si>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</si>
  <si>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</si>
  <si>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</si>
  <si>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</si>
  <si>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</si>
  <si>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</si>
  <si>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</si>
  <si>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</si>
  <si>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</si>
  <si>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</si>
  <si>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</si>
  <si>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</si>
  <si>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</si>
  <si>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</si>
  <si>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</si>
  <si>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</si>
  <si>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</si>
  <si>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</si>
  <si>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</si>
  <si>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</si>
  <si>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</si>
  <si>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</si>
  <si>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</si>
  <si>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</si>
  <si>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</si>
  <si>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</si>
  <si>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</si>
  <si>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</si>
  <si>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</si>
  <si>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</si>
  <si>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</si>
  <si>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</si>
  <si>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</si>
  <si>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</si>
  <si>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</si>
  <si>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</si>
  <si>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</si>
  <si>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</si>
  <si>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</si>
  <si>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</si>
  <si>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</si>
  <si>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</si>
  <si>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</si>
  <si>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</si>
  <si>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</si>
  <si>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</si>
  <si>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</si>
  <si>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</si>
  <si>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</si>
  <si>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</si>
  <si>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</si>
  <si>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</si>
  <si>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</si>
  <si>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</si>
  <si>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</si>
  <si>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</si>
  <si>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</si>
  <si>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</si>
  <si>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</si>
  <si>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</si>
  <si>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</si>
  <si>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</si>
  <si>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</si>
  <si>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</si>
  <si>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</si>
  <si>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</si>
  <si>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</si>
  <si>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</si>
  <si>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</si>
  <si>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</si>
  <si>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</si>
  <si>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</si>
  <si>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</si>
  <si>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</si>
  <si>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</si>
  <si>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</si>
  <si>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</si>
  <si>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</si>
  <si>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</si>
  <si>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</si>
  <si>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</si>
  <si>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</si>
  <si>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</si>
  <si>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</si>
  <si>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</si>
  <si>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</si>
  <si>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</si>
  <si>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</si>
  <si>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</si>
  <si>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</si>
  <si>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</si>
  <si>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</si>
  <si>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</si>
  <si>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</si>
  <si>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</si>
  <si>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</si>
  <si>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</si>
  <si>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</si>
  <si>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</si>
  <si>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</si>
  <si>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</si>
  <si>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</si>
  <si>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</si>
  <si>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</si>
  <si>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</si>
  <si>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</si>
  <si>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</si>
  <si>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</si>
  <si>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</si>
  <si>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</si>
  <si>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</si>
  <si>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</si>
  <si>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</si>
  <si>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</si>
  <si>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</si>
  <si>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</si>
  <si>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</si>
  <si>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</si>
  <si>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</si>
  <si>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</si>
  <si>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</si>
  <si>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</si>
  <si>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</si>
  <si>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</si>
  <si>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</si>
  <si>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</si>
  <si>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</si>
  <si>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</si>
  <si>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</si>
  <si>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</si>
  <si>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</si>
  <si>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</si>
  <si>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</si>
  <si>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</si>
  <si>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</si>
  <si>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</si>
  <si>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</si>
  <si>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</si>
  <si>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</si>
  <si>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</si>
  <si>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</si>
  <si>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</si>
  <si>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</si>
  <si>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</si>
  <si>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</si>
  <si>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</si>
  <si>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</si>
  <si>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</si>
  <si>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</si>
  <si>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</si>
  <si>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</si>
  <si>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</si>
  <si>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</si>
  <si>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</si>
  <si>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</si>
  <si>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</si>
  <si>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</si>
  <si>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</si>
  <si>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</si>
  <si>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</si>
  <si>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</si>
  <si>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</si>
  <si>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</si>
  <si>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</si>
  <si>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</si>
  <si>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</si>
  <si>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</si>
  <si>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</si>
  <si>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</si>
  <si>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</si>
  <si>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</si>
  <si>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</si>
  <si>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</si>
  <si>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</si>
  <si>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</si>
  <si>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</si>
  <si>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</si>
  <si>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</si>
  <si>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</si>
  <si>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</si>
  <si>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</si>
  <si>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</si>
  <si>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</si>
  <si>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</si>
  <si>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</si>
  <si>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</si>
  <si>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</si>
  <si>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</si>
  <si>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</si>
  <si>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</si>
  <si>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</si>
  <si>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</si>
  <si>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</si>
  <si>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</si>
  <si>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</si>
  <si>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</si>
  <si>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</si>
  <si>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</si>
  <si>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</si>
  <si>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</si>
  <si>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</si>
  <si>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</si>
  <si>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</si>
  <si>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</si>
  <si>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</si>
  <si>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</si>
  <si>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</si>
  <si>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</si>
  <si>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</si>
  <si>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</si>
  <si>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</si>
  <si>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</si>
  <si>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</si>
  <si>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</si>
  <si>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</si>
  <si>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</si>
  <si>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</si>
  <si>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</si>
  <si>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</si>
  <si>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</si>
  <si>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</si>
  <si>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</si>
  <si>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</si>
  <si>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</si>
  <si>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</si>
  <si>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</si>
  <si>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</si>
  <si>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</si>
  <si>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</si>
  <si>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</si>
  <si>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</si>
  <si>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</si>
  <si>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</si>
  <si>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</si>
  <si>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</si>
  <si>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</si>
  <si>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</si>
  <si>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</si>
  <si>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</si>
  <si>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</si>
  <si>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</si>
  <si>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</si>
  <si>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</si>
  <si>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</si>
  <si>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</si>
  <si>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</si>
  <si>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</si>
  <si>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</si>
  <si>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</si>
  <si>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</si>
  <si>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</si>
  <si>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</si>
  <si>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</si>
  <si>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</si>
  <si>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</si>
  <si>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</si>
  <si>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</si>
  <si>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</si>
  <si>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</si>
  <si>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</si>
  <si>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</si>
  <si>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</si>
  <si>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</si>
  <si>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</si>
  <si>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</si>
  <si>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</si>
  <si>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</si>
  <si>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</si>
  <si>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</si>
  <si>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</si>
  <si>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</si>
  <si>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</si>
  <si>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</si>
  <si>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</si>
  <si>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</si>
  <si>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</si>
  <si>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</si>
  <si>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</si>
  <si>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</si>
  <si>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</si>
  <si>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</si>
  <si>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</si>
  <si>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</si>
  <si>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</si>
  <si>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</si>
  <si>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</si>
  <si>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</si>
  <si>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</si>
  <si>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</si>
  <si>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</si>
  <si>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</si>
  <si>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</si>
  <si>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</si>
  <si>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</si>
  <si>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</si>
  <si>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</si>
  <si>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</si>
  <si>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</si>
  <si>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</si>
  <si>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</si>
  <si>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</si>
  <si>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</si>
  <si>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</si>
  <si>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</si>
  <si>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</si>
  <si>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</si>
  <si>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</si>
  <si>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</si>
  <si>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</si>
  <si>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</si>
  <si>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</si>
  <si>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</si>
  <si>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</si>
  <si>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</si>
  <si>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</si>
  <si>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</si>
  <si>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</si>
  <si>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</si>
  <si>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</si>
  <si>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</si>
  <si>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</si>
  <si>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</si>
  <si>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</si>
  <si>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</si>
  <si>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</si>
  <si>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</si>
  <si>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</si>
  <si>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</si>
  <si>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</si>
  <si>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</si>
  <si>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</si>
  <si>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</si>
  <si>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</si>
  <si>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</si>
  <si>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</si>
  <si>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</si>
  <si>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</si>
  <si>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</si>
  <si>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</si>
  <si>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</si>
  <si>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</si>
  <si>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</si>
  <si>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</si>
  <si>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</si>
  <si>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</si>
  <si>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</si>
  <si>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</si>
  <si>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</si>
  <si>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</si>
  <si>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</si>
  <si>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</si>
  <si>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</si>
  <si>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</si>
  <si>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</si>
  <si>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</si>
  <si>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</si>
  <si>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</si>
  <si>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</si>
  <si>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</si>
  <si>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</si>
  <si>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</si>
  <si>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</si>
  <si>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</si>
  <si>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</si>
  <si>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</si>
  <si>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</si>
  <si>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</si>
  <si>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</si>
  <si>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</si>
  <si>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</si>
  <si>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</si>
  <si>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</si>
  <si>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</si>
  <si>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</si>
  <si>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</si>
  <si>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</si>
  <si>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</si>
  <si>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</si>
  <si>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</si>
  <si>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</si>
  <si>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</si>
  <si>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</si>
  <si>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</si>
  <si>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</si>
  <si>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</si>
  <si>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</si>
  <si>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</si>
  <si>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</si>
  <si>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</si>
  <si>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</si>
  <si>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</si>
  <si>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</si>
  <si>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</si>
  <si>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</si>
  <si>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</si>
  <si>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</si>
  <si>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</si>
  <si>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</si>
  <si>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</si>
  <si>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</si>
  <si>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</si>
  <si>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</si>
  <si>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</si>
  <si>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</si>
  <si>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</si>
  <si>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</si>
  <si>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</si>
  <si>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</si>
  <si>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</si>
  <si>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</si>
  <si>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</si>
  <si>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</si>
  <si>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</si>
  <si>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</si>
  <si>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</si>
  <si>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</si>
  <si>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</si>
  <si>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</si>
  <si>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</si>
  <si>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</si>
  <si>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</si>
  <si>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</si>
  <si>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</si>
  <si>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</si>
  <si>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</si>
  <si>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</si>
  <si>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</si>
  <si>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</si>
  <si>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</si>
  <si>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</si>
  <si>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</si>
  <si>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</si>
  <si>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</si>
  <si>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</si>
  <si>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</si>
  <si>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</si>
  <si>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</si>
  <si>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</si>
  <si>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</si>
  <si>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</si>
  <si>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</si>
  <si>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</si>
  <si>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</si>
  <si>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</si>
  <si>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</si>
  <si>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</si>
  <si>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</si>
  <si>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</si>
  <si>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</si>
  <si>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</si>
  <si>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</si>
  <si>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</si>
  <si>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</si>
  <si>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</si>
  <si>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</si>
  <si>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</si>
  <si>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</si>
  <si>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</si>
  <si>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</si>
  <si>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</si>
  <si>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</si>
  <si>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</si>
  <si>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</si>
  <si>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</si>
  <si>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</si>
  <si>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</si>
  <si>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</si>
  <si>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</si>
  <si>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</si>
  <si>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</si>
  <si>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</si>
  <si>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</si>
  <si>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</si>
  <si>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</si>
  <si>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</si>
  <si>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</si>
  <si>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</si>
  <si>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</si>
  <si>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</si>
  <si>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</si>
  <si>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</si>
  <si>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</si>
  <si>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</si>
  <si>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</si>
  <si>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</si>
  <si>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</si>
  <si>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</si>
  <si>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</si>
  <si>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</si>
  <si>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</si>
  <si>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</si>
  <si>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</si>
  <si>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</si>
  <si>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</si>
  <si>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</si>
  <si>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</si>
  <si>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</si>
  <si>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</si>
  <si>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</si>
  <si>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</si>
  <si>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</si>
  <si>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</si>
  <si>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</si>
  <si>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</si>
  <si>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</si>
  <si>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</si>
  <si>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</si>
  <si>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</si>
  <si>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</si>
  <si>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</si>
  <si>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</si>
  <si>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</si>
  <si>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</si>
  <si>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</si>
  <si>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</si>
  <si>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</si>
  <si>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</si>
  <si>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</si>
  <si>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</si>
  <si>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</si>
  <si>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</si>
  <si>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</si>
  <si>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</si>
  <si>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</si>
  <si>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</si>
  <si>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</si>
  <si>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</si>
  <si>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</si>
  <si>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</si>
  <si>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</si>
  <si>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</si>
  <si>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</si>
  <si>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</si>
  <si>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</si>
  <si>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</si>
  <si>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</si>
  <si>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</si>
  <si>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</si>
  <si>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</si>
  <si>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</si>
  <si>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</si>
  <si>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</si>
  <si>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</si>
  <si>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</si>
  <si>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</si>
  <si>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</si>
  <si>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</si>
  <si>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</si>
  <si>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</si>
  <si>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</si>
  <si>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</si>
  <si>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</si>
  <si>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</si>
  <si>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</si>
  <si>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</si>
  <si>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</si>
  <si>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</si>
  <si>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</si>
  <si>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</si>
  <si>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</si>
  <si>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</si>
  <si>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</si>
  <si>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</si>
  <si>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</si>
  <si>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</si>
  <si>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</si>
  <si>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</si>
  <si>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</si>
  <si>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</si>
  <si>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</si>
  <si>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</si>
  <si>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</si>
  <si>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</si>
  <si>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</si>
  <si>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</si>
  <si>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</si>
  <si>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</si>
  <si>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</si>
  <si>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</si>
  <si>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</si>
  <si>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</si>
  <si>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</si>
  <si>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</si>
  <si>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</si>
  <si>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</si>
  <si>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</si>
  <si>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</si>
  <si>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</si>
  <si>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</si>
  <si>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</si>
  <si>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</si>
  <si>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</si>
  <si>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</si>
  <si>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</si>
  <si>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</si>
  <si>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</si>
  <si>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</si>
  <si>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</si>
  <si>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</si>
  <si>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</si>
  <si>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</si>
  <si>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</si>
  <si>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</si>
  <si>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</si>
  <si>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</si>
  <si>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</si>
  <si>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</si>
  <si>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</si>
  <si>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</si>
  <si>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</si>
  <si>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</si>
  <si>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</si>
  <si>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</si>
  <si>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</si>
  <si>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</si>
  <si>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</si>
  <si>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</si>
  <si>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</si>
  <si>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</si>
  <si>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</si>
  <si>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</si>
  <si>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</si>
  <si>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</si>
  <si>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</si>
  <si>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</si>
  <si>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</si>
  <si>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</si>
  <si>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</si>
  <si>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</si>
  <si>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</si>
  <si>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</si>
  <si>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</si>
  <si>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</si>
  <si>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</si>
  <si>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</si>
  <si>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</si>
  <si>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</si>
  <si>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</si>
  <si>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</si>
  <si>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</si>
  <si>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</si>
  <si>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</si>
  <si>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</si>
  <si>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</si>
  <si>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</si>
  <si>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</si>
  <si>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</si>
  <si>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</si>
  <si>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</si>
  <si>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</si>
  <si>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</si>
  <si>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</si>
  <si>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</si>
  <si>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</si>
  <si>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</si>
  <si>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</si>
  <si>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</si>
  <si>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</si>
  <si>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</si>
  <si>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</si>
  <si>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</si>
  <si>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</si>
  <si>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</si>
  <si>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</si>
  <si>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</si>
  <si>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</si>
  <si>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</si>
  <si>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</si>
  <si>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</si>
  <si>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</si>
  <si>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</si>
  <si>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</si>
  <si>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</si>
  <si>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</si>
  <si>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</si>
  <si>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</si>
  <si>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</si>
  <si>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</si>
  <si>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</si>
  <si>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</si>
  <si>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</si>
  <si>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</si>
  <si>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</si>
  <si>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</si>
  <si>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</si>
  <si>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</si>
  <si>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</si>
  <si>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</si>
  <si>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</si>
  <si>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</si>
  <si>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</si>
  <si>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</si>
  <si>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</si>
  <si>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</si>
  <si>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</si>
  <si>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</si>
  <si>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</si>
  <si>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</si>
  <si>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</si>
  <si>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</si>
  <si>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</si>
  <si>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</si>
  <si>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</si>
  <si>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</si>
  <si>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</si>
  <si>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</si>
  <si>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</si>
  <si>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</si>
  <si>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</si>
  <si>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</si>
  <si>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</si>
  <si>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</si>
  <si>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</si>
  <si>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</si>
  <si>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</si>
  <si>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</si>
  <si>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</si>
  <si>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</si>
  <si>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</si>
  <si>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</si>
  <si>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</si>
  <si>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</si>
  <si>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</si>
  <si>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</si>
  <si>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</si>
  <si>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</si>
  <si>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</si>
  <si>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</si>
  <si>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</si>
  <si>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</si>
  <si>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</si>
  <si>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</si>
  <si>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</si>
  <si>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</si>
  <si>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</si>
  <si>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</si>
  <si>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</si>
  <si>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</si>
  <si>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</si>
  <si>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</si>
  <si>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</si>
  <si>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</si>
  <si>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</si>
  <si>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</si>
  <si>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</si>
  <si>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</si>
  <si>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</si>
  <si>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</si>
  <si>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</si>
  <si>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</si>
  <si>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</si>
  <si>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</si>
  <si>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</si>
  <si>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</si>
  <si>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</si>
  <si>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</si>
  <si>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</si>
  <si>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</si>
  <si>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</si>
  <si>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</si>
  <si>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</si>
  <si>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</si>
  <si>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</si>
  <si>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</si>
  <si>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</si>
  <si>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</si>
  <si>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</si>
  <si>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</si>
  <si>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</si>
  <si>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</si>
  <si>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</si>
  <si>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</si>
  <si>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</si>
  <si>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</si>
  <si>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</si>
  <si>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</si>
  <si>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</si>
  <si>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</si>
  <si>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</si>
  <si>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</si>
  <si>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</si>
  <si>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</si>
  <si>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</si>
  <si>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</si>
  <si>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</si>
  <si>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</si>
  <si>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</si>
  <si>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</si>
  <si>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</si>
  <si>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</si>
  <si>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</si>
  <si>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</si>
  <si>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</si>
  <si>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</si>
  <si>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</si>
  <si>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</si>
  <si>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</si>
  <si>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</si>
  <si>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</si>
  <si>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</si>
  <si>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</si>
  <si>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</si>
  <si>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</si>
  <si>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</si>
  <si>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</si>
  <si>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</si>
  <si>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</si>
  <si>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</si>
  <si>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</si>
  <si>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</si>
  <si>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</si>
  <si>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</si>
  <si>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</si>
  <si>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</si>
  <si>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</si>
  <si>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</si>
  <si>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</si>
  <si>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</si>
  <si>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</si>
  <si>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</si>
  <si>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</si>
  <si>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</si>
  <si>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</si>
  <si>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</si>
  <si>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</si>
  <si>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</si>
  <si>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</si>
  <si>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</si>
  <si>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</si>
  <si>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</si>
  <si>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</si>
  <si>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</si>
  <si>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</si>
  <si>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</si>
  <si>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</si>
  <si>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</si>
  <si>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</si>
  <si>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</si>
  <si>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</si>
  <si>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</si>
  <si>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</si>
  <si>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</si>
  <si>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</si>
  <si>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</si>
  <si>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</si>
  <si>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</si>
  <si>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</si>
  <si>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</si>
  <si>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</si>
  <si>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</si>
  <si>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</si>
  <si>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</si>
  <si>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</si>
  <si>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</si>
  <si>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</si>
  <si>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</si>
  <si>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</si>
  <si>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</si>
  <si>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</si>
  <si>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</si>
  <si>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</si>
  <si>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</si>
  <si>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</si>
  <si>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</si>
  <si>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</si>
  <si>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</si>
  <si>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</si>
  <si>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</si>
  <si>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</si>
  <si>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</si>
  <si>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</si>
  <si>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</si>
  <si>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</si>
  <si>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</si>
  <si>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</si>
  <si>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</si>
  <si>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</si>
  <si>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</si>
  <si>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</si>
  <si>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</si>
  <si>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</si>
  <si>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</si>
  <si>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</si>
  <si>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</si>
  <si>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</si>
  <si>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</si>
  <si>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</si>
  <si>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</si>
  <si>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</si>
  <si>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</si>
  <si>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</si>
  <si>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</si>
  <si>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</si>
  <si>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</si>
  <si>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</si>
  <si>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</si>
  <si>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</si>
  <si>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</si>
  <si>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</si>
  <si>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</si>
  <si>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</si>
  <si>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</si>
  <si>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</si>
  <si>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</si>
  <si>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</si>
  <si>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</si>
  <si>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</si>
  <si>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</si>
  <si>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</si>
  <si>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</si>
  <si>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</si>
  <si>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</si>
  <si>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</si>
  <si>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</si>
  <si>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</si>
  <si>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</si>
  <si>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</si>
  <si>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</si>
  <si>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</si>
  <si>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</si>
  <si>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</si>
  <si>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</si>
  <si>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</si>
  <si>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</si>
  <si>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</si>
  <si>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</si>
  <si>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</si>
  <si>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</si>
  <si>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</si>
  <si>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</si>
  <si>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</si>
  <si>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</si>
  <si>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</si>
  <si>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</si>
  <si>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</si>
  <si>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</si>
  <si>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</si>
  <si>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</si>
  <si>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</si>
  <si>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</si>
  <si>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</si>
  <si>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</si>
  <si>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</si>
  <si>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</si>
  <si>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</si>
  <si>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</si>
  <si>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</si>
  <si>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</si>
  <si>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</si>
  <si>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</si>
  <si>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</si>
  <si>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</si>
  <si>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</si>
  <si>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</si>
  <si>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</si>
  <si>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</si>
  <si>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</si>
  <si>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</si>
  <si>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</si>
  <si>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</si>
  <si>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</si>
  <si>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</si>
  <si>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</si>
  <si>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</si>
  <si>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</si>
  <si>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</si>
  <si>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</si>
  <si>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</si>
  <si>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</si>
  <si>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</si>
  <si>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</si>
  <si>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</si>
  <si>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</si>
  <si>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</si>
  <si>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</si>
  <si>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</si>
  <si>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</si>
  <si>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</si>
  <si>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</si>
  <si>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</si>
  <si>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</si>
  <si>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</si>
  <si>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</si>
  <si>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</si>
  <si>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</si>
  <si>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</si>
  <si>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</si>
  <si>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</si>
  <si>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</si>
  <si>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</si>
  <si>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</si>
  <si>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</si>
  <si>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</si>
  <si>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</si>
  <si>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</si>
  <si>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</si>
  <si>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</si>
  <si>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</si>
  <si>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</si>
  <si>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</si>
  <si>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</si>
  <si>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</si>
  <si>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</si>
  <si>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</si>
  <si>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</si>
  <si>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</si>
  <si>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</si>
  <si>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</si>
  <si>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</si>
  <si>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</si>
  <si>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</si>
  <si>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</si>
  <si>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</si>
  <si>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</si>
  <si>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</si>
  <si>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</si>
  <si>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</si>
  <si>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</si>
  <si>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</si>
  <si>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</si>
  <si>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</si>
  <si>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</si>
  <si>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</si>
  <si>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</si>
  <si>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</si>
  <si>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</si>
  <si>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</si>
  <si>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</si>
  <si>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</si>
  <si>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</si>
  <si>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</si>
  <si>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</si>
  <si>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</si>
  <si>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</si>
  <si>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</si>
  <si>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</si>
  <si>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</si>
  <si>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</si>
  <si>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</si>
  <si>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</si>
  <si>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</si>
  <si>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</si>
  <si>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</si>
  <si>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</si>
  <si>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</si>
  <si>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</si>
  <si>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</si>
  <si>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</si>
  <si>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</si>
  <si>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</si>
  <si>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</si>
  <si>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</si>
  <si>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</si>
  <si>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</si>
  <si>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</si>
  <si>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</si>
  <si>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</si>
  <si>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</si>
  <si>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</si>
  <si>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</si>
  <si>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</si>
  <si>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</si>
  <si>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</si>
  <si>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</si>
  <si>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</si>
  <si>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</si>
  <si>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</si>
  <si>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</si>
  <si>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</si>
  <si>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</si>
  <si>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</si>
  <si>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</si>
  <si>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</si>
  <si>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</si>
  <si>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</si>
  <si>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</si>
  <si>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</si>
  <si>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</si>
  <si>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</si>
  <si>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</si>
  <si>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</si>
  <si>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</si>
  <si>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</si>
  <si>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</si>
  <si>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</si>
  <si>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</si>
  <si>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</si>
  <si>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</si>
  <si>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</si>
  <si>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</si>
  <si>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</si>
  <si>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</si>
  <si>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</si>
  <si>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</si>
  <si>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</si>
  <si>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</si>
  <si>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</si>
  <si>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</si>
  <si>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</si>
  <si>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</si>
  <si>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</si>
  <si>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</si>
  <si>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</si>
  <si>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</si>
  <si>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</si>
  <si>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</si>
  <si>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</si>
  <si>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</si>
  <si>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</si>
  <si>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</si>
  <si>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</si>
  <si>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</si>
  <si>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</si>
  <si>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</si>
  <si>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</si>
  <si>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</si>
  <si>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</si>
  <si>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</si>
  <si>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</si>
  <si>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</si>
  <si>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</si>
  <si>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</si>
  <si>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</si>
  <si>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</si>
  <si>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</si>
  <si>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</si>
  <si>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</si>
  <si>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</si>
  <si>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</si>
  <si>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</si>
  <si>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</si>
  <si>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</si>
  <si>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</si>
  <si>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</si>
  <si>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</si>
  <si>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</si>
  <si>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</si>
  <si>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</si>
  <si>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</si>
  <si>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</si>
  <si>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</si>
  <si>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</si>
  <si>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</si>
  <si>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</si>
  <si>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</si>
  <si>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</si>
  <si>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</si>
  <si>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</si>
  <si>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</si>
  <si>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</si>
  <si>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</si>
  <si>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</si>
  <si>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</si>
  <si>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</si>
  <si>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</si>
  <si>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</si>
  <si>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</si>
  <si>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</si>
  <si>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</si>
  <si>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</si>
  <si>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</si>
  <si>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</si>
  <si>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</si>
  <si>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</si>
  <si>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</si>
  <si>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</si>
  <si>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</si>
  <si>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</si>
  <si>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</si>
  <si>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</si>
  <si>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</si>
  <si>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</si>
  <si>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</si>
  <si>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</si>
  <si>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</si>
  <si>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</si>
  <si>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</si>
  <si>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</si>
  <si>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</si>
  <si>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</si>
  <si>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</si>
  <si>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</si>
  <si>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</si>
  <si>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</si>
  <si>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</si>
  <si>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</si>
  <si>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</si>
  <si>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</si>
  <si>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</si>
  <si>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</si>
  <si>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</si>
  <si>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</si>
  <si>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</si>
  <si>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</si>
  <si>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</si>
  <si>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</si>
  <si>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</si>
  <si>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</si>
  <si>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</si>
  <si>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</si>
  <si>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</si>
  <si>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</si>
  <si>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</si>
  <si>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</si>
  <si>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</si>
  <si>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</si>
  <si>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</si>
  <si>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</si>
  <si>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</si>
  <si>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</si>
  <si>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</si>
  <si>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</si>
  <si>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</si>
  <si>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</si>
  <si>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</si>
  <si>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</si>
  <si>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</si>
  <si>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</si>
  <si>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</si>
  <si>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</si>
  <si>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</si>
  <si>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</si>
  <si>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</si>
  <si>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</si>
  <si>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</si>
  <si>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</si>
  <si>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</si>
  <si>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</si>
  <si>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</si>
  <si>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</si>
  <si>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</si>
  <si>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</si>
  <si>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</si>
  <si>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</si>
  <si>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</si>
  <si>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</si>
  <si>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</si>
  <si>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</si>
  <si>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</si>
  <si>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</si>
  <si>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</si>
  <si>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</si>
  <si>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</si>
  <si>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</si>
  <si>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</si>
  <si>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</si>
  <si>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</si>
  <si>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</si>
  <si>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</si>
  <si>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</si>
  <si>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</si>
  <si>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</si>
  <si>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</si>
  <si>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</si>
  <si>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</si>
  <si>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</si>
  <si>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</si>
  <si>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</si>
  <si>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</si>
  <si>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</si>
  <si>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</si>
  <si>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</si>
  <si>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</si>
  <si>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</si>
  <si>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</si>
  <si>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</si>
  <si>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</si>
  <si>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</si>
  <si>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</si>
  <si>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</si>
  <si>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</si>
  <si>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</si>
  <si>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</si>
  <si>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</si>
  <si>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</si>
  <si>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</si>
  <si>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</si>
  <si>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</si>
  <si>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</si>
  <si>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</si>
  <si>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</si>
  <si>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</si>
  <si>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</si>
  <si>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</si>
  <si>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</si>
  <si>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</si>
  <si>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</si>
  <si>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</si>
  <si>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</si>
  <si>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</si>
  <si>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</si>
  <si>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</si>
  <si>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</si>
  <si>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</si>
  <si>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</si>
  <si>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</si>
  <si>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</si>
  <si>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</si>
  <si>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</si>
  <si>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</si>
  <si>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</si>
  <si>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</si>
  <si>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</si>
  <si>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</si>
  <si>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</si>
  <si>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</si>
  <si>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</si>
  <si>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</si>
  <si>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</si>
  <si>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</si>
  <si>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</si>
  <si>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</si>
  <si>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</si>
  <si>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</si>
  <si>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</si>
  <si>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</si>
  <si>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</si>
  <si>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</si>
  <si>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</si>
  <si>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</si>
  <si>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</si>
  <si>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</si>
  <si>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</si>
  <si>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</si>
  <si>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</si>
  <si>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</si>
  <si>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</si>
  <si>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</si>
  <si>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</si>
  <si>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</si>
  <si>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</si>
  <si>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</si>
  <si>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</si>
  <si>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</si>
  <si>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</si>
  <si>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</si>
  <si>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</si>
  <si>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</si>
  <si>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</si>
  <si>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</si>
  <si>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</si>
  <si>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</si>
  <si>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</si>
  <si>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</si>
  <si>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</si>
  <si>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</si>
  <si>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</si>
  <si>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</si>
  <si>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</si>
  <si>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</si>
  <si>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</si>
  <si>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</si>
  <si>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</si>
  <si>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</si>
  <si>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</si>
  <si>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</si>
  <si>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</si>
  <si>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</si>
  <si>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</si>
  <si>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</si>
  <si>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</si>
  <si>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</si>
  <si>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</si>
  <si>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</si>
  <si>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</si>
  <si>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</si>
  <si>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</si>
  <si>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</si>
  <si>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</si>
  <si>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</si>
  <si>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</si>
  <si>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</si>
  <si>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</si>
  <si>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</si>
  <si>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</si>
  <si>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</si>
  <si>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</si>
  <si>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</si>
  <si>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</si>
  <si>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</si>
  <si>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</si>
  <si>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</si>
  <si>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</si>
  <si>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</si>
  <si>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</si>
  <si>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</si>
  <si>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</si>
  <si>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</si>
  <si>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</si>
  <si>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</si>
  <si>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</si>
  <si>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</si>
  <si>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</si>
  <si>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</si>
  <si>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</si>
  <si>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</si>
  <si>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</si>
  <si>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</si>
  <si>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</si>
  <si>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</si>
  <si>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</si>
  <si>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</si>
  <si>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</si>
  <si>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</si>
  <si>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</si>
  <si>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</si>
  <si>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</si>
  <si>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</si>
  <si>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</si>
  <si>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</si>
  <si>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</si>
  <si>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</si>
  <si>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</si>
  <si>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</si>
  <si>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</si>
  <si>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</si>
  <si>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</si>
  <si>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</si>
  <si>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</si>
  <si>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</si>
  <si>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</si>
  <si>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</si>
  <si>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</si>
  <si>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</si>
  <si>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</si>
  <si>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</si>
  <si>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</si>
  <si>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</si>
  <si>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</si>
  <si>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</si>
  <si>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</si>
  <si>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</si>
  <si>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</si>
  <si>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</si>
  <si>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</si>
  <si>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</si>
  <si>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</si>
  <si>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</si>
  <si>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</si>
  <si>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DDA/QCT</t>
  </si>
  <si>
    <t>HUD</t>
  </si>
  <si>
    <t>2-Story Walkup</t>
  </si>
  <si>
    <t>Acquisition/Rehab</t>
  </si>
  <si>
    <t>Georgia Department of Community Affairs</t>
  </si>
  <si>
    <t>All utiliies will be paid by the owner.</t>
  </si>
  <si>
    <t>Competitive Round</t>
  </si>
  <si>
    <t>2015PA-020</t>
  </si>
  <si>
    <t>Jack Hammer</t>
  </si>
  <si>
    <t>President</t>
  </si>
  <si>
    <t>5505 Interstate North Parkway, NW</t>
  </si>
  <si>
    <t>Doug Trivers</t>
  </si>
  <si>
    <t>Member</t>
  </si>
  <si>
    <t>dtrivers@hsimanagement.com</t>
  </si>
  <si>
    <t>Lakeview Apartments</t>
  </si>
  <si>
    <t>1105 Edward Street</t>
  </si>
  <si>
    <t>32.542998,-83.890380</t>
  </si>
  <si>
    <t>404.00</t>
  </si>
  <si>
    <t>City of Fort Valley</t>
  </si>
  <si>
    <t>http://www.fortvalleyusa.com/</t>
  </si>
  <si>
    <t>Mayor</t>
  </si>
  <si>
    <t>Barbara Williams</t>
  </si>
  <si>
    <t>bwilliams@fortvalleyusa.com</t>
  </si>
  <si>
    <t>204 West Church Street</t>
  </si>
  <si>
    <t>1.  Housing Systems, Inc.</t>
  </si>
  <si>
    <t>2.  Jack Hammer</t>
  </si>
  <si>
    <t>3.  Doug Trivers</t>
  </si>
  <si>
    <t>4.  Matt Bagwell</t>
  </si>
  <si>
    <t>Lakeview Housing Partners, LP</t>
  </si>
  <si>
    <t>jhammer@hsimanagement.com</t>
  </si>
  <si>
    <t>Lakeview Housing HSI GP LLC</t>
  </si>
  <si>
    <t>CREA Lakeview, LLC</t>
  </si>
  <si>
    <t>CREA SLP, LLC</t>
  </si>
  <si>
    <t>LVH Developers, LLC</t>
  </si>
  <si>
    <t>CFO</t>
  </si>
  <si>
    <t>Seller is affilated entity of the general partner.  However, the general partner's interest is less than 50% of the new entity, thereby preserving the eligibilty for acqusition credit.</t>
  </si>
  <si>
    <t>For Profit</t>
  </si>
  <si>
    <t>Total project ownership only totals 99.99%  There is a Special Limited Partner that is an affiliate entity of the principals and members of the General Partner which will own the remaining 0.01%</t>
  </si>
  <si>
    <t>CREA Due Diligence Fee ($45,000) + Lease Review ($2,880)</t>
  </si>
  <si>
    <t>Agree</t>
  </si>
  <si>
    <t>Novogradac &amp; Company</t>
  </si>
  <si>
    <t>Within City Limits</t>
  </si>
  <si>
    <t>HSI Management, Inc.</t>
  </si>
  <si>
    <t>1500 SW 1st Avenue, Suite 1090</t>
  </si>
  <si>
    <t>Portland</t>
  </si>
  <si>
    <t>Bradley Bullock</t>
  </si>
  <si>
    <t>Senior Vice President</t>
  </si>
  <si>
    <t>http://www.cityrealestateadvisors.com/</t>
  </si>
  <si>
    <t>bbullock@cityrealestateadvisors.com</t>
  </si>
  <si>
    <t>Formula Construction Group</t>
  </si>
  <si>
    <t>515 Crossville Road, Suite 350</t>
  </si>
  <si>
    <t>Total development costs are within DCA's per-unit cost limits</t>
  </si>
  <si>
    <t>90.3% overall; 91.0% among LIHTC properties</t>
  </si>
  <si>
    <t>6.2% for 50% AMI; 1.6% for 60% AMI</t>
  </si>
  <si>
    <t>2013-008</t>
  </si>
  <si>
    <t>Reserve at Hampton</t>
  </si>
  <si>
    <t>Market study is very positive on the proposed rehabilitation of this existing, occupied, 100% HAP property.</t>
  </si>
  <si>
    <t>The appraisal supports the acquisition value given in the financial model, and the amount split out between land and buildings for purposes of estimating the acquisition credit.</t>
  </si>
  <si>
    <t>Dominion Due Diligence Group</t>
  </si>
  <si>
    <t>Dominuin Due Diligence Group</t>
  </si>
  <si>
    <t>Two Norfolk Southern railway lines are within 3,000 feet of the subject.</t>
  </si>
  <si>
    <t>Recommended file review of SHWS/NPL/CERCLIS facility in the vicinity, with the EPA</t>
  </si>
  <si>
    <t>Minority concentration</t>
  </si>
  <si>
    <t>403.02, 402.00, 1.00</t>
  </si>
  <si>
    <t>Site &amp; Neighborhood Document and Letter are included in Tab 7.</t>
  </si>
  <si>
    <t>Contract/Option</t>
  </si>
  <si>
    <t>Lakeview Housing Partners, L.P.</t>
  </si>
  <si>
    <t>Party with site control is the applicant.</t>
  </si>
  <si>
    <t>Applicant has legal access to the site via public roads.</t>
  </si>
  <si>
    <t>All pertinent zoning documentation is included in Tab 10</t>
  </si>
  <si>
    <t>Fort Valley Utility Commission</t>
  </si>
  <si>
    <t>Operating utilities letter included in Tab 11</t>
  </si>
  <si>
    <t>Water &amp; sewer letter included in Tab 12</t>
  </si>
  <si>
    <t>The Leader-Tribune</t>
  </si>
  <si>
    <t>Substantial Gut Rehab</t>
  </si>
  <si>
    <t>Applicant agrees to all of the above</t>
  </si>
  <si>
    <t>Applicant is submitting its qualifications for this develoment with this application, for the first time (no preapplication)</t>
  </si>
  <si>
    <t>All pertinent qualifications information is included in Tab 20.</t>
  </si>
  <si>
    <t>This project is not sponsored by a nonprofit organization; thus we are not applying under the nonprofit setaside.</t>
  </si>
  <si>
    <t>Barnes &amp; Thornburg, LLP</t>
  </si>
  <si>
    <t>41 South High Street, Suite 3300</t>
  </si>
  <si>
    <t>A full relocation plan prepared by Custom Relocation Specialists, LLC, is included in Tab 24</t>
  </si>
  <si>
    <t>Legal opinion for eligibility for acquisition credit included in Tab 23.</t>
  </si>
  <si>
    <t>Applicant agrees to all of the above.</t>
  </si>
  <si>
    <t>At just over $10,000 per unit in the amount of annual federal tax credit authority being requested, we submit that this request represents an efficient use of DCA's resources.</t>
  </si>
  <si>
    <t>The application is complete and organized in accordance with the QAP application instructions.</t>
  </si>
  <si>
    <t>Fort Valley Town Square</t>
  </si>
  <si>
    <t>Main Street Grill</t>
  </si>
  <si>
    <t>Sunmark Community Bank</t>
  </si>
  <si>
    <t>Documentation of desirable neighborhood amenities and characteristics are included in Tab 25.</t>
  </si>
  <si>
    <t>21 of the units will be set aside for residents making no more than 50% of Area Median Income.  In addition, 100% of the units will be subject to the existing HAP contract, documented in Tab 1.</t>
  </si>
  <si>
    <t>Rural Pool:  as we are eligible, Peach County operates an on-call transit service onsite.  Please see letter from Peach County Transit in Tab 26</t>
  </si>
  <si>
    <t>The site is not located in a Brownfield.</t>
  </si>
  <si>
    <t>Earth Craft House Multifamily</t>
  </si>
  <si>
    <t>Jared Lombard</t>
  </si>
  <si>
    <t>NCI Charrette Management and Facilitation</t>
  </si>
  <si>
    <t>Applicant's preliminary Earthcraft Multifamily score sheet is included in Tab 28.</t>
  </si>
  <si>
    <t>Project is occupied, but 9 months if starting vacant</t>
  </si>
  <si>
    <t>Semi-monthly birthday parties, holiday dinners, movie nights</t>
  </si>
  <si>
    <t>CREA Construction Inspection</t>
  </si>
  <si>
    <t>This section is not applicable to this application</t>
  </si>
  <si>
    <t>City does not keep this online</t>
  </si>
  <si>
    <t>Published local govt public mtg</t>
  </si>
  <si>
    <t>8 years, 2 months</t>
  </si>
  <si>
    <t>Ongoing</t>
  </si>
  <si>
    <t>3</t>
  </si>
  <si>
    <t>Redevelopment Plan and documentation as to its adoption and status are included in Tab 30</t>
  </si>
  <si>
    <t>There was a tax credit development funded in Fort Valley in 2013.</t>
  </si>
  <si>
    <t>Market study included in Tab 5 substantiates these items.</t>
  </si>
  <si>
    <t>GICH letter signed and included in Tab 34</t>
  </si>
  <si>
    <t>Applicant agrees to participate in DCA's Integrated Supportive Housing Program as needed, and depending on availability of units at the time.</t>
  </si>
  <si>
    <t xml:space="preserve">Lakeview Apartments proposal represents a rehabilitation of a 40+ year old apartment complex with a 100% HAP contract, which has never been rehabiliated and has maitained steady occupancy.  HAP Contract and renewal letter included in Tab 1.  </t>
  </si>
  <si>
    <t>Census report included in Tab 41.  70.3% of residents in a 2-mile radius travel more than 10 miles to work.</t>
  </si>
  <si>
    <t>Performance workbook and supplemental documents included in Tab 20.    Evidence of that Mult-State compliance review forms were sent out are included in Tab 42</t>
  </si>
  <si>
    <t>Gazebo</t>
  </si>
  <si>
    <t>On-site laundry</t>
  </si>
  <si>
    <t>Equipped computer center</t>
  </si>
  <si>
    <t>Applicant agrees to all site and unit amenities detailed above.</t>
  </si>
  <si>
    <t>Applicant agrees to the above.</t>
  </si>
  <si>
    <t>Conceptual site development plan and other site information included in Tab 16</t>
  </si>
  <si>
    <t>LVH Developers LLC</t>
  </si>
  <si>
    <t>*To all Applicants: Real estate taxes shown in Operating Budget should be prior to any tax abatement.  Please provide methodology for real estate tax calculation. 
**To all Applicants: Please provide methodology for insurance calculation.
Tax and Insurance estimates are derived from data given in Tab 1
No utility allowances are shown because the owner pays all utilities.
Replacement reserve is set at $525 per unit per CREA's equity investment terms.</t>
  </si>
  <si>
    <t>APPLICANTS: Explain any any debt service payment amounts that deviate from the amount shown in Permanent Sources (Part III)
"Asset management fee" actually consists of a $5,000 asset management fee to the general partner, plus a $5,000 asset management fee to the limited partner, both are escalated at 3% per year.
It should be noted that the income from the HAP contract is based on HUD's OCAF, where the payment standards more closely track operating expenses.  This is not shown here, however.</t>
  </si>
  <si>
    <t>* To all applicants: please provide methodology for determining applicable construction hard costs.
Construction costs are based on preliminary work scope provided by Formula Construction.  See workscope breakdowns in Tab 15.
The $297,500 cost for Accessory Building is actually for the construction of a new building.  However, as this is a rehabilitation project subject to rehabilitation tax credit, we have shown it in the "rehab" category.
The $405,000 replacement reserve to be funded as part of the development budget is a condition of the equity commitment from CREA.  As this is a temporary reserve, to be released after one year of stabilized operations, we are deducting it from our developer fee cap.
CREA's marketing and lease up reserve requirement of $50,000 is contained within DCA's lease-up reserve of $142,823.   This also includes the management company's guaranty against operating deficits during construction and lease-up.
Relocation costs are estimated to be paid in the amount of $205,000, plus a $54,500 fee to CRS, the relocation administrator. 
Although DCA's minimum Operating Deficit Reserve requirement is $288,646, CREA's is currently at $313,395.</t>
  </si>
  <si>
    <t>Studio 8 Design</t>
  </si>
  <si>
    <t>2215 Bemiss Rd Ste E</t>
  </si>
  <si>
    <t>http://www.hsimanagement.com</t>
  </si>
  <si>
    <t>http://www.forumlaconstruction.com/</t>
  </si>
  <si>
    <t>Mike Myers</t>
  </si>
  <si>
    <t>General Contractor</t>
  </si>
  <si>
    <t>mike.myers@formulaconstruction.com</t>
  </si>
  <si>
    <t>Holly Heer</t>
  </si>
  <si>
    <t>Partner</t>
  </si>
  <si>
    <t>holly.heer@btlaw.com</t>
  </si>
  <si>
    <t>http://www.btlaw.com</t>
  </si>
  <si>
    <t>http://s8darchitects.com</t>
  </si>
  <si>
    <t>Robert Byington</t>
  </si>
  <si>
    <t>rbyington@studio8design.biz</t>
  </si>
  <si>
    <t>Evidence of meeting, support resolution from the City of Fort Valley, and letters of support from Mayor Williams, State Senator Kennedy and State Representative Bentley, included Tab 13.</t>
  </si>
  <si>
    <t>Arts &amp; Craft Activity Center</t>
  </si>
  <si>
    <t>Covered Pavilion with Picnic/Barbecue Facilities</t>
  </si>
  <si>
    <t>Cohn Reznick</t>
  </si>
  <si>
    <t>julie.mcnulty@cohnreznick.com</t>
  </si>
  <si>
    <t>Julie McNulty</t>
  </si>
  <si>
    <t>3560 Lenox Road NE Ste 2800</t>
  </si>
  <si>
    <t>http://www.cohnreznick.com</t>
  </si>
  <si>
    <t>Peach County High School</t>
  </si>
  <si>
    <t>09, 10, 11, 12</t>
  </si>
  <si>
    <t xml:space="preserve">Housing Systems, Inc. (“HSI”) is proposing a full rehab of the Lakeview Apartments (“subject property”), located at 1105 Edward Street. The subject property was constructed in 1972 and has had no major renovations since that time.  The property will consist of 1 clubhouse/laundry facility and 96 residential units containing approximately 90,000 sq. ft. of heated space, with the following unit mix: 10 efficiencies containing 506 sq. ft., 14 one-bedroom one bath units containing 660 sq. ft and 34 two-bedroom one bath units containing 914 sq. ft.  Currently there are 26 three-bedroom one bath units and 12 four-bedroom one bath. As part of the renovation we will be adding size and an additional bathroom to all 3 and 4 bedroom units and the anticipated square footage upon completion is 1,107 and 1,250 respectively.  
HSI is requesting an allocation of state and federal Low Income Housing Tax Credits from the Georgia Department of Community Affairs.  The tax credits will be sold to investors and the proceeds will be used to facilitate the proposed renovation of the subject property.  The total renovation budget is in excess of $8,000,000 and includes the following improvements:
                                                                                                                                                                                                                                                                                                                                                          A complete rehabilitation including (but not limited to) these items
• Complete exterior transformation.
• Install new pitched roofs
• All new 20 year architectural shingles, with 15 pound felt
• Interior of units will be taken down to the studs with new mechanicals, plumbing and electrical.  Units will receive all new sheetrock on walls and ceiling and new flooring throughout
• Add bath to all 3 and 4 bedroom units
•  Rebuild and expand the leasing office, adding a resident business center, resident  
      community room, and activty/craft room.
• In all kitchens:
     remove and replace cabinets and countertops, 
     remove and replace all sinks and faucets 
     replace appliances 
     remove flooring and replace with new  flooring
     replace all lighting fixtures
• In all bathrooms:
       remove and replace sinks and faucets
       replace existing vanity and mirrors
       replace all fans and lighting fixtures
       replace all tub surrounds
       replace all bathtubs
       replace vinyl flooring
       replace all toilets
• Repaint unit interior
• Install new flooring throughout unit
• Install new window treatments 
• Replace interior pre-hung wood doors
• Replace exterior doors
• Replace existing and upgrade exterior and interior lighting
• Install new exterior site lighting around the property
• Repair/Replace plumbing and underground pipes
• Remove all Condensing units currently located on roof
• Replace existing HVAC (condensers and furnaces)
• Create new play areas w/equipment for the children
• Add gazebos and covered social area equipped with grills around play areas
• Install new foundation landscaping and upgrade property common    
      areas
• Installation of new site and building signage
• Patch, seal coat and re-stripe parking areas
• Install new property signage and landscaping
  All the above listed improvements will be made without increasing the residents monthly rent, due to the HUD Project based Section 8 contract that covers 100% of the units. This contract will ensure our residents quality housing that will not cost them more than 30% of their monthly income.
</t>
  </si>
  <si>
    <t>No commitments pending consideration.</t>
  </si>
  <si>
    <t>This is a family property</t>
  </si>
  <si>
    <t>We agree to forego the right to seek a Qualified Contract for this property for a period of five years past the end of the Compliance Period.</t>
  </si>
  <si>
    <t>This section is not applicable.</t>
  </si>
  <si>
    <t>This section is not applicable</t>
  </si>
  <si>
    <t>Peach County High School exceeded the state average in 2013.  Documentation is included in Tab 40.</t>
  </si>
  <si>
    <t>2015-056</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</si>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</sst>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Lakeview Apartments,  Fort Valley,  Peach County</v>
      </c>
      <c r="B1" s="2011"/>
      <c r="C1" s="2011"/>
      <c r="D1" s="2011"/>
      <c r="E1" s="2011"/>
      <c r="F1" s="2011"/>
      <c r="G1" s="2011"/>
      <c r="H1" s="2011"/>
      <c r="I1" s="2011"/>
      <c r="J1" s="2011"/>
      <c r="K1" s="2011"/>
      <c r="L1" s="2012"/>
    </row>
    <row r="2" spans="1:12" ht="26.25" customHeight="1">
      <c r="A2" s="2014" t="s">
        <v>3041</v>
      </c>
      <c r="B2" s="2014"/>
      <c r="C2" s="2014"/>
      <c r="D2" s="2014"/>
      <c r="E2" s="2014"/>
      <c r="F2" s="2014"/>
      <c r="G2" s="2014"/>
      <c r="H2" s="2014"/>
      <c r="I2" s="2014"/>
      <c r="J2" s="2014"/>
      <c r="K2" s="2014"/>
      <c r="L2" s="2014"/>
    </row>
    <row r="3" spans="1:12" s="2023" customFormat="1" ht="12" customHeight="1">
      <c r="A3" s="2016" t="s">
        <v>2937</v>
      </c>
      <c r="B3" s="2017" t="s">
        <v>4384</v>
      </c>
      <c r="C3" s="2018"/>
      <c r="D3" s="2019"/>
      <c r="E3" s="2020" t="s">
        <v>2938</v>
      </c>
      <c r="F3" s="2021"/>
      <c r="G3" s="2021"/>
      <c r="H3" s="2021"/>
      <c r="I3" s="2022"/>
      <c r="J3" s="2021"/>
      <c r="K3" s="2021"/>
      <c r="L3" s="2020" t="s">
        <v>2939</v>
      </c>
    </row>
    <row r="4" spans="1:12" s="2023" customFormat="1" ht="12.75" thickBot="1">
      <c r="A4" s="2024"/>
      <c r="B4" s="2025" t="s">
        <v>2940</v>
      </c>
      <c r="C4" s="2025"/>
      <c r="D4" s="2025"/>
      <c r="E4" s="2026"/>
      <c r="F4" s="2025" t="s">
        <v>3048</v>
      </c>
      <c r="G4" s="2027"/>
      <c r="H4" s="2027"/>
      <c r="I4" s="2025" t="s">
        <v>2941</v>
      </c>
      <c r="J4" s="2027"/>
      <c r="K4" s="2027"/>
      <c r="L4" s="2026"/>
    </row>
    <row r="5" spans="1:12" s="2031" customFormat="1" ht="10.5" customHeight="1">
      <c r="A5" s="2028"/>
      <c r="B5" s="2029"/>
      <c r="C5" s="2029"/>
      <c r="D5" s="2029"/>
      <c r="E5" s="2030"/>
      <c r="F5" s="2031" t="s">
        <v>2942</v>
      </c>
      <c r="I5" s="2032"/>
      <c r="L5" s="2033"/>
    </row>
    <row r="6" spans="1:12" s="2031" customFormat="1" ht="10.5" customHeight="1">
      <c r="A6" s="2034" t="s">
        <v>2943</v>
      </c>
      <c r="B6" s="2035" t="s">
        <v>1495</v>
      </c>
      <c r="C6" s="2035"/>
      <c r="D6" s="2029"/>
      <c r="E6" s="2036" t="s">
        <v>2943</v>
      </c>
      <c r="F6" s="2031" t="s">
        <v>3038</v>
      </c>
      <c r="I6" s="2032"/>
      <c r="L6" s="2037"/>
    </row>
    <row r="7" spans="1:12" s="2031" customFormat="1" ht="10.5" customHeight="1">
      <c r="A7" s="2028"/>
      <c r="B7" s="2035"/>
      <c r="C7" s="2035"/>
      <c r="D7" s="2029"/>
      <c r="E7" s="2038" t="s">
        <v>2867</v>
      </c>
      <c r="F7" s="2031" t="s">
        <v>2944</v>
      </c>
      <c r="I7" s="2032"/>
      <c r="L7" s="2037"/>
    </row>
    <row r="8" spans="1:12" s="2031" customFormat="1" ht="10.5" customHeight="1">
      <c r="A8" s="2028"/>
      <c r="B8" s="2029"/>
      <c r="C8" s="2029"/>
      <c r="D8" s="2029"/>
      <c r="E8" s="2038" t="s">
        <v>2865</v>
      </c>
      <c r="F8" s="2031" t="s">
        <v>447</v>
      </c>
      <c r="I8" s="2032"/>
      <c r="L8" s="2037"/>
    </row>
    <row r="9" spans="1:12" s="2031" customFormat="1" ht="10.5" customHeight="1">
      <c r="A9" s="2028"/>
      <c r="B9" s="2029"/>
      <c r="C9" s="2029"/>
      <c r="D9" s="2029"/>
      <c r="E9" s="2038" t="s">
        <v>2866</v>
      </c>
      <c r="F9" s="2031" t="s">
        <v>2842</v>
      </c>
      <c r="I9" s="2032"/>
      <c r="L9" s="2037"/>
    </row>
    <row r="10" spans="1:12" s="2031" customFormat="1" ht="10.5" customHeight="1">
      <c r="A10" s="2028"/>
      <c r="B10" s="2029"/>
      <c r="C10" s="2029"/>
      <c r="D10" s="2029"/>
      <c r="E10" s="2038" t="s">
        <v>2868</v>
      </c>
      <c r="F10" s="2031" t="s">
        <v>2855</v>
      </c>
      <c r="I10" s="2032"/>
      <c r="J10" s="2039"/>
      <c r="L10" s="2037"/>
    </row>
    <row r="11" spans="1:12" s="2031" customFormat="1" ht="10.5" customHeight="1">
      <c r="A11" s="2028"/>
      <c r="B11" s="2029"/>
      <c r="C11" s="2029"/>
      <c r="D11" s="2029"/>
      <c r="E11" s="2038" t="s">
        <v>2869</v>
      </c>
      <c r="F11" s="2031" t="s">
        <v>2945</v>
      </c>
      <c r="I11" s="2032"/>
      <c r="J11" s="2039"/>
      <c r="L11" s="2040"/>
    </row>
    <row r="12" spans="1:12" s="2031" customFormat="1" ht="10.5" customHeight="1">
      <c r="A12" s="2028"/>
      <c r="B12" s="2029"/>
      <c r="C12" s="2029"/>
      <c r="D12" s="2029"/>
      <c r="E12" s="2038" t="s">
        <v>2870</v>
      </c>
      <c r="F12" s="2031" t="s">
        <v>4164</v>
      </c>
      <c r="I12" s="2032"/>
      <c r="J12" s="2039"/>
      <c r="L12" s="2040"/>
    </row>
    <row r="13" spans="1:12" s="2031" customFormat="1" ht="10.5" customHeight="1">
      <c r="A13" s="2028"/>
      <c r="B13" s="2029"/>
      <c r="C13" s="2029"/>
      <c r="D13" s="2029"/>
      <c r="E13" s="2041" t="s">
        <v>2870</v>
      </c>
      <c r="F13" s="2031" t="s">
        <v>3039</v>
      </c>
      <c r="I13" s="2032"/>
      <c r="J13" s="2039"/>
      <c r="L13" s="2040"/>
    </row>
    <row r="14" spans="1:12" s="2031" customFormat="1" ht="10.5" customHeight="1">
      <c r="A14" s="2042" t="s">
        <v>2946</v>
      </c>
      <c r="B14" s="2042"/>
      <c r="C14" s="2042"/>
      <c r="D14" s="2042"/>
      <c r="E14" s="2042"/>
      <c r="F14" s="2042"/>
      <c r="G14" s="2042"/>
      <c r="H14" s="2042"/>
      <c r="I14" s="2042"/>
      <c r="J14" s="2042"/>
      <c r="K14" s="2042"/>
      <c r="L14" s="2042"/>
    </row>
    <row r="15" spans="1:12" s="2031" customFormat="1" ht="10.5" customHeight="1">
      <c r="A15" s="2043" t="s">
        <v>2867</v>
      </c>
      <c r="B15" s="2044" t="s">
        <v>3049</v>
      </c>
      <c r="C15" s="2045"/>
      <c r="D15" s="2046" t="s">
        <v>2947</v>
      </c>
      <c r="E15" s="2047" t="s">
        <v>2867</v>
      </c>
      <c r="F15" s="2048" t="s">
        <v>3834</v>
      </c>
      <c r="G15" s="2048"/>
      <c r="H15" s="2049"/>
      <c r="I15" s="2032"/>
      <c r="J15" s="2039"/>
      <c r="L15" s="2037"/>
    </row>
    <row r="16" spans="1:12" s="2031" customFormat="1" ht="10.5" customHeight="1">
      <c r="A16" s="2050"/>
      <c r="B16" s="2051"/>
      <c r="C16" s="2052"/>
      <c r="D16" s="2053"/>
      <c r="E16" s="2038"/>
      <c r="F16" s="2054" t="s">
        <v>4247</v>
      </c>
      <c r="G16" s="2055"/>
      <c r="H16" s="2056"/>
      <c r="I16" s="2032"/>
      <c r="J16" s="2039"/>
      <c r="L16" s="2037"/>
    </row>
    <row r="17" spans="1:12" s="2031" customFormat="1" ht="10.5" customHeight="1">
      <c r="A17" s="2052"/>
      <c r="B17" s="2057"/>
      <c r="C17" s="2058"/>
      <c r="D17" s="2053" t="s">
        <v>2948</v>
      </c>
      <c r="E17" s="2038" t="s">
        <v>2865</v>
      </c>
      <c r="F17" s="2059" t="s">
        <v>4203</v>
      </c>
      <c r="G17" s="2059"/>
      <c r="H17" s="2060"/>
      <c r="I17" s="2061" t="s">
        <v>3014</v>
      </c>
      <c r="J17" s="2062" t="s">
        <v>3015</v>
      </c>
      <c r="K17" s="2062" t="s">
        <v>3016</v>
      </c>
      <c r="L17" s="2037"/>
    </row>
    <row r="18" spans="1:12" s="2031" customFormat="1" ht="10.5" customHeight="1">
      <c r="A18" s="2052"/>
      <c r="B18" s="2057"/>
      <c r="C18" s="2058"/>
      <c r="D18" s="2053"/>
      <c r="E18" s="2038"/>
      <c r="F18" s="2063" t="s">
        <v>3833</v>
      </c>
      <c r="G18" s="2063"/>
      <c r="H18" s="2064"/>
      <c r="I18" s="2061"/>
      <c r="J18" s="2062"/>
      <c r="K18" s="2062"/>
      <c r="L18" s="2037"/>
    </row>
    <row r="19" spans="1:12" s="2031" customFormat="1" ht="10.5" customHeight="1">
      <c r="A19" s="2052"/>
      <c r="B19" s="2057"/>
      <c r="C19" s="2058"/>
      <c r="D19" s="2053" t="s">
        <v>2949</v>
      </c>
      <c r="E19" s="2038" t="s">
        <v>2866</v>
      </c>
      <c r="F19" s="2057" t="s">
        <v>4057</v>
      </c>
      <c r="G19" s="2063"/>
      <c r="H19" s="2064"/>
      <c r="I19" s="2061"/>
      <c r="J19" s="2062"/>
      <c r="K19" s="2065"/>
      <c r="L19" s="2037"/>
    </row>
    <row r="20" spans="1:12" s="2031" customFormat="1" ht="10.5" customHeight="1">
      <c r="A20" s="2052"/>
      <c r="B20" s="2057"/>
      <c r="C20" s="2058"/>
      <c r="D20" s="2053" t="s">
        <v>2950</v>
      </c>
      <c r="E20" s="2038" t="s">
        <v>2868</v>
      </c>
      <c r="F20" s="2057" t="s">
        <v>3044</v>
      </c>
      <c r="G20" s="2057"/>
      <c r="H20" s="2066"/>
      <c r="I20" s="2061" t="s">
        <v>3316</v>
      </c>
      <c r="J20" s="2062" t="s">
        <v>2953</v>
      </c>
      <c r="K20" s="2062" t="s">
        <v>2954</v>
      </c>
      <c r="L20" s="2037"/>
    </row>
    <row r="21" spans="1:12" s="2031" customFormat="1" ht="10.5" customHeight="1">
      <c r="A21" s="2052"/>
      <c r="B21" s="2057"/>
      <c r="C21" s="2058"/>
      <c r="D21" s="2053"/>
      <c r="E21" s="2067"/>
      <c r="F21" s="2057" t="s">
        <v>4248</v>
      </c>
      <c r="G21" s="2057"/>
      <c r="H21" s="2066"/>
      <c r="L21" s="2037"/>
    </row>
    <row r="22" spans="1:12" s="2031" customFormat="1" ht="10.5" customHeight="1">
      <c r="A22" s="2052"/>
      <c r="B22" s="2057"/>
      <c r="C22" s="2058"/>
      <c r="D22" s="2053"/>
      <c r="E22" s="2067"/>
      <c r="F22" s="2057" t="s">
        <v>3045</v>
      </c>
      <c r="G22" s="2057"/>
      <c r="H22" s="2066"/>
      <c r="I22" s="2032"/>
      <c r="J22" s="2039"/>
      <c r="L22" s="2037"/>
    </row>
    <row r="23" spans="1:12" s="2031" customFormat="1" ht="10.5" customHeight="1">
      <c r="A23" s="2052"/>
      <c r="B23" s="2057"/>
      <c r="C23" s="2058"/>
      <c r="D23" s="2053"/>
      <c r="E23" s="2067"/>
      <c r="F23" s="2057" t="s">
        <v>3046</v>
      </c>
      <c r="G23" s="2057"/>
      <c r="H23" s="2066"/>
      <c r="I23" s="2032"/>
      <c r="J23" s="2039"/>
      <c r="L23" s="2037"/>
    </row>
    <row r="24" spans="1:12" s="2031" customFormat="1" ht="10.5" customHeight="1">
      <c r="A24" s="2052"/>
      <c r="B24" s="2057"/>
      <c r="C24" s="2058"/>
      <c r="D24" s="2053"/>
      <c r="E24" s="2067"/>
      <c r="F24" s="2057" t="s">
        <v>3315</v>
      </c>
      <c r="G24" s="2057"/>
      <c r="H24" s="2066"/>
      <c r="I24" s="2032"/>
      <c r="J24" s="2039"/>
      <c r="L24" s="2037"/>
    </row>
    <row r="25" spans="1:12" s="2031" customFormat="1" ht="10.5" customHeight="1">
      <c r="A25" s="2052"/>
      <c r="B25" s="2057"/>
      <c r="C25" s="2058"/>
      <c r="D25" s="2053" t="s">
        <v>3832</v>
      </c>
      <c r="E25" s="2038" t="s">
        <v>2869</v>
      </c>
      <c r="F25" s="2057" t="s">
        <v>4250</v>
      </c>
      <c r="G25" s="2057"/>
      <c r="H25" s="2066"/>
      <c r="I25" s="2032"/>
      <c r="J25" s="2039"/>
      <c r="L25" s="2037"/>
    </row>
    <row r="26" spans="1:12" s="2031" customFormat="1" ht="10.5" customHeight="1">
      <c r="A26" s="2052"/>
      <c r="B26" s="2068"/>
      <c r="C26" s="2069" t="s">
        <v>4249</v>
      </c>
      <c r="D26" s="2070"/>
      <c r="E26" s="2067"/>
      <c r="F26" s="2057" t="s">
        <v>3189</v>
      </c>
      <c r="G26" s="2057"/>
      <c r="H26" s="2066"/>
      <c r="I26" s="2032"/>
      <c r="J26" s="2039"/>
      <c r="L26" s="2037"/>
    </row>
    <row r="27" spans="1:12" s="2031" customFormat="1" ht="10.5" customHeight="1">
      <c r="A27" s="2052"/>
      <c r="B27" s="2068"/>
      <c r="C27" s="2069"/>
      <c r="D27" s="2070"/>
      <c r="E27" s="2067"/>
      <c r="F27" s="2057" t="s">
        <v>3190</v>
      </c>
      <c r="G27" s="2057"/>
      <c r="H27" s="2066"/>
      <c r="I27" s="2032"/>
      <c r="J27" s="2039"/>
      <c r="L27" s="2037"/>
    </row>
    <row r="28" spans="1:12" s="2031" customFormat="1" ht="10.5" customHeight="1">
      <c r="A28" s="2052"/>
      <c r="B28" s="2068"/>
      <c r="C28" s="2069"/>
      <c r="D28" s="2070"/>
      <c r="E28" s="2067"/>
      <c r="F28" s="2057" t="s">
        <v>3191</v>
      </c>
      <c r="G28" s="2057"/>
      <c r="H28" s="2066"/>
      <c r="I28" s="2032"/>
      <c r="J28" s="2039"/>
      <c r="L28" s="2037"/>
    </row>
    <row r="29" spans="1:12" s="2031" customFormat="1" ht="10.5" customHeight="1">
      <c r="A29" s="2052"/>
      <c r="B29" s="2068"/>
      <c r="C29" s="2068"/>
      <c r="D29" s="2068"/>
      <c r="E29" s="2038" t="s">
        <v>2870</v>
      </c>
      <c r="F29" s="2057" t="s">
        <v>2951</v>
      </c>
      <c r="G29" s="2057"/>
      <c r="H29" s="2066"/>
      <c r="I29" s="2032"/>
      <c r="J29" s="2039"/>
      <c r="L29" s="2037"/>
    </row>
    <row r="30" spans="1:12" s="2031" customFormat="1" ht="10.5" customHeight="1">
      <c r="A30" s="2052"/>
      <c r="B30" s="2068"/>
      <c r="C30" s="2068"/>
      <c r="D30" s="2068"/>
      <c r="E30" s="2038" t="s">
        <v>2871</v>
      </c>
      <c r="F30" s="2057" t="s">
        <v>3328</v>
      </c>
      <c r="G30" s="2057"/>
      <c r="H30" s="2066"/>
      <c r="I30" s="2032"/>
      <c r="J30" s="2039"/>
      <c r="L30" s="2037"/>
    </row>
    <row r="31" spans="1:12" s="2031" customFormat="1" ht="10.5" customHeight="1">
      <c r="A31" s="2052"/>
      <c r="B31" s="2068"/>
      <c r="C31" s="2068"/>
      <c r="D31" s="2068"/>
      <c r="E31" s="2038" t="s">
        <v>3023</v>
      </c>
      <c r="F31" s="2057" t="s">
        <v>4251</v>
      </c>
      <c r="G31" s="2057"/>
      <c r="H31" s="2066"/>
      <c r="I31" s="2032"/>
      <c r="J31" s="2039"/>
      <c r="L31" s="2037"/>
    </row>
    <row r="32" spans="1:12" s="2031" customFormat="1" ht="10.5" customHeight="1">
      <c r="A32" s="2052"/>
      <c r="B32" s="2068"/>
      <c r="C32" s="2068"/>
      <c r="D32" s="2068"/>
      <c r="E32" s="2038" t="s">
        <v>3024</v>
      </c>
      <c r="F32" s="2057" t="s">
        <v>4165</v>
      </c>
      <c r="G32" s="2057"/>
      <c r="H32" s="2066"/>
      <c r="I32" s="2032"/>
      <c r="J32" s="2039"/>
      <c r="L32" s="2037"/>
    </row>
    <row r="33" spans="1:12" s="2031" customFormat="1" ht="10.5" customHeight="1">
      <c r="A33" s="2071" t="s">
        <v>2865</v>
      </c>
      <c r="B33" s="2072" t="s">
        <v>2952</v>
      </c>
      <c r="C33" s="2072"/>
      <c r="D33" s="2072"/>
      <c r="E33" s="2036" t="s">
        <v>2867</v>
      </c>
      <c r="F33" s="2073" t="s">
        <v>2955</v>
      </c>
      <c r="G33" s="2073"/>
      <c r="H33" s="2074"/>
      <c r="I33" s="2075" t="s">
        <v>3316</v>
      </c>
      <c r="J33" s="2076" t="s">
        <v>2953</v>
      </c>
      <c r="K33" s="2077" t="s">
        <v>2954</v>
      </c>
      <c r="L33" s="2037"/>
    </row>
    <row r="34" spans="1:12" s="2031" customFormat="1" ht="10.5" customHeight="1">
      <c r="A34" s="2071" t="s">
        <v>2866</v>
      </c>
      <c r="B34" s="2072" t="s">
        <v>4253</v>
      </c>
      <c r="C34" s="2072"/>
      <c r="D34" s="2072" t="s">
        <v>2974</v>
      </c>
      <c r="E34" s="2036" t="s">
        <v>2867</v>
      </c>
      <c r="F34" s="2078" t="s">
        <v>4252</v>
      </c>
      <c r="G34" s="2078"/>
      <c r="H34" s="2077"/>
      <c r="I34" s="2075"/>
      <c r="J34" s="2076"/>
      <c r="K34" s="2077"/>
      <c r="L34" s="2037"/>
    </row>
    <row r="35" spans="1:12" s="2031" customFormat="1" ht="10.5" customHeight="1">
      <c r="A35" s="2071" t="s">
        <v>2868</v>
      </c>
      <c r="B35" s="2079" t="s">
        <v>4254</v>
      </c>
      <c r="C35" s="2072"/>
      <c r="D35" s="2072" t="s">
        <v>2972</v>
      </c>
      <c r="E35" s="2036" t="s">
        <v>2867</v>
      </c>
      <c r="F35" s="2078" t="s">
        <v>2956</v>
      </c>
      <c r="G35" s="2078"/>
      <c r="H35" s="2077"/>
      <c r="I35" s="2075"/>
      <c r="J35" s="2076"/>
      <c r="K35" s="2077"/>
      <c r="L35" s="2037"/>
    </row>
    <row r="36" spans="1:12" s="2031" customFormat="1" ht="21.75" customHeight="1">
      <c r="A36" s="2050"/>
      <c r="B36" s="2051"/>
      <c r="C36" s="2053"/>
      <c r="D36" s="2053"/>
      <c r="E36" s="2038" t="s">
        <v>2865</v>
      </c>
      <c r="F36" s="2054" t="s">
        <v>3831</v>
      </c>
      <c r="G36" s="2055"/>
      <c r="H36" s="2056"/>
      <c r="I36" s="2080"/>
      <c r="J36" s="2081"/>
      <c r="K36" s="2057"/>
      <c r="L36" s="2037"/>
    </row>
    <row r="37" spans="1:12" s="2031" customFormat="1" ht="10.5" customHeight="1">
      <c r="A37" s="2052"/>
      <c r="B37" s="2058"/>
      <c r="C37" s="2058"/>
      <c r="D37" s="2053" t="s">
        <v>2957</v>
      </c>
      <c r="E37" s="2038" t="s">
        <v>2866</v>
      </c>
      <c r="F37" s="2082" t="s">
        <v>4255</v>
      </c>
      <c r="G37" s="2057"/>
      <c r="H37" s="2066"/>
      <c r="I37" s="2032"/>
      <c r="J37" s="2039"/>
      <c r="L37" s="2037"/>
    </row>
    <row r="38" spans="1:12" s="2031" customFormat="1" ht="10.5" customHeight="1">
      <c r="A38" s="2071" t="s">
        <v>2869</v>
      </c>
      <c r="B38" s="2072" t="s">
        <v>2958</v>
      </c>
      <c r="C38" s="2072"/>
      <c r="D38" s="2072"/>
      <c r="E38" s="2036" t="s">
        <v>2867</v>
      </c>
      <c r="F38" s="2078" t="s">
        <v>476</v>
      </c>
      <c r="G38" s="2078"/>
      <c r="H38" s="2077"/>
      <c r="I38" s="2075" t="s">
        <v>376</v>
      </c>
      <c r="J38" s="2076"/>
      <c r="K38" s="2077" t="s">
        <v>2959</v>
      </c>
      <c r="L38" s="2037"/>
    </row>
    <row r="39" spans="1:12" s="2031" customFormat="1" ht="10.5" customHeight="1">
      <c r="A39" s="2083" t="s">
        <v>2870</v>
      </c>
      <c r="B39" s="2084" t="s">
        <v>3050</v>
      </c>
      <c r="C39" s="2084"/>
      <c r="D39" s="2084" t="s">
        <v>2957</v>
      </c>
      <c r="E39" s="2085" t="s">
        <v>2867</v>
      </c>
      <c r="F39" s="2086" t="s">
        <v>2960</v>
      </c>
      <c r="G39" s="2086"/>
      <c r="H39" s="2087"/>
      <c r="I39" s="2075"/>
      <c r="J39" s="2076"/>
      <c r="K39" s="2077"/>
      <c r="L39" s="2037"/>
    </row>
    <row r="40" spans="1:12" s="2031" customFormat="1" ht="10.5" customHeight="1">
      <c r="A40" s="2043" t="s">
        <v>2871</v>
      </c>
      <c r="B40" s="2046" t="s">
        <v>3051</v>
      </c>
      <c r="C40" s="2046"/>
      <c r="D40" s="2046"/>
      <c r="E40" s="2047" t="s">
        <v>2867</v>
      </c>
      <c r="F40" s="2048" t="s">
        <v>4256</v>
      </c>
      <c r="G40" s="2048"/>
      <c r="H40" s="2048"/>
      <c r="I40" s="2088"/>
      <c r="J40" s="2089"/>
      <c r="K40" s="2049"/>
      <c r="L40" s="2037"/>
    </row>
    <row r="41" spans="1:12" s="2031" customFormat="1" ht="10.5" customHeight="1">
      <c r="A41" s="2057"/>
      <c r="B41" s="2090" t="s">
        <v>3053</v>
      </c>
      <c r="C41" s="2090"/>
      <c r="D41" s="2091"/>
      <c r="E41" s="2038" t="s">
        <v>2865</v>
      </c>
      <c r="F41" s="2057" t="s">
        <v>2961</v>
      </c>
      <c r="G41" s="2057"/>
      <c r="H41" s="2057"/>
      <c r="I41" s="2080"/>
      <c r="J41" s="2081"/>
      <c r="K41" s="2066"/>
      <c r="L41" s="2037"/>
    </row>
    <row r="42" spans="1:12" s="2031" customFormat="1" ht="10.5" customHeight="1">
      <c r="A42" s="2057"/>
      <c r="B42" s="2090"/>
      <c r="C42" s="2090"/>
      <c r="D42" s="2091"/>
      <c r="E42" s="2038" t="s">
        <v>2866</v>
      </c>
      <c r="F42" s="2057" t="s">
        <v>4258</v>
      </c>
      <c r="G42" s="2057"/>
      <c r="H42" s="2057"/>
      <c r="I42" s="2080"/>
      <c r="J42" s="2081"/>
      <c r="K42" s="2066"/>
      <c r="L42" s="2037"/>
    </row>
    <row r="43" spans="1:12" s="2031" customFormat="1" ht="10.5" customHeight="1">
      <c r="A43" s="2057"/>
      <c r="B43" s="2090"/>
      <c r="C43" s="2090"/>
      <c r="D43" s="2091"/>
      <c r="E43" s="2038" t="s">
        <v>2868</v>
      </c>
      <c r="F43" s="2057" t="s">
        <v>3042</v>
      </c>
      <c r="G43" s="2057"/>
      <c r="H43" s="2057"/>
      <c r="I43" s="2080"/>
      <c r="J43" s="2081"/>
      <c r="K43" s="2066"/>
      <c r="L43" s="2037"/>
    </row>
    <row r="44" spans="1:12" s="2031" customFormat="1" ht="10.5" customHeight="1">
      <c r="A44" s="2052"/>
      <c r="B44" s="2090"/>
      <c r="C44" s="2090"/>
      <c r="D44" s="2053"/>
      <c r="E44" s="2038" t="s">
        <v>2869</v>
      </c>
      <c r="F44" s="2057" t="s">
        <v>2538</v>
      </c>
      <c r="G44" s="2057"/>
      <c r="H44" s="2057"/>
      <c r="I44" s="2075"/>
      <c r="J44" s="2076"/>
      <c r="K44" s="2077"/>
      <c r="L44" s="2037"/>
    </row>
    <row r="45" spans="1:12" s="2031" customFormat="1" ht="10.5" customHeight="1">
      <c r="A45" s="2052"/>
      <c r="B45" s="2090"/>
      <c r="C45" s="2090"/>
      <c r="D45" s="2053"/>
      <c r="E45" s="2038" t="s">
        <v>2870</v>
      </c>
      <c r="F45" s="2057" t="s">
        <v>4257</v>
      </c>
      <c r="G45" s="2057"/>
      <c r="H45" s="2057"/>
      <c r="I45" s="2080"/>
      <c r="J45" s="2081"/>
      <c r="K45" s="2066"/>
      <c r="L45" s="2037"/>
    </row>
    <row r="46" spans="1:12" s="2031" customFormat="1" ht="10.5" customHeight="1">
      <c r="A46" s="2057"/>
      <c r="B46" s="2053"/>
      <c r="C46" s="2053"/>
      <c r="D46" s="2053"/>
      <c r="E46" s="2038" t="s">
        <v>2871</v>
      </c>
      <c r="F46" s="2057" t="s">
        <v>512</v>
      </c>
      <c r="G46" s="2057"/>
      <c r="H46" s="2057"/>
      <c r="I46" s="2080"/>
      <c r="J46" s="2081"/>
      <c r="K46" s="2066"/>
      <c r="L46" s="2037"/>
    </row>
    <row r="47" spans="1:12" s="2031" customFormat="1" ht="10.5" customHeight="1">
      <c r="A47" s="2052"/>
      <c r="B47" s="2053"/>
      <c r="C47" s="2053"/>
      <c r="D47" s="2053"/>
      <c r="E47" s="2038" t="s">
        <v>3023</v>
      </c>
      <c r="F47" s="2057" t="s">
        <v>681</v>
      </c>
      <c r="G47" s="2057"/>
      <c r="H47" s="2057"/>
      <c r="I47" s="2080"/>
      <c r="J47" s="2081"/>
      <c r="K47" s="2066"/>
      <c r="L47" s="2037"/>
    </row>
    <row r="48" spans="1:12" s="2031" customFormat="1" ht="10.5" customHeight="1">
      <c r="A48" s="2052"/>
      <c r="B48" s="2053"/>
      <c r="C48" s="2053"/>
      <c r="D48" s="2053"/>
      <c r="E48" s="2038" t="s">
        <v>3024</v>
      </c>
      <c r="F48" s="2057" t="s">
        <v>1615</v>
      </c>
      <c r="G48" s="2057"/>
      <c r="H48" s="2057"/>
      <c r="I48" s="2080"/>
      <c r="J48" s="2081"/>
      <c r="K48" s="2066"/>
      <c r="L48" s="2037"/>
    </row>
    <row r="49" spans="1:12" s="2031" customFormat="1" ht="10.5" customHeight="1">
      <c r="A49" s="2057"/>
      <c r="B49" s="2053"/>
      <c r="C49" s="2053"/>
      <c r="D49" s="2053"/>
      <c r="E49" s="2038" t="s">
        <v>3058</v>
      </c>
      <c r="F49" s="2057" t="s">
        <v>3202</v>
      </c>
      <c r="G49" s="2057"/>
      <c r="H49" s="2057"/>
      <c r="I49" s="2080"/>
      <c r="J49" s="2081"/>
      <c r="K49" s="2066"/>
      <c r="L49" s="2037"/>
    </row>
    <row r="50" spans="1:12" s="2031" customFormat="1" ht="10.5" customHeight="1">
      <c r="A50" s="2052"/>
      <c r="B50" s="2053"/>
      <c r="C50" s="2053"/>
      <c r="D50" s="2053"/>
      <c r="E50" s="2038" t="s">
        <v>4105</v>
      </c>
      <c r="F50" s="2057" t="s">
        <v>3201</v>
      </c>
      <c r="G50" s="2057"/>
      <c r="H50" s="2057"/>
      <c r="I50" s="2080"/>
      <c r="J50" s="2081"/>
      <c r="K50" s="2066"/>
      <c r="L50" s="2037"/>
    </row>
    <row r="51" spans="1:12" s="2031" customFormat="1" ht="10.5" customHeight="1">
      <c r="A51" s="2057"/>
      <c r="B51" s="2092"/>
      <c r="C51" s="2092"/>
      <c r="D51" s="2052"/>
      <c r="E51" s="2093" t="s">
        <v>4106</v>
      </c>
      <c r="F51" s="2094" t="s">
        <v>3040</v>
      </c>
      <c r="G51" s="2094"/>
      <c r="H51" s="2094"/>
      <c r="I51" s="2094"/>
      <c r="J51" s="2094"/>
      <c r="K51" s="2095"/>
      <c r="L51" s="2037"/>
    </row>
    <row r="52" spans="1:12" s="2031" customFormat="1" ht="10.5" customHeight="1">
      <c r="A52" s="2071" t="s">
        <v>3023</v>
      </c>
      <c r="B52" s="2096" t="s">
        <v>2962</v>
      </c>
      <c r="C52" s="2096"/>
      <c r="D52" s="2097"/>
      <c r="E52" s="2036" t="s">
        <v>2867</v>
      </c>
      <c r="F52" s="2098" t="s">
        <v>4085</v>
      </c>
      <c r="G52" s="2098"/>
      <c r="H52" s="2098"/>
      <c r="I52" s="2075"/>
      <c r="J52" s="2076"/>
      <c r="K52" s="2077"/>
      <c r="L52" s="2037"/>
    </row>
    <row r="53" spans="1:12" s="2031" customFormat="1" ht="10.5" customHeight="1">
      <c r="A53" s="2052"/>
      <c r="B53" s="2099"/>
      <c r="C53" s="2099"/>
      <c r="D53" s="2053"/>
      <c r="E53" s="2038" t="s">
        <v>2865</v>
      </c>
      <c r="F53" s="2057" t="s">
        <v>3192</v>
      </c>
      <c r="G53" s="2057"/>
      <c r="H53" s="2057"/>
      <c r="I53" s="2100" t="s">
        <v>3316</v>
      </c>
      <c r="J53" s="2101" t="s">
        <v>3317</v>
      </c>
      <c r="K53" s="2102" t="s">
        <v>2954</v>
      </c>
      <c r="L53" s="2037"/>
    </row>
    <row r="54" spans="1:12" s="2031" customFormat="1" ht="10.5" customHeight="1">
      <c r="A54" s="2103"/>
      <c r="B54" s="2104"/>
      <c r="C54" s="2104"/>
      <c r="D54" s="2104"/>
      <c r="E54" s="2093" t="s">
        <v>2866</v>
      </c>
      <c r="F54" s="2105" t="s">
        <v>3835</v>
      </c>
      <c r="G54" s="2105"/>
      <c r="H54" s="2105"/>
      <c r="I54" s="2080"/>
      <c r="J54" s="2081"/>
      <c r="K54" s="2066"/>
      <c r="L54" s="2037"/>
    </row>
    <row r="55" spans="1:12" s="2031" customFormat="1" ht="10.5" customHeight="1">
      <c r="A55" s="2050" t="s">
        <v>3024</v>
      </c>
      <c r="B55" s="2106" t="s">
        <v>2963</v>
      </c>
      <c r="C55" s="2106"/>
      <c r="D55" s="2053"/>
      <c r="E55" s="2038" t="s">
        <v>2867</v>
      </c>
      <c r="F55" s="2057" t="s">
        <v>4086</v>
      </c>
      <c r="G55" s="2057"/>
      <c r="H55" s="2057"/>
      <c r="I55" s="2075"/>
      <c r="J55" s="2076"/>
      <c r="K55" s="2077"/>
      <c r="L55" s="2037"/>
    </row>
    <row r="56" spans="1:12" s="2031" customFormat="1" ht="10.5" customHeight="1">
      <c r="A56" s="2050"/>
      <c r="B56" s="2107"/>
      <c r="C56" s="2107"/>
      <c r="D56" s="2053"/>
      <c r="E56" s="2038" t="s">
        <v>2865</v>
      </c>
      <c r="F56" s="2057" t="s">
        <v>3193</v>
      </c>
      <c r="G56" s="2057"/>
      <c r="H56" s="2057"/>
      <c r="I56" s="2080"/>
      <c r="J56" s="2081"/>
      <c r="K56" s="2066"/>
      <c r="L56" s="2037"/>
    </row>
    <row r="57" spans="1:12" s="2031" customFormat="1" ht="10.5" customHeight="1">
      <c r="A57" s="2108"/>
      <c r="B57" s="2104"/>
      <c r="C57" s="2104"/>
      <c r="D57" s="2104"/>
      <c r="E57" s="2093" t="s">
        <v>2866</v>
      </c>
      <c r="F57" s="2105" t="s">
        <v>3194</v>
      </c>
      <c r="G57" s="2105"/>
      <c r="H57" s="2105"/>
      <c r="I57" s="2109"/>
      <c r="J57" s="2110"/>
      <c r="K57" s="2111"/>
      <c r="L57" s="2037"/>
    </row>
    <row r="58" spans="1:12" s="2031" customFormat="1" ht="10.5" customHeight="1">
      <c r="A58" s="2112">
        <v>10</v>
      </c>
      <c r="B58" s="2079" t="s">
        <v>4087</v>
      </c>
      <c r="C58" s="2079"/>
      <c r="D58" s="2072"/>
      <c r="E58" s="2038" t="s">
        <v>2867</v>
      </c>
      <c r="F58" s="2078" t="s">
        <v>4088</v>
      </c>
      <c r="G58" s="2078"/>
      <c r="H58" s="2078"/>
      <c r="I58" s="2075"/>
      <c r="J58" s="2076"/>
      <c r="K58" s="2077"/>
      <c r="L58" s="2037"/>
    </row>
    <row r="59" spans="1:12" s="2031" customFormat="1" ht="10.5" customHeight="1">
      <c r="A59" s="2052"/>
      <c r="B59" s="2051"/>
      <c r="C59" s="2051"/>
      <c r="D59" s="2053"/>
      <c r="E59" s="2038" t="s">
        <v>2865</v>
      </c>
      <c r="F59" s="2057" t="s">
        <v>3195</v>
      </c>
      <c r="G59" s="2057"/>
      <c r="H59" s="2057"/>
      <c r="I59" s="2080"/>
      <c r="J59" s="2081"/>
      <c r="K59" s="2066"/>
      <c r="L59" s="2037"/>
    </row>
    <row r="60" spans="1:12" s="2031" customFormat="1" ht="10.5" customHeight="1">
      <c r="A60" s="2052"/>
      <c r="B60" s="2053"/>
      <c r="C60" s="2053"/>
      <c r="D60" s="2053"/>
      <c r="E60" s="2038" t="s">
        <v>2866</v>
      </c>
      <c r="F60" s="2057" t="s">
        <v>3196</v>
      </c>
      <c r="G60" s="2057"/>
      <c r="H60" s="2057"/>
      <c r="I60" s="2080"/>
      <c r="J60" s="2081"/>
      <c r="K60" s="2066"/>
      <c r="L60" s="2037"/>
    </row>
    <row r="61" spans="1:12" s="2031" customFormat="1" ht="10.5" customHeight="1">
      <c r="A61" s="2052"/>
      <c r="B61" s="2053"/>
      <c r="C61" s="2053"/>
      <c r="D61" s="2053"/>
      <c r="E61" s="2038" t="s">
        <v>2868</v>
      </c>
      <c r="F61" s="2057" t="s">
        <v>2964</v>
      </c>
      <c r="G61" s="2057"/>
      <c r="H61" s="2057"/>
      <c r="I61" s="2080"/>
      <c r="J61" s="2081"/>
      <c r="K61" s="2066"/>
      <c r="L61" s="2037"/>
    </row>
    <row r="62" spans="1:12" s="2031" customFormat="1" ht="21.75" customHeight="1">
      <c r="A62" s="2112">
        <v>11</v>
      </c>
      <c r="B62" s="2079" t="s">
        <v>4089</v>
      </c>
      <c r="C62" s="2079"/>
      <c r="D62" s="2072"/>
      <c r="E62" s="2036" t="s">
        <v>2867</v>
      </c>
      <c r="F62" s="2113" t="s">
        <v>4090</v>
      </c>
      <c r="G62" s="2073"/>
      <c r="H62" s="2073"/>
      <c r="I62" s="2075"/>
      <c r="J62" s="2076"/>
      <c r="K62" s="2077"/>
      <c r="L62" s="2037"/>
    </row>
    <row r="63" spans="1:12" s="2031" customFormat="1" ht="10.5" customHeight="1">
      <c r="A63" s="2052"/>
      <c r="B63" s="2051"/>
      <c r="C63" s="2051"/>
      <c r="D63" s="2053"/>
      <c r="E63" s="2038" t="s">
        <v>2865</v>
      </c>
      <c r="F63" s="2057" t="s">
        <v>2967</v>
      </c>
      <c r="G63" s="2057"/>
      <c r="H63" s="2057"/>
      <c r="I63" s="2080"/>
      <c r="J63" s="2081"/>
      <c r="K63" s="2066"/>
      <c r="L63" s="2037"/>
    </row>
    <row r="64" spans="1:12" s="2031" customFormat="1" ht="10.5" customHeight="1">
      <c r="A64" s="2052"/>
      <c r="B64" s="2053"/>
      <c r="C64" s="2053"/>
      <c r="D64" s="2053"/>
      <c r="E64" s="2038" t="s">
        <v>2866</v>
      </c>
      <c r="F64" s="2057" t="s">
        <v>2968</v>
      </c>
      <c r="G64" s="2057"/>
      <c r="H64" s="2057"/>
      <c r="I64" s="2080"/>
      <c r="J64" s="2081"/>
      <c r="K64" s="2066"/>
      <c r="L64" s="2037"/>
    </row>
    <row r="65" spans="1:12" s="2031" customFormat="1" ht="10.5" customHeight="1">
      <c r="A65" s="2112">
        <v>12</v>
      </c>
      <c r="B65" s="2079" t="s">
        <v>2965</v>
      </c>
      <c r="C65" s="2079"/>
      <c r="D65" s="2072"/>
      <c r="E65" s="2036" t="s">
        <v>2867</v>
      </c>
      <c r="F65" s="2078" t="s">
        <v>2966</v>
      </c>
      <c r="G65" s="2078"/>
      <c r="H65" s="2078"/>
      <c r="I65" s="2075"/>
      <c r="J65" s="2076"/>
      <c r="K65" s="2077"/>
      <c r="L65" s="2037"/>
    </row>
    <row r="66" spans="1:12" s="2031" customFormat="1" ht="10.5" customHeight="1">
      <c r="A66" s="2052"/>
      <c r="B66" s="2051"/>
      <c r="C66" s="2051"/>
      <c r="D66" s="2053"/>
      <c r="E66" s="2038" t="s">
        <v>2865</v>
      </c>
      <c r="F66" s="2057" t="s">
        <v>2967</v>
      </c>
      <c r="G66" s="2057"/>
      <c r="H66" s="2057"/>
      <c r="I66" s="2080"/>
      <c r="J66" s="2081"/>
      <c r="K66" s="2066"/>
      <c r="L66" s="2037"/>
    </row>
    <row r="67" spans="1:12" s="2031" customFormat="1" ht="10.5" customHeight="1">
      <c r="A67" s="2052"/>
      <c r="B67" s="2053"/>
      <c r="C67" s="2053"/>
      <c r="D67" s="2053"/>
      <c r="E67" s="2038" t="s">
        <v>2866</v>
      </c>
      <c r="F67" s="2057" t="s">
        <v>2968</v>
      </c>
      <c r="G67" s="2057"/>
      <c r="H67" s="2057"/>
      <c r="I67" s="2080"/>
      <c r="J67" s="2081"/>
      <c r="K67" s="2066"/>
      <c r="L67" s="2037"/>
    </row>
    <row r="68" spans="1:12" s="2031" customFormat="1" ht="10.5" customHeight="1">
      <c r="A68" s="2112">
        <v>13</v>
      </c>
      <c r="B68" s="2079" t="s">
        <v>4379</v>
      </c>
      <c r="C68" s="2079"/>
      <c r="D68" s="2114"/>
      <c r="E68" s="2036" t="s">
        <v>2867</v>
      </c>
      <c r="F68" s="2078" t="s">
        <v>3197</v>
      </c>
      <c r="G68" s="2078"/>
      <c r="H68" s="2078"/>
      <c r="I68" s="2075"/>
      <c r="J68" s="2076"/>
      <c r="K68" s="2077"/>
      <c r="L68" s="2037"/>
    </row>
    <row r="69" spans="1:12" s="2031" customFormat="1" ht="10.5" customHeight="1">
      <c r="A69" s="2052"/>
      <c r="B69" s="2051"/>
      <c r="C69" s="2051"/>
      <c r="D69" s="2115"/>
      <c r="E69" s="2038" t="s">
        <v>2865</v>
      </c>
      <c r="F69" s="2057" t="s">
        <v>4259</v>
      </c>
      <c r="G69" s="2057"/>
      <c r="H69" s="2057"/>
      <c r="I69" s="2080"/>
      <c r="J69" s="2081"/>
      <c r="K69" s="2066"/>
      <c r="L69" s="2037"/>
    </row>
    <row r="70" spans="1:12" s="2031" customFormat="1" ht="10.5" customHeight="1">
      <c r="A70" s="2052"/>
      <c r="B70" s="2053"/>
      <c r="C70" s="2053"/>
      <c r="D70" s="2053"/>
      <c r="E70" s="2038" t="s">
        <v>2866</v>
      </c>
      <c r="F70" s="2057" t="s">
        <v>4091</v>
      </c>
      <c r="G70" s="2057"/>
      <c r="H70" s="2057"/>
      <c r="I70" s="2080"/>
      <c r="J70" s="2081"/>
      <c r="K70" s="2066"/>
      <c r="L70" s="2037"/>
    </row>
    <row r="71" spans="1:12" s="2031" customFormat="1" ht="10.5" customHeight="1">
      <c r="A71" s="2052"/>
      <c r="B71" s="2053"/>
      <c r="C71" s="2053"/>
      <c r="D71" s="2053"/>
      <c r="E71" s="2038" t="s">
        <v>2868</v>
      </c>
      <c r="F71" s="2057" t="s">
        <v>2969</v>
      </c>
      <c r="G71" s="2057"/>
      <c r="H71" s="2057"/>
      <c r="I71" s="2080"/>
      <c r="J71" s="2081"/>
      <c r="K71" s="2066"/>
      <c r="L71" s="2037"/>
    </row>
    <row r="72" spans="1:12" s="2031" customFormat="1" ht="10.5" customHeight="1">
      <c r="A72" s="2112">
        <v>14</v>
      </c>
      <c r="B72" s="2072" t="s">
        <v>4093</v>
      </c>
      <c r="C72" s="2072"/>
      <c r="D72" s="2072"/>
      <c r="E72" s="2036" t="s">
        <v>2867</v>
      </c>
      <c r="F72" s="2078" t="s">
        <v>2970</v>
      </c>
      <c r="G72" s="2078"/>
      <c r="H72" s="2078"/>
      <c r="I72" s="2075"/>
      <c r="J72" s="2076"/>
      <c r="K72" s="2077"/>
      <c r="L72" s="2037"/>
    </row>
    <row r="73" spans="1:12" s="2031" customFormat="1" ht="10.5" customHeight="1">
      <c r="A73" s="2103"/>
      <c r="B73" s="2104"/>
      <c r="C73" s="2104"/>
      <c r="D73" s="2104"/>
      <c r="E73" s="2093" t="s">
        <v>2865</v>
      </c>
      <c r="F73" s="2105" t="s">
        <v>4094</v>
      </c>
      <c r="G73" s="2105"/>
      <c r="H73" s="2105"/>
      <c r="I73" s="2075"/>
      <c r="J73" s="2076"/>
      <c r="K73" s="2077"/>
      <c r="L73" s="2037"/>
    </row>
    <row r="74" spans="1:12" s="2031" customFormat="1" ht="10.5" customHeight="1">
      <c r="A74" s="2112">
        <v>15</v>
      </c>
      <c r="B74" s="2079" t="s">
        <v>2971</v>
      </c>
      <c r="C74" s="2079"/>
      <c r="D74" s="2072" t="s">
        <v>2972</v>
      </c>
      <c r="E74" s="2036" t="s">
        <v>2867</v>
      </c>
      <c r="F74" s="2078" t="s">
        <v>2973</v>
      </c>
      <c r="G74" s="2078"/>
      <c r="H74" s="2078"/>
      <c r="I74" s="2075"/>
      <c r="J74" s="2076"/>
      <c r="K74" s="2077"/>
      <c r="L74" s="2037"/>
    </row>
    <row r="75" spans="1:12" s="2031" customFormat="1" ht="10.5" customHeight="1">
      <c r="A75" s="2052"/>
      <c r="B75" s="2051"/>
      <c r="C75" s="2051"/>
      <c r="D75" s="2053" t="s">
        <v>2957</v>
      </c>
      <c r="E75" s="2038" t="s">
        <v>2865</v>
      </c>
      <c r="F75" s="2057" t="s">
        <v>4204</v>
      </c>
      <c r="G75" s="2057"/>
      <c r="H75" s="2057"/>
      <c r="I75" s="2080"/>
      <c r="J75" s="2081"/>
      <c r="K75" s="2066"/>
      <c r="L75" s="2037"/>
    </row>
    <row r="76" spans="1:12" s="2031" customFormat="1" ht="10.5" customHeight="1">
      <c r="A76" s="2052"/>
      <c r="B76" s="2116"/>
      <c r="C76" s="2116"/>
      <c r="D76" s="2053" t="s">
        <v>2974</v>
      </c>
      <c r="E76" s="2038" t="s">
        <v>2866</v>
      </c>
      <c r="F76" s="2057" t="s">
        <v>4205</v>
      </c>
      <c r="G76" s="2057"/>
      <c r="H76" s="2057"/>
      <c r="I76" s="2080"/>
      <c r="J76" s="2081"/>
      <c r="K76" s="2066"/>
      <c r="L76" s="2037"/>
    </row>
    <row r="77" spans="1:12" s="2031" customFormat="1" ht="10.5" customHeight="1">
      <c r="A77" s="2112">
        <v>16</v>
      </c>
      <c r="B77" s="2079" t="s">
        <v>2975</v>
      </c>
      <c r="C77" s="2079"/>
      <c r="D77" s="2072"/>
      <c r="E77" s="2036" t="s">
        <v>2867</v>
      </c>
      <c r="F77" s="2078" t="s">
        <v>2976</v>
      </c>
      <c r="G77" s="2078"/>
      <c r="H77" s="2078"/>
      <c r="I77" s="2075"/>
      <c r="J77" s="2076"/>
      <c r="K77" s="2077"/>
      <c r="L77" s="2037"/>
    </row>
    <row r="78" spans="1:12" s="2031" customFormat="1" ht="10.5" customHeight="1">
      <c r="A78" s="2052"/>
      <c r="B78" s="2051"/>
      <c r="C78" s="2051"/>
      <c r="D78" s="2053"/>
      <c r="E78" s="2038" t="s">
        <v>2865</v>
      </c>
      <c r="F78" s="2057" t="s">
        <v>2977</v>
      </c>
      <c r="G78" s="2057"/>
      <c r="H78" s="2057"/>
      <c r="I78" s="2080"/>
      <c r="J78" s="2081"/>
      <c r="K78" s="2066"/>
      <c r="L78" s="2037"/>
    </row>
    <row r="79" spans="1:12" s="2031" customFormat="1" ht="10.5" customHeight="1">
      <c r="A79" s="2052"/>
      <c r="B79" s="2051"/>
      <c r="C79" s="2051"/>
      <c r="D79" s="2053"/>
      <c r="E79" s="2038" t="s">
        <v>2866</v>
      </c>
      <c r="F79" s="2057" t="s">
        <v>2978</v>
      </c>
      <c r="G79" s="2057"/>
      <c r="H79" s="2057"/>
      <c r="I79" s="2080"/>
      <c r="J79" s="2081"/>
      <c r="K79" s="2066"/>
      <c r="L79" s="2037"/>
    </row>
    <row r="80" spans="1:12" s="2031" customFormat="1" ht="10.5" customHeight="1">
      <c r="A80" s="2052"/>
      <c r="B80" s="2053"/>
      <c r="C80" s="2053"/>
      <c r="D80" s="2053"/>
      <c r="E80" s="2038" t="s">
        <v>2868</v>
      </c>
      <c r="F80" s="2057" t="s">
        <v>2979</v>
      </c>
      <c r="G80" s="2057"/>
      <c r="H80" s="2057"/>
      <c r="I80" s="2080"/>
      <c r="J80" s="2081"/>
      <c r="K80" s="2066"/>
      <c r="L80" s="2037"/>
    </row>
    <row r="81" spans="1:12" s="2031" customFormat="1" ht="21.75" customHeight="1">
      <c r="A81" s="2117" t="s">
        <v>3025</v>
      </c>
      <c r="B81" s="2118" t="s">
        <v>4095</v>
      </c>
      <c r="C81" s="2118"/>
      <c r="D81" s="2084"/>
      <c r="E81" s="2085" t="s">
        <v>2867</v>
      </c>
      <c r="F81" s="2119" t="s">
        <v>4260</v>
      </c>
      <c r="G81" s="2120"/>
      <c r="H81" s="2086"/>
      <c r="I81" s="2121"/>
      <c r="J81" s="2122"/>
      <c r="K81" s="2087"/>
      <c r="L81" s="2037"/>
    </row>
    <row r="82" spans="1:12" s="2031" customFormat="1" ht="10.5" customHeight="1">
      <c r="A82" s="2045" t="s">
        <v>3026</v>
      </c>
      <c r="B82" s="2044" t="s">
        <v>4096</v>
      </c>
      <c r="C82" s="2044"/>
      <c r="D82" s="2046" t="s">
        <v>2972</v>
      </c>
      <c r="E82" s="2123" t="s">
        <v>2867</v>
      </c>
      <c r="F82" s="2048" t="s">
        <v>4079</v>
      </c>
      <c r="G82" s="2048"/>
      <c r="H82" s="2048"/>
      <c r="I82" s="2088"/>
      <c r="J82" s="2089"/>
      <c r="K82" s="2049"/>
      <c r="L82" s="2037"/>
    </row>
    <row r="83" spans="1:12" s="2031" customFormat="1" ht="10.5" customHeight="1">
      <c r="A83" s="2052"/>
      <c r="B83" s="2051"/>
      <c r="C83" s="2051"/>
      <c r="D83" s="2053" t="s">
        <v>2957</v>
      </c>
      <c r="E83" s="2038" t="s">
        <v>2865</v>
      </c>
      <c r="F83" s="2057" t="s">
        <v>4097</v>
      </c>
      <c r="G83" s="2057"/>
      <c r="H83" s="2057"/>
      <c r="I83" s="2080"/>
      <c r="J83" s="2081"/>
      <c r="K83" s="2066"/>
      <c r="L83" s="2037"/>
    </row>
    <row r="84" spans="1:12" s="2031" customFormat="1" ht="10.5" customHeight="1">
      <c r="A84" s="2112" t="s">
        <v>4098</v>
      </c>
      <c r="B84" s="2079" t="s">
        <v>4099</v>
      </c>
      <c r="C84" s="2079"/>
      <c r="D84" s="2072" t="s">
        <v>3052</v>
      </c>
      <c r="E84" s="2036" t="s">
        <v>2867</v>
      </c>
      <c r="F84" s="2124" t="s">
        <v>2980</v>
      </c>
      <c r="G84" s="2125"/>
      <c r="H84" s="2078"/>
      <c r="I84" s="2075"/>
      <c r="J84" s="2076"/>
      <c r="K84" s="2077"/>
      <c r="L84" s="2037"/>
    </row>
    <row r="85" spans="1:12" s="2031" customFormat="1" ht="10.5" customHeight="1">
      <c r="A85" s="2052"/>
      <c r="B85" s="2116"/>
      <c r="C85" s="2116"/>
      <c r="D85" s="2053"/>
      <c r="E85" s="2067" t="s">
        <v>2865</v>
      </c>
      <c r="F85" s="2057" t="s">
        <v>4100</v>
      </c>
      <c r="G85" s="2057"/>
      <c r="H85" s="2057"/>
      <c r="I85" s="2080"/>
      <c r="J85" s="2081"/>
      <c r="K85" s="2066"/>
      <c r="L85" s="2037"/>
    </row>
    <row r="86" spans="1:12" s="2031" customFormat="1" ht="10.5" customHeight="1">
      <c r="A86" s="2112" t="s">
        <v>4101</v>
      </c>
      <c r="B86" s="2079" t="s">
        <v>3063</v>
      </c>
      <c r="C86" s="2079"/>
      <c r="D86" s="2072" t="s">
        <v>3990</v>
      </c>
      <c r="E86" s="2036" t="s">
        <v>2867</v>
      </c>
      <c r="F86" s="2078" t="s">
        <v>3013</v>
      </c>
      <c r="G86" s="2078"/>
      <c r="H86" s="2078"/>
      <c r="I86" s="2075"/>
      <c r="J86" s="2076"/>
      <c r="K86" s="2077"/>
      <c r="L86" s="2037"/>
    </row>
    <row r="87" spans="1:12" s="2031" customFormat="1" ht="10.5" customHeight="1">
      <c r="A87" s="2052"/>
      <c r="B87" s="2051"/>
      <c r="C87" s="2051"/>
      <c r="D87" s="2053"/>
      <c r="E87" s="2038" t="s">
        <v>2865</v>
      </c>
      <c r="F87" s="2057" t="s">
        <v>2982</v>
      </c>
      <c r="G87" s="2057"/>
      <c r="H87" s="2057"/>
      <c r="I87" s="2080"/>
      <c r="J87" s="2057"/>
      <c r="K87" s="2066"/>
      <c r="L87" s="2037"/>
    </row>
    <row r="88" spans="1:12" s="2031" customFormat="1" ht="10.5" customHeight="1">
      <c r="A88" s="2052"/>
      <c r="B88" s="2053" t="s">
        <v>3064</v>
      </c>
      <c r="C88" s="2053"/>
      <c r="D88" s="2053"/>
      <c r="E88" s="2038" t="s">
        <v>2866</v>
      </c>
      <c r="F88" s="2057" t="s">
        <v>2983</v>
      </c>
      <c r="G88" s="2057"/>
      <c r="H88" s="2057"/>
      <c r="I88" s="2080"/>
      <c r="J88" s="2057"/>
      <c r="K88" s="2066"/>
      <c r="L88" s="2037"/>
    </row>
    <row r="89" spans="1:12" s="2031" customFormat="1" ht="21.75" customHeight="1">
      <c r="A89" s="2052"/>
      <c r="B89" s="2053"/>
      <c r="C89" s="2053"/>
      <c r="D89" s="2053"/>
      <c r="E89" s="2038" t="s">
        <v>2868</v>
      </c>
      <c r="F89" s="2054" t="s">
        <v>4110</v>
      </c>
      <c r="G89" s="2055"/>
      <c r="H89" s="2055"/>
      <c r="I89" s="2080"/>
      <c r="J89" s="2057"/>
      <c r="K89" s="2066"/>
      <c r="L89" s="2037"/>
    </row>
    <row r="90" spans="1:12" s="2031" customFormat="1" ht="10.5" customHeight="1">
      <c r="A90" s="2052"/>
      <c r="B90" s="2053"/>
      <c r="C90" s="2053"/>
      <c r="D90" s="2053" t="s">
        <v>4102</v>
      </c>
      <c r="E90" s="2038" t="s">
        <v>2869</v>
      </c>
      <c r="F90" s="2057" t="s">
        <v>4103</v>
      </c>
      <c r="G90" s="2057"/>
      <c r="H90" s="2057"/>
      <c r="I90" s="2080"/>
      <c r="J90" s="2057"/>
      <c r="K90" s="2066"/>
      <c r="L90" s="2037"/>
    </row>
    <row r="91" spans="1:12" s="2031" customFormat="1" ht="10.5" customHeight="1">
      <c r="A91" s="2052"/>
      <c r="B91" s="2053"/>
      <c r="C91" s="2053"/>
      <c r="D91" s="2053"/>
      <c r="E91" s="2038" t="s">
        <v>2870</v>
      </c>
      <c r="F91" s="2054" t="s">
        <v>4290</v>
      </c>
      <c r="G91" s="2055"/>
      <c r="H91" s="2055"/>
      <c r="I91" s="2080"/>
      <c r="J91" s="2057"/>
      <c r="K91" s="2066"/>
      <c r="L91" s="2037"/>
    </row>
    <row r="92" spans="1:12" s="2031" customFormat="1" ht="21.75" customHeight="1">
      <c r="A92" s="2052"/>
      <c r="B92" s="2053"/>
      <c r="C92" s="2053"/>
      <c r="D92" s="2053"/>
      <c r="E92" s="2038" t="s">
        <v>2871</v>
      </c>
      <c r="F92" s="2054" t="s">
        <v>4113</v>
      </c>
      <c r="G92" s="2055"/>
      <c r="H92" s="2055"/>
      <c r="I92" s="2080"/>
      <c r="J92" s="2057"/>
      <c r="K92" s="2066"/>
      <c r="L92" s="2037"/>
    </row>
    <row r="93" spans="1:12" s="2031" customFormat="1" ht="21.75" customHeight="1">
      <c r="A93" s="2052"/>
      <c r="B93" s="2053"/>
      <c r="C93" s="2053"/>
      <c r="D93" s="2053"/>
      <c r="E93" s="2038" t="s">
        <v>3023</v>
      </c>
      <c r="F93" s="2054" t="s">
        <v>4104</v>
      </c>
      <c r="G93" s="2055"/>
      <c r="H93" s="2055"/>
      <c r="I93" s="2080"/>
      <c r="J93" s="2057"/>
      <c r="K93" s="2066"/>
      <c r="L93" s="2037"/>
    </row>
    <row r="94" spans="1:12" s="2031" customFormat="1" ht="10.5" customHeight="1">
      <c r="A94" s="2052"/>
      <c r="B94" s="2053"/>
      <c r="C94" s="2053"/>
      <c r="D94" s="2053"/>
      <c r="E94" s="2038" t="s">
        <v>3024</v>
      </c>
      <c r="F94" s="2057" t="s">
        <v>4108</v>
      </c>
      <c r="G94" s="2057"/>
      <c r="H94" s="2057"/>
      <c r="I94" s="2080"/>
      <c r="J94" s="2057"/>
      <c r="K94" s="2066"/>
      <c r="L94" s="2037"/>
    </row>
    <row r="95" spans="1:12" s="2031" customFormat="1" ht="10.5" customHeight="1">
      <c r="A95" s="2052"/>
      <c r="B95" s="2053"/>
      <c r="C95" s="2053"/>
      <c r="D95" s="2053"/>
      <c r="E95" s="2038" t="s">
        <v>3058</v>
      </c>
      <c r="F95" s="2057" t="s">
        <v>4109</v>
      </c>
      <c r="G95" s="2057"/>
      <c r="H95" s="2057"/>
      <c r="I95" s="2080"/>
      <c r="J95" s="2057"/>
      <c r="K95" s="2066"/>
      <c r="L95" s="2037"/>
    </row>
    <row r="96" spans="1:12" s="2031" customFormat="1" ht="10.5" customHeight="1">
      <c r="A96" s="2052"/>
      <c r="B96" s="2053"/>
      <c r="C96" s="2053"/>
      <c r="D96" s="2053"/>
      <c r="E96" s="2038" t="s">
        <v>4105</v>
      </c>
      <c r="F96" s="2057" t="s">
        <v>4111</v>
      </c>
      <c r="G96" s="2057"/>
      <c r="H96" s="2057"/>
      <c r="I96" s="2080"/>
      <c r="J96" s="2057"/>
      <c r="K96" s="2066"/>
      <c r="L96" s="2037"/>
    </row>
    <row r="97" spans="1:12" s="2031" customFormat="1" ht="22.5" customHeight="1">
      <c r="A97" s="2052"/>
      <c r="B97" s="2053"/>
      <c r="C97" s="2053"/>
      <c r="D97" s="2053"/>
      <c r="E97" s="2038" t="s">
        <v>4106</v>
      </c>
      <c r="F97" s="2054" t="s">
        <v>4112</v>
      </c>
      <c r="G97" s="2055"/>
      <c r="H97" s="2055"/>
      <c r="I97" s="2080"/>
      <c r="J97" s="2057"/>
      <c r="K97" s="2066"/>
      <c r="L97" s="2037"/>
    </row>
    <row r="98" spans="1:12" s="2031" customFormat="1" ht="10.5" customHeight="1">
      <c r="A98" s="2052"/>
      <c r="B98" s="2053"/>
      <c r="C98" s="2053"/>
      <c r="D98" s="2053" t="s">
        <v>4114</v>
      </c>
      <c r="E98" s="2038" t="s">
        <v>4107</v>
      </c>
      <c r="F98" s="2057" t="s">
        <v>4115</v>
      </c>
      <c r="G98" s="2057"/>
      <c r="H98" s="2057"/>
      <c r="I98" s="2080"/>
      <c r="J98" s="2057"/>
      <c r="K98" s="2066"/>
      <c r="L98" s="2037"/>
    </row>
    <row r="99" spans="1:12" s="2031" customFormat="1" ht="10.5" customHeight="1">
      <c r="A99" s="2052"/>
      <c r="B99" s="2126" t="s">
        <v>3318</v>
      </c>
      <c r="C99" s="2058"/>
      <c r="D99" s="2053" t="s">
        <v>2972</v>
      </c>
      <c r="E99" s="2038" t="s">
        <v>4214</v>
      </c>
      <c r="F99" s="2055" t="s">
        <v>3319</v>
      </c>
      <c r="G99" s="2055"/>
      <c r="H99" s="2055"/>
      <c r="I99" s="2080"/>
      <c r="J99" s="2081"/>
      <c r="K99" s="2066"/>
      <c r="L99" s="2037"/>
    </row>
    <row r="100" spans="1:12" s="2031" customFormat="1" ht="10.5" customHeight="1">
      <c r="A100" s="2052"/>
      <c r="B100" s="2126"/>
      <c r="C100" s="2058"/>
      <c r="D100" s="2053" t="s">
        <v>2957</v>
      </c>
      <c r="E100" s="2038" t="s">
        <v>4215</v>
      </c>
      <c r="F100" s="2057" t="s">
        <v>3320</v>
      </c>
      <c r="G100" s="2057"/>
      <c r="H100" s="2057"/>
      <c r="I100" s="2080"/>
      <c r="J100" s="2081"/>
      <c r="K100" s="2066"/>
      <c r="L100" s="2037"/>
    </row>
    <row r="101" spans="1:12" s="2031" customFormat="1" ht="10.5" customHeight="1">
      <c r="A101" s="2052"/>
      <c r="B101" s="2126"/>
      <c r="C101" s="2053"/>
      <c r="D101" s="2053"/>
      <c r="E101" s="2038" t="s">
        <v>4216</v>
      </c>
      <c r="F101" s="2057" t="s">
        <v>3321</v>
      </c>
      <c r="G101" s="2057"/>
      <c r="H101" s="2057"/>
      <c r="I101" s="2080"/>
      <c r="J101" s="2081"/>
      <c r="K101" s="2066"/>
      <c r="L101" s="2037"/>
    </row>
    <row r="102" spans="1:12" s="2031" customFormat="1" ht="10.5" customHeight="1">
      <c r="A102" s="2052"/>
      <c r="B102" s="2126"/>
      <c r="C102" s="2053"/>
      <c r="D102" s="2053"/>
      <c r="E102" s="2038" t="s">
        <v>3025</v>
      </c>
      <c r="F102" s="2055" t="s">
        <v>3322</v>
      </c>
      <c r="G102" s="2055"/>
      <c r="H102" s="2055"/>
      <c r="I102" s="2080"/>
      <c r="J102" s="2081"/>
      <c r="K102" s="2066"/>
      <c r="L102" s="2037"/>
    </row>
    <row r="103" spans="1:12" s="2031" customFormat="1" ht="10.5" customHeight="1">
      <c r="A103" s="2052"/>
      <c r="B103" s="2053"/>
      <c r="C103" s="2053"/>
      <c r="D103" s="2053"/>
      <c r="E103" s="2038" t="s">
        <v>3026</v>
      </c>
      <c r="F103" s="2055" t="s">
        <v>3323</v>
      </c>
      <c r="G103" s="2055"/>
      <c r="H103" s="2055"/>
      <c r="I103" s="2080"/>
      <c r="J103" s="2081"/>
      <c r="K103" s="2066"/>
      <c r="L103" s="2037"/>
    </row>
    <row r="104" spans="1:12" s="2031" customFormat="1" ht="10.5" customHeight="1">
      <c r="A104" s="2052"/>
      <c r="B104" s="2053"/>
      <c r="C104" s="2053"/>
      <c r="D104" s="2053"/>
      <c r="E104" s="2038" t="s">
        <v>4098</v>
      </c>
      <c r="F104" s="2094" t="s">
        <v>3040</v>
      </c>
      <c r="G104" s="2094"/>
      <c r="H104" s="2094"/>
      <c r="I104" s="2094"/>
      <c r="J104" s="2094"/>
      <c r="K104" s="2095"/>
      <c r="L104" s="2037"/>
    </row>
    <row r="105" spans="1:12" s="2031" customFormat="1" ht="10.5" customHeight="1">
      <c r="A105" s="2112">
        <v>21</v>
      </c>
      <c r="B105" s="2072" t="s">
        <v>3054</v>
      </c>
      <c r="C105" s="2072"/>
      <c r="D105" s="2072"/>
      <c r="E105" s="2036" t="s">
        <v>2867</v>
      </c>
      <c r="F105" s="2078" t="s">
        <v>2984</v>
      </c>
      <c r="G105" s="2078"/>
      <c r="H105" s="2078"/>
      <c r="I105" s="2075"/>
      <c r="J105" s="2076"/>
      <c r="K105" s="2077"/>
      <c r="L105" s="2037"/>
    </row>
    <row r="106" spans="1:12" s="2031" customFormat="1" ht="10.5" customHeight="1">
      <c r="A106" s="2052"/>
      <c r="B106" s="2053"/>
      <c r="C106" s="2053"/>
      <c r="D106" s="2053"/>
      <c r="E106" s="2038" t="s">
        <v>2865</v>
      </c>
      <c r="F106" s="2057" t="s">
        <v>4116</v>
      </c>
      <c r="G106" s="2057"/>
      <c r="H106" s="2057"/>
      <c r="I106" s="2080"/>
      <c r="J106" s="2081"/>
      <c r="K106" s="2066"/>
      <c r="L106" s="2037"/>
    </row>
    <row r="107" spans="1:12" s="2031" customFormat="1" ht="10.5" customHeight="1">
      <c r="A107" s="2052"/>
      <c r="B107" s="2053"/>
      <c r="C107" s="2053"/>
      <c r="D107" s="2053"/>
      <c r="E107" s="2038" t="s">
        <v>2866</v>
      </c>
      <c r="F107" s="2057" t="s">
        <v>2986</v>
      </c>
      <c r="G107" s="2057"/>
      <c r="H107" s="2057"/>
      <c r="I107" s="2080"/>
      <c r="J107" s="2081"/>
      <c r="K107" s="2066"/>
      <c r="L107" s="2037"/>
    </row>
    <row r="108" spans="1:12" s="2031" customFormat="1" ht="22.5" customHeight="1">
      <c r="A108" s="2052"/>
      <c r="B108" s="2057"/>
      <c r="C108" s="2058"/>
      <c r="D108" s="2053"/>
      <c r="E108" s="2038" t="s">
        <v>2868</v>
      </c>
      <c r="F108" s="2055" t="s">
        <v>3198</v>
      </c>
      <c r="G108" s="2055"/>
      <c r="H108" s="2055"/>
      <c r="I108" s="2055"/>
      <c r="J108" s="2055"/>
      <c r="K108" s="2056"/>
      <c r="L108" s="2037"/>
    </row>
    <row r="109" spans="1:12" s="2031" customFormat="1" ht="10.5" customHeight="1">
      <c r="A109" s="2127">
        <v>22</v>
      </c>
      <c r="B109" s="2072" t="s">
        <v>3200</v>
      </c>
      <c r="C109" s="2072"/>
      <c r="D109" s="2072"/>
      <c r="E109" s="2036" t="s">
        <v>2867</v>
      </c>
      <c r="F109" s="2078" t="s">
        <v>4117</v>
      </c>
      <c r="G109" s="2078"/>
      <c r="H109" s="2078"/>
      <c r="I109" s="2080"/>
      <c r="J109" s="2081"/>
      <c r="K109" s="2066"/>
      <c r="L109" s="2037"/>
    </row>
    <row r="110" spans="1:12" s="2031" customFormat="1" ht="10.5" customHeight="1">
      <c r="A110" s="2057"/>
      <c r="B110" s="2053"/>
      <c r="C110" s="2053"/>
      <c r="D110" s="2053"/>
      <c r="E110" s="2038" t="s">
        <v>2865</v>
      </c>
      <c r="F110" s="2057" t="s">
        <v>3199</v>
      </c>
      <c r="G110" s="2057"/>
      <c r="H110" s="2057"/>
      <c r="I110" s="2080"/>
      <c r="J110" s="2081"/>
      <c r="K110" s="2066"/>
      <c r="L110" s="2037"/>
    </row>
    <row r="111" spans="1:12" s="2031" customFormat="1" ht="10.5" customHeight="1">
      <c r="A111" s="2103"/>
      <c r="B111" s="2104"/>
      <c r="C111" s="2104"/>
      <c r="D111" s="2104"/>
      <c r="E111" s="2093" t="s">
        <v>2866</v>
      </c>
      <c r="F111" s="2105" t="s">
        <v>2987</v>
      </c>
      <c r="G111" s="2105"/>
      <c r="H111" s="2105"/>
      <c r="I111" s="2080"/>
      <c r="J111" s="2081"/>
      <c r="K111" s="2066"/>
      <c r="L111" s="2037"/>
    </row>
    <row r="112" spans="1:12" s="2031" customFormat="1" ht="10.5" customHeight="1">
      <c r="A112" s="2112">
        <v>23</v>
      </c>
      <c r="B112" s="2079" t="s">
        <v>4378</v>
      </c>
      <c r="C112" s="2079"/>
      <c r="D112" s="2072" t="s">
        <v>2972</v>
      </c>
      <c r="E112" s="2036" t="s">
        <v>2867</v>
      </c>
      <c r="F112" s="2078" t="s">
        <v>3325</v>
      </c>
      <c r="G112" s="2078"/>
      <c r="H112" s="2078"/>
      <c r="I112" s="2075"/>
      <c r="J112" s="2076"/>
      <c r="K112" s="2077"/>
      <c r="L112" s="2037"/>
    </row>
    <row r="113" spans="1:12" s="2031" customFormat="1" ht="10.5" customHeight="1">
      <c r="A113" s="2052"/>
      <c r="B113" s="2051"/>
      <c r="C113" s="2051"/>
      <c r="D113" s="2053" t="s">
        <v>2957</v>
      </c>
      <c r="E113" s="2038" t="s">
        <v>2865</v>
      </c>
      <c r="F113" s="2057" t="s">
        <v>2988</v>
      </c>
      <c r="G113" s="2057"/>
      <c r="H113" s="2057"/>
      <c r="I113" s="2080"/>
      <c r="J113" s="2081"/>
      <c r="K113" s="2066"/>
      <c r="L113" s="2037"/>
    </row>
    <row r="114" spans="1:12" s="2031" customFormat="1" ht="10.5" customHeight="1">
      <c r="A114" s="2057"/>
      <c r="B114" s="2051"/>
      <c r="C114" s="2051"/>
      <c r="D114" s="2053" t="s">
        <v>2974</v>
      </c>
      <c r="E114" s="2038" t="s">
        <v>2866</v>
      </c>
      <c r="F114" s="2057" t="s">
        <v>2989</v>
      </c>
      <c r="G114" s="2057"/>
      <c r="H114" s="2057"/>
      <c r="I114" s="2080"/>
      <c r="J114" s="2081"/>
      <c r="K114" s="2066"/>
      <c r="L114" s="2037"/>
    </row>
    <row r="115" spans="1:12" s="2031" customFormat="1" ht="10.5" customHeight="1">
      <c r="A115" s="2128"/>
      <c r="B115" s="2129"/>
      <c r="C115" s="2130"/>
      <c r="D115" s="2131" t="s">
        <v>2981</v>
      </c>
      <c r="E115" s="2041" t="s">
        <v>2868</v>
      </c>
      <c r="F115" s="2129" t="s">
        <v>2990</v>
      </c>
      <c r="G115" s="2129"/>
      <c r="H115" s="2129"/>
      <c r="I115" s="2132"/>
      <c r="J115" s="2133"/>
      <c r="K115" s="2134"/>
      <c r="L115" s="2037"/>
    </row>
    <row r="116" spans="1:12" s="2031" customFormat="1" ht="10.5" customHeight="1">
      <c r="A116" s="2135" t="s">
        <v>4118</v>
      </c>
      <c r="B116" s="2126" t="s">
        <v>4266</v>
      </c>
      <c r="C116" s="2126"/>
      <c r="D116" s="2136"/>
      <c r="E116" s="2038" t="s">
        <v>2867</v>
      </c>
      <c r="F116" s="2082" t="s">
        <v>2991</v>
      </c>
      <c r="G116" s="2082"/>
      <c r="H116" s="2137"/>
      <c r="I116" s="2080"/>
      <c r="J116" s="2081"/>
      <c r="K116" s="2057"/>
      <c r="L116" s="2037"/>
    </row>
    <row r="117" spans="1:12" s="2031" customFormat="1" ht="10.5" customHeight="1">
      <c r="A117" s="2135"/>
      <c r="B117" s="2126"/>
      <c r="C117" s="2126"/>
      <c r="D117" s="2138"/>
      <c r="E117" s="2038" t="s">
        <v>2865</v>
      </c>
      <c r="F117" s="2082" t="s">
        <v>1541</v>
      </c>
      <c r="G117" s="2082"/>
      <c r="H117" s="2137"/>
      <c r="I117" s="2032"/>
      <c r="J117" s="2039"/>
      <c r="L117" s="2037"/>
    </row>
    <row r="118" spans="1:12" s="2031" customFormat="1" ht="10.5" customHeight="1">
      <c r="A118" s="2135"/>
      <c r="B118" s="2126"/>
      <c r="C118" s="2126"/>
      <c r="D118" s="2136"/>
      <c r="E118" s="2038" t="s">
        <v>2866</v>
      </c>
      <c r="F118" s="2082" t="s">
        <v>4262</v>
      </c>
      <c r="G118" s="2082"/>
      <c r="H118" s="2137"/>
      <c r="I118" s="2032"/>
      <c r="J118" s="2039"/>
      <c r="L118" s="2037"/>
    </row>
    <row r="119" spans="1:12" s="2031" customFormat="1" ht="10.5" customHeight="1">
      <c r="A119" s="2057"/>
      <c r="B119" s="2126"/>
      <c r="C119" s="2126"/>
      <c r="D119" s="2136"/>
      <c r="E119" s="2038" t="s">
        <v>2868</v>
      </c>
      <c r="F119" s="2082" t="s">
        <v>4264</v>
      </c>
      <c r="G119" s="2082"/>
      <c r="H119" s="2137"/>
      <c r="I119" s="2032"/>
      <c r="J119" s="2039"/>
      <c r="L119" s="2037"/>
    </row>
    <row r="120" spans="1:12" s="2031" customFormat="1" ht="10.5" customHeight="1">
      <c r="A120" s="2057"/>
      <c r="B120" s="2126"/>
      <c r="C120" s="2126"/>
      <c r="D120" s="2136"/>
      <c r="E120" s="2038" t="s">
        <v>2869</v>
      </c>
      <c r="F120" s="2082" t="s">
        <v>2326</v>
      </c>
      <c r="G120" s="2082"/>
      <c r="H120" s="2137"/>
      <c r="I120" s="2032"/>
      <c r="J120" s="2039"/>
      <c r="L120" s="2037"/>
    </row>
    <row r="121" spans="1:12" s="2031" customFormat="1" ht="10.5" customHeight="1">
      <c r="A121" s="2135"/>
      <c r="B121" s="2126"/>
      <c r="C121" s="2126"/>
      <c r="D121" s="2136"/>
      <c r="E121" s="2038" t="s">
        <v>2870</v>
      </c>
      <c r="F121" s="2082" t="s">
        <v>4263</v>
      </c>
      <c r="G121" s="2082"/>
      <c r="H121" s="2137"/>
      <c r="I121" s="2032"/>
      <c r="J121" s="2039"/>
      <c r="L121" s="2037"/>
    </row>
    <row r="122" spans="1:12" s="2031" customFormat="1" ht="10.5" customHeight="1">
      <c r="A122" s="2057"/>
      <c r="B122" s="2126"/>
      <c r="C122" s="2126"/>
      <c r="D122" s="2136"/>
      <c r="E122" s="2038" t="s">
        <v>2871</v>
      </c>
      <c r="F122" s="2082" t="s">
        <v>4265</v>
      </c>
      <c r="G122" s="2082"/>
      <c r="H122" s="2137"/>
      <c r="I122" s="2032"/>
      <c r="J122" s="2039"/>
      <c r="L122" s="2037"/>
    </row>
    <row r="123" spans="1:12" s="2031" customFormat="1" ht="10.5" customHeight="1">
      <c r="A123" s="2135"/>
      <c r="B123" s="2136"/>
      <c r="C123" s="2136"/>
      <c r="D123" s="2136"/>
      <c r="E123" s="2038" t="s">
        <v>3023</v>
      </c>
      <c r="F123" s="2082" t="s">
        <v>2992</v>
      </c>
      <c r="G123" s="2082"/>
      <c r="H123" s="2137"/>
      <c r="I123" s="2032"/>
      <c r="J123" s="2039"/>
      <c r="L123" s="2037"/>
    </row>
    <row r="124" spans="1:12" s="2031" customFormat="1" ht="10.5" customHeight="1">
      <c r="A124" s="2135"/>
      <c r="B124" s="2135"/>
      <c r="C124" s="2135"/>
      <c r="D124" s="2135"/>
      <c r="E124" s="2038" t="s">
        <v>3024</v>
      </c>
      <c r="F124" s="2082" t="s">
        <v>4261</v>
      </c>
      <c r="G124" s="2082"/>
      <c r="H124" s="2137"/>
      <c r="I124" s="2032"/>
      <c r="J124" s="2039"/>
      <c r="L124" s="2037"/>
    </row>
    <row r="125" spans="1:12" s="2031" customFormat="1" ht="10.5" customHeight="1">
      <c r="A125" s="2135"/>
      <c r="B125" s="2135"/>
      <c r="C125" s="2135"/>
      <c r="D125" s="2135"/>
      <c r="E125" s="2038" t="s">
        <v>3058</v>
      </c>
      <c r="F125" s="2082" t="s">
        <v>2993</v>
      </c>
      <c r="G125" s="2082"/>
      <c r="H125" s="2137"/>
      <c r="I125" s="2032"/>
      <c r="J125" s="2039"/>
      <c r="L125" s="2040"/>
    </row>
    <row r="126" spans="1:12" s="2031" customFormat="1" ht="10.5" customHeight="1">
      <c r="A126" s="2139"/>
      <c r="B126" s="2139"/>
      <c r="C126" s="2139"/>
      <c r="D126" s="2139"/>
      <c r="E126" s="2041" t="s">
        <v>4105</v>
      </c>
      <c r="F126" s="2140" t="s">
        <v>3043</v>
      </c>
      <c r="G126" s="2140"/>
      <c r="H126" s="2141"/>
      <c r="I126" s="2032"/>
      <c r="J126" s="2039"/>
      <c r="L126" s="2040"/>
    </row>
    <row r="127" spans="1:12" s="2057" customFormat="1" ht="10.5" customHeight="1">
      <c r="A127" s="2042" t="s">
        <v>2994</v>
      </c>
      <c r="B127" s="2042"/>
      <c r="C127" s="2042"/>
      <c r="D127" s="2042"/>
      <c r="E127" s="2042"/>
      <c r="F127" s="2042"/>
      <c r="G127" s="2042"/>
      <c r="H127" s="2042"/>
      <c r="I127" s="2042"/>
      <c r="J127" s="2042"/>
      <c r="K127" s="2042"/>
      <c r="L127" s="2042"/>
    </row>
    <row r="128" spans="1:12" s="2031" customFormat="1" ht="10.5" customHeight="1">
      <c r="A128" s="2045" t="s">
        <v>4119</v>
      </c>
      <c r="B128" s="2044" t="s">
        <v>3055</v>
      </c>
      <c r="C128" s="2044"/>
      <c r="D128" s="2142"/>
      <c r="E128" s="2047" t="s">
        <v>2867</v>
      </c>
      <c r="F128" s="2143" t="s">
        <v>2995</v>
      </c>
      <c r="G128" s="2048"/>
      <c r="H128" s="2048"/>
      <c r="I128" s="2088"/>
      <c r="J128" s="2089"/>
      <c r="K128" s="2049"/>
      <c r="L128" s="2037"/>
    </row>
    <row r="129" spans="1:12" s="2031" customFormat="1" ht="10.5" customHeight="1">
      <c r="A129" s="2052"/>
      <c r="B129" s="2051"/>
      <c r="C129" s="2051"/>
      <c r="D129" s="2144"/>
      <c r="E129" s="2038" t="s">
        <v>2865</v>
      </c>
      <c r="F129" s="2057" t="s">
        <v>3324</v>
      </c>
      <c r="G129" s="2057"/>
      <c r="H129" s="2057"/>
      <c r="I129" s="2080"/>
      <c r="J129" s="2081"/>
      <c r="K129" s="2066"/>
      <c r="L129" s="2037"/>
    </row>
    <row r="130" spans="1:12" s="2031" customFormat="1" ht="10.5" customHeight="1">
      <c r="A130" s="2052"/>
      <c r="B130" s="2051"/>
      <c r="C130" s="2051"/>
      <c r="D130" s="2053"/>
      <c r="E130" s="2038" t="s">
        <v>2866</v>
      </c>
      <c r="F130" s="2057" t="s">
        <v>2996</v>
      </c>
      <c r="G130" s="2057"/>
      <c r="H130" s="2057"/>
      <c r="I130" s="2080"/>
      <c r="J130" s="2081"/>
      <c r="K130" s="2066"/>
      <c r="L130" s="2037"/>
    </row>
    <row r="131" spans="1:12" s="2031" customFormat="1" ht="10.5" customHeight="1">
      <c r="A131" s="2057"/>
      <c r="B131" s="2053"/>
      <c r="C131" s="2053"/>
      <c r="D131" s="2053"/>
      <c r="E131" s="2038" t="s">
        <v>2868</v>
      </c>
      <c r="F131" s="2055" t="s">
        <v>2997</v>
      </c>
      <c r="G131" s="2055"/>
      <c r="H131" s="2055"/>
      <c r="I131" s="2055"/>
      <c r="J131" s="2055"/>
      <c r="K131" s="2056"/>
      <c r="L131" s="2037"/>
    </row>
    <row r="132" spans="1:12" s="2031" customFormat="1" ht="10.5" customHeight="1">
      <c r="A132" s="2052"/>
      <c r="B132" s="2053"/>
      <c r="C132" s="2053"/>
      <c r="D132" s="2053"/>
      <c r="E132" s="2038" t="s">
        <v>2869</v>
      </c>
      <c r="F132" s="2057" t="s">
        <v>4192</v>
      </c>
      <c r="G132" s="2057"/>
      <c r="H132" s="2057"/>
      <c r="I132" s="2080"/>
      <c r="J132" s="2081"/>
      <c r="K132" s="2066"/>
      <c r="L132" s="2037"/>
    </row>
    <row r="133" spans="1:12" s="2031" customFormat="1" ht="21.75" customHeight="1">
      <c r="A133" s="2103"/>
      <c r="B133" s="2104"/>
      <c r="C133" s="2104"/>
      <c r="D133" s="2104"/>
      <c r="E133" s="2093" t="s">
        <v>2870</v>
      </c>
      <c r="F133" s="2145" t="s">
        <v>4193</v>
      </c>
      <c r="G133" s="2146"/>
      <c r="H133" s="2146"/>
      <c r="I133" s="2080"/>
      <c r="J133" s="2081"/>
      <c r="K133" s="2066"/>
      <c r="L133" s="2037"/>
    </row>
    <row r="134" spans="1:12" s="2031" customFormat="1" ht="10.5" customHeight="1">
      <c r="A134" s="2112">
        <v>26</v>
      </c>
      <c r="B134" s="2053" t="s">
        <v>2998</v>
      </c>
      <c r="C134" s="2053"/>
      <c r="D134" s="2053" t="s">
        <v>2972</v>
      </c>
      <c r="E134" s="2038" t="s">
        <v>2867</v>
      </c>
      <c r="F134" s="2057" t="s">
        <v>3209</v>
      </c>
      <c r="G134" s="2057"/>
      <c r="H134" s="2057"/>
      <c r="I134" s="2075"/>
      <c r="J134" s="2076"/>
      <c r="K134" s="2077"/>
      <c r="L134" s="2037"/>
    </row>
    <row r="135" spans="1:12" s="2031" customFormat="1" ht="10.5" customHeight="1">
      <c r="A135" s="2052"/>
      <c r="B135" s="2053"/>
      <c r="C135" s="2053"/>
      <c r="D135" s="2144"/>
      <c r="E135" s="2038"/>
      <c r="F135" s="2057" t="s">
        <v>3210</v>
      </c>
      <c r="G135" s="2057"/>
      <c r="H135" s="2057"/>
      <c r="I135" s="2080"/>
      <c r="J135" s="2081"/>
      <c r="K135" s="2066"/>
      <c r="L135" s="2037"/>
    </row>
    <row r="136" spans="1:12" s="2031" customFormat="1" ht="10.5" customHeight="1">
      <c r="A136" s="2052"/>
      <c r="B136" s="2053"/>
      <c r="C136" s="2053"/>
      <c r="D136" s="2147" t="s">
        <v>4207</v>
      </c>
      <c r="E136" s="2038" t="s">
        <v>2865</v>
      </c>
      <c r="F136" s="2057" t="s">
        <v>4209</v>
      </c>
      <c r="G136" s="2057"/>
      <c r="H136" s="2057"/>
      <c r="I136" s="2080"/>
      <c r="J136" s="2081"/>
      <c r="K136" s="2066"/>
      <c r="L136" s="2037"/>
    </row>
    <row r="137" spans="1:12" s="2031" customFormat="1" ht="10.5" customHeight="1">
      <c r="A137" s="2057"/>
      <c r="B137" s="2053"/>
      <c r="C137" s="2053"/>
      <c r="D137" s="2147"/>
      <c r="E137" s="2038"/>
      <c r="F137" s="2148" t="s">
        <v>3211</v>
      </c>
      <c r="G137" s="2057"/>
      <c r="H137" s="2057"/>
      <c r="I137" s="2057"/>
      <c r="J137" s="2057"/>
      <c r="K137" s="2066"/>
      <c r="L137" s="2037"/>
    </row>
    <row r="138" spans="1:12" s="2031" customFormat="1" ht="10.5" customHeight="1">
      <c r="A138" s="2057"/>
      <c r="B138" s="2053"/>
      <c r="C138" s="2053"/>
      <c r="D138" s="2147" t="s">
        <v>4208</v>
      </c>
      <c r="E138" s="2038"/>
      <c r="F138" s="2057" t="s">
        <v>4383</v>
      </c>
      <c r="G138" s="2057"/>
      <c r="H138" s="2057"/>
      <c r="I138" s="2057"/>
      <c r="J138" s="2057"/>
      <c r="K138" s="2066"/>
      <c r="L138" s="2037"/>
    </row>
    <row r="139" spans="1:12" s="2031" customFormat="1" ht="10.5" customHeight="1">
      <c r="A139" s="2057"/>
      <c r="B139" s="2053"/>
      <c r="C139" s="2053"/>
      <c r="D139" s="2147"/>
      <c r="E139" s="2038"/>
      <c r="F139" s="2057" t="s">
        <v>4121</v>
      </c>
      <c r="G139" s="2057"/>
      <c r="H139" s="2057"/>
      <c r="I139" s="2057"/>
      <c r="J139" s="2057"/>
      <c r="K139" s="2066"/>
      <c r="L139" s="2037"/>
    </row>
    <row r="140" spans="1:12" s="2031" customFormat="1" ht="10.5" customHeight="1">
      <c r="A140" s="2057"/>
      <c r="B140" s="2053"/>
      <c r="C140" s="2053"/>
      <c r="D140" s="2147" t="s">
        <v>4206</v>
      </c>
      <c r="E140" s="2038" t="s">
        <v>2866</v>
      </c>
      <c r="F140" s="2057" t="s">
        <v>4122</v>
      </c>
      <c r="G140" s="2057"/>
      <c r="H140" s="2057"/>
      <c r="I140" s="2057"/>
      <c r="J140" s="2057"/>
      <c r="K140" s="2066"/>
      <c r="L140" s="2037"/>
    </row>
    <row r="141" spans="1:12" s="2031" customFormat="1" ht="10.5" customHeight="1">
      <c r="A141" s="2057"/>
      <c r="B141" s="2053"/>
      <c r="C141" s="2053"/>
      <c r="D141" s="2147" t="s">
        <v>2985</v>
      </c>
      <c r="E141" s="2038" t="s">
        <v>2868</v>
      </c>
      <c r="F141" s="2057" t="s">
        <v>4210</v>
      </c>
      <c r="G141" s="2057"/>
      <c r="H141" s="2057"/>
      <c r="I141" s="2057"/>
      <c r="J141" s="2057"/>
      <c r="K141" s="2066"/>
      <c r="L141" s="2037"/>
    </row>
    <row r="142" spans="1:12" s="2031" customFormat="1" ht="10.5" customHeight="1">
      <c r="A142" s="2127">
        <v>27</v>
      </c>
      <c r="B142" s="2072" t="s">
        <v>2999</v>
      </c>
      <c r="C142" s="2072"/>
      <c r="D142" s="2072"/>
      <c r="E142" s="2036" t="s">
        <v>2867</v>
      </c>
      <c r="F142" s="2078" t="s">
        <v>488</v>
      </c>
      <c r="G142" s="2078"/>
      <c r="H142" s="2078"/>
      <c r="I142" s="2075"/>
      <c r="J142" s="2076"/>
      <c r="K142" s="2077"/>
      <c r="L142" s="2037"/>
    </row>
    <row r="143" spans="1:12" s="2031" customFormat="1" ht="21.75" customHeight="1">
      <c r="A143" s="2052"/>
      <c r="B143" s="2053"/>
      <c r="C143" s="2053"/>
      <c r="D143" s="2053"/>
      <c r="E143" s="2038" t="s">
        <v>2865</v>
      </c>
      <c r="F143" s="2055" t="s">
        <v>3000</v>
      </c>
      <c r="G143" s="2055"/>
      <c r="H143" s="2055"/>
      <c r="I143" s="2055"/>
      <c r="J143" s="2055"/>
      <c r="K143" s="2056"/>
      <c r="L143" s="2037"/>
    </row>
    <row r="144" spans="1:12" s="2031" customFormat="1" ht="10.5" customHeight="1">
      <c r="A144" s="2052"/>
      <c r="B144" s="2053"/>
      <c r="C144" s="2053"/>
      <c r="D144" s="2053"/>
      <c r="E144" s="2038" t="s">
        <v>2866</v>
      </c>
      <c r="F144" s="2149" t="s">
        <v>4123</v>
      </c>
      <c r="G144" s="2149"/>
      <c r="H144" s="2149"/>
      <c r="I144" s="2149"/>
      <c r="J144" s="2149"/>
      <c r="K144" s="2150"/>
      <c r="L144" s="2037"/>
    </row>
    <row r="145" spans="1:12" s="2031" customFormat="1" ht="10.5" customHeight="1">
      <c r="A145" s="2052"/>
      <c r="B145" s="2053"/>
      <c r="C145" s="2053"/>
      <c r="D145" s="2053"/>
      <c r="E145" s="2038" t="s">
        <v>2868</v>
      </c>
      <c r="F145" s="2057" t="s">
        <v>3001</v>
      </c>
      <c r="G145" s="2057"/>
      <c r="H145" s="2057"/>
      <c r="I145" s="2080"/>
      <c r="J145" s="2081"/>
      <c r="K145" s="2066"/>
      <c r="L145" s="2037"/>
    </row>
    <row r="146" spans="1:12" s="2031" customFormat="1" ht="10.5" customHeight="1">
      <c r="A146" s="2057"/>
      <c r="B146" s="2053"/>
      <c r="C146" s="2053"/>
      <c r="D146" s="2053"/>
      <c r="E146" s="2038" t="s">
        <v>2869</v>
      </c>
      <c r="F146" s="2057" t="s">
        <v>3002</v>
      </c>
      <c r="G146" s="2057"/>
      <c r="H146" s="2057"/>
      <c r="I146" s="2080"/>
      <c r="J146" s="2081"/>
      <c r="K146" s="2066"/>
      <c r="L146" s="2037"/>
    </row>
    <row r="147" spans="1:12" s="2031" customFormat="1" ht="10.5" customHeight="1">
      <c r="A147" s="2103"/>
      <c r="B147" s="2104"/>
      <c r="C147" s="2104"/>
      <c r="D147" s="2104"/>
      <c r="E147" s="2093" t="s">
        <v>2870</v>
      </c>
      <c r="F147" s="2105" t="s">
        <v>3003</v>
      </c>
      <c r="G147" s="2105"/>
      <c r="H147" s="2105"/>
      <c r="I147" s="2080"/>
      <c r="J147" s="2081"/>
      <c r="K147" s="2066"/>
      <c r="L147" s="2037"/>
    </row>
    <row r="148" spans="1:12" s="2031" customFormat="1" ht="10.5" customHeight="1">
      <c r="A148" s="2112">
        <v>28</v>
      </c>
      <c r="B148" s="2079" t="s">
        <v>3004</v>
      </c>
      <c r="C148" s="2079"/>
      <c r="D148" s="2072" t="s">
        <v>3059</v>
      </c>
      <c r="E148" s="2036" t="s">
        <v>2867</v>
      </c>
      <c r="F148" s="2078" t="s">
        <v>4124</v>
      </c>
      <c r="G148" s="2078"/>
      <c r="H148" s="2078"/>
      <c r="I148" s="2075"/>
      <c r="J148" s="2076"/>
      <c r="K148" s="2077"/>
      <c r="L148" s="2037"/>
    </row>
    <row r="149" spans="1:12" s="2031" customFormat="1" ht="21.75" customHeight="1">
      <c r="A149" s="2052"/>
      <c r="B149" s="2051"/>
      <c r="C149" s="2051"/>
      <c r="D149" s="2053"/>
      <c r="E149" s="2038"/>
      <c r="F149" s="2054" t="s">
        <v>4125</v>
      </c>
      <c r="G149" s="2055"/>
      <c r="H149" s="2055"/>
      <c r="I149" s="2080"/>
      <c r="J149" s="2081"/>
      <c r="K149" s="2066"/>
      <c r="L149" s="2037"/>
    </row>
    <row r="150" spans="1:12" s="2031" customFormat="1" ht="21.75" customHeight="1">
      <c r="A150" s="2052"/>
      <c r="B150" s="2057"/>
      <c r="C150" s="2058"/>
      <c r="D150" s="2053" t="s">
        <v>3057</v>
      </c>
      <c r="E150" s="2038" t="s">
        <v>2865</v>
      </c>
      <c r="F150" s="2054" t="s">
        <v>4126</v>
      </c>
      <c r="G150" s="2055"/>
      <c r="H150" s="2055"/>
      <c r="I150" s="2080"/>
      <c r="J150" s="2081"/>
      <c r="K150" s="2066"/>
      <c r="L150" s="2037"/>
    </row>
    <row r="151" spans="1:12" s="2031" customFormat="1" ht="10.5" customHeight="1">
      <c r="A151" s="2057"/>
      <c r="B151" s="2057"/>
      <c r="C151" s="2057"/>
      <c r="D151" s="2053"/>
      <c r="E151" s="2067"/>
      <c r="F151" s="2057" t="s">
        <v>3047</v>
      </c>
      <c r="G151" s="2057"/>
      <c r="H151" s="2057"/>
      <c r="I151" s="2080"/>
      <c r="J151" s="2081"/>
      <c r="K151" s="2066"/>
      <c r="L151" s="2037"/>
    </row>
    <row r="152" spans="1:12" s="2031" customFormat="1" ht="21.75" customHeight="1">
      <c r="A152" s="2057"/>
      <c r="B152" s="2057"/>
      <c r="C152" s="2057"/>
      <c r="D152" s="2053"/>
      <c r="E152" s="2067"/>
      <c r="F152" s="2151" t="s">
        <v>4127</v>
      </c>
      <c r="G152" s="2152"/>
      <c r="H152" s="2152"/>
      <c r="I152" s="2080"/>
      <c r="J152" s="2081"/>
      <c r="K152" s="2066"/>
      <c r="L152" s="2037"/>
    </row>
    <row r="153" spans="1:12" s="2031" customFormat="1" ht="10.5" customHeight="1">
      <c r="A153" s="2129"/>
      <c r="B153" s="2129"/>
      <c r="C153" s="2130"/>
      <c r="D153" s="2131" t="s">
        <v>2957</v>
      </c>
      <c r="E153" s="2041" t="s">
        <v>2866</v>
      </c>
      <c r="F153" s="2129" t="s">
        <v>4128</v>
      </c>
      <c r="G153" s="2129"/>
      <c r="H153" s="2129"/>
      <c r="I153" s="2132"/>
      <c r="J153" s="2133"/>
      <c r="K153" s="2134"/>
      <c r="L153" s="2037"/>
    </row>
    <row r="154" spans="1:12" s="2031" customFormat="1" ht="10.5" customHeight="1">
      <c r="A154" s="2045">
        <v>29</v>
      </c>
      <c r="B154" s="2044" t="s">
        <v>3056</v>
      </c>
      <c r="C154" s="2044"/>
      <c r="D154" s="2153"/>
      <c r="E154" s="2047" t="s">
        <v>2867</v>
      </c>
      <c r="F154" s="2048" t="s">
        <v>3005</v>
      </c>
      <c r="G154" s="2048"/>
      <c r="H154" s="2048"/>
      <c r="I154" s="2088"/>
      <c r="J154" s="2089"/>
      <c r="K154" s="2049"/>
      <c r="L154" s="2037"/>
    </row>
    <row r="155" spans="1:12" s="2031" customFormat="1" ht="10.5" customHeight="1">
      <c r="A155" s="2052"/>
      <c r="B155" s="2051"/>
      <c r="C155" s="2051"/>
      <c r="D155" s="2053"/>
      <c r="E155" s="2038" t="s">
        <v>2865</v>
      </c>
      <c r="F155" s="2057" t="s">
        <v>3203</v>
      </c>
      <c r="G155" s="2057"/>
      <c r="H155" s="2057"/>
      <c r="I155" s="2080"/>
      <c r="J155" s="2081"/>
      <c r="K155" s="2066"/>
      <c r="L155" s="2037"/>
    </row>
    <row r="156" spans="1:12" s="2031" customFormat="1" ht="10.5" customHeight="1">
      <c r="A156" s="2112">
        <v>30</v>
      </c>
      <c r="B156" s="2079" t="s">
        <v>4129</v>
      </c>
      <c r="C156" s="2079"/>
      <c r="D156" s="2072" t="s">
        <v>2972</v>
      </c>
      <c r="E156" s="2036" t="s">
        <v>2867</v>
      </c>
      <c r="F156" s="2154" t="s">
        <v>4268</v>
      </c>
      <c r="G156" s="2078"/>
      <c r="H156" s="2078"/>
      <c r="I156" s="2075"/>
      <c r="J156" s="2076"/>
      <c r="K156" s="2077"/>
      <c r="L156" s="2037"/>
    </row>
    <row r="157" spans="1:12" s="2031" customFormat="1" ht="10.5" customHeight="1">
      <c r="A157" s="2052"/>
      <c r="B157" s="2051"/>
      <c r="C157" s="2051"/>
      <c r="D157" s="2115" t="s">
        <v>4133</v>
      </c>
      <c r="E157" s="2038" t="s">
        <v>2865</v>
      </c>
      <c r="F157" s="2148" t="s">
        <v>4267</v>
      </c>
      <c r="G157" s="2057"/>
      <c r="H157" s="2057"/>
      <c r="I157" s="2080"/>
      <c r="J157" s="2081"/>
      <c r="K157" s="2066"/>
      <c r="L157" s="2037"/>
    </row>
    <row r="158" spans="1:12" s="2031" customFormat="1" ht="10.5" customHeight="1">
      <c r="A158" s="2052"/>
      <c r="B158" s="2051"/>
      <c r="C158" s="2051"/>
      <c r="D158" s="2115"/>
      <c r="E158" s="2067"/>
      <c r="F158" s="2057" t="s">
        <v>3204</v>
      </c>
      <c r="G158" s="2057"/>
      <c r="H158" s="2057"/>
      <c r="I158" s="2080"/>
      <c r="J158" s="2081"/>
      <c r="K158" s="2066"/>
      <c r="L158" s="2037"/>
    </row>
    <row r="159" spans="1:12" s="2031" customFormat="1" ht="10.5" customHeight="1">
      <c r="A159" s="2052"/>
      <c r="B159" s="2051"/>
      <c r="C159" s="2051"/>
      <c r="D159" s="2057"/>
      <c r="E159" s="2067"/>
      <c r="F159" s="2057" t="s">
        <v>3205</v>
      </c>
      <c r="G159" s="2057"/>
      <c r="H159" s="2057"/>
      <c r="I159" s="2080"/>
      <c r="J159" s="2081"/>
      <c r="K159" s="2066"/>
      <c r="L159" s="2037"/>
    </row>
    <row r="160" spans="1:12" s="2031" customFormat="1" ht="10.5" customHeight="1">
      <c r="A160" s="2052"/>
      <c r="B160" s="2155"/>
      <c r="C160" s="2057"/>
      <c r="D160" s="2057"/>
      <c r="E160" s="2067"/>
      <c r="F160" s="2057" t="s">
        <v>4130</v>
      </c>
      <c r="G160" s="2057"/>
      <c r="H160" s="2057"/>
      <c r="I160" s="2080"/>
      <c r="J160" s="2081"/>
      <c r="K160" s="2066"/>
      <c r="L160" s="2037"/>
    </row>
    <row r="161" spans="1:12" s="2031" customFormat="1" ht="10.5" customHeight="1">
      <c r="A161" s="2052"/>
      <c r="B161" s="2155"/>
      <c r="C161" s="2053"/>
      <c r="D161" s="2052"/>
      <c r="E161" s="2067"/>
      <c r="F161" s="2057" t="s">
        <v>4131</v>
      </c>
      <c r="G161" s="2057"/>
      <c r="H161" s="2057"/>
      <c r="I161" s="2080"/>
      <c r="J161" s="2081"/>
      <c r="K161" s="2066"/>
      <c r="L161" s="2037"/>
    </row>
    <row r="162" spans="1:12" s="2031" customFormat="1" ht="10.5" customHeight="1">
      <c r="A162" s="2052"/>
      <c r="B162" s="2057"/>
      <c r="C162" s="2058"/>
      <c r="D162" s="2057"/>
      <c r="E162" s="2067"/>
      <c r="F162" s="2057" t="s">
        <v>4132</v>
      </c>
      <c r="G162" s="2057"/>
      <c r="H162" s="2057"/>
      <c r="I162" s="2080"/>
      <c r="J162" s="2081"/>
      <c r="K162" s="2066"/>
      <c r="L162" s="2037"/>
    </row>
    <row r="163" spans="1:12" s="2031" customFormat="1" ht="10.5" customHeight="1">
      <c r="A163" s="2052"/>
      <c r="B163" s="2057"/>
      <c r="C163" s="2053"/>
      <c r="D163" s="2052" t="s">
        <v>2974</v>
      </c>
      <c r="E163" s="2038" t="s">
        <v>2866</v>
      </c>
      <c r="F163" s="2057" t="s">
        <v>3206</v>
      </c>
      <c r="G163" s="2057"/>
      <c r="H163" s="2057"/>
      <c r="I163" s="2080"/>
      <c r="J163" s="2081"/>
      <c r="K163" s="2066"/>
      <c r="L163" s="2037"/>
    </row>
    <row r="164" spans="1:12" s="2031" customFormat="1" ht="10.5" customHeight="1">
      <c r="A164" s="2052"/>
      <c r="B164" s="2057"/>
      <c r="C164" s="2057"/>
      <c r="D164" s="2053"/>
      <c r="E164" s="2067"/>
      <c r="F164" s="2057" t="s">
        <v>3207</v>
      </c>
      <c r="G164" s="2057"/>
      <c r="H164" s="2057"/>
      <c r="I164" s="2080"/>
      <c r="J164" s="2081"/>
      <c r="K164" s="2066"/>
      <c r="L164" s="2037"/>
    </row>
    <row r="165" spans="1:12" s="2031" customFormat="1" ht="10.5" customHeight="1">
      <c r="A165" s="2052"/>
      <c r="B165" s="2053"/>
      <c r="C165" s="2053"/>
      <c r="D165" s="2052" t="s">
        <v>2981</v>
      </c>
      <c r="E165" s="2038" t="s">
        <v>2868</v>
      </c>
      <c r="F165" s="2057" t="s">
        <v>4269</v>
      </c>
      <c r="G165" s="2057"/>
      <c r="H165" s="2057"/>
      <c r="I165" s="2080"/>
      <c r="J165" s="2081"/>
      <c r="K165" s="2066"/>
      <c r="L165" s="2037"/>
    </row>
    <row r="166" spans="1:12" s="2031" customFormat="1" ht="10.5" customHeight="1">
      <c r="A166" s="2112">
        <v>31</v>
      </c>
      <c r="B166" s="2079" t="s">
        <v>3214</v>
      </c>
      <c r="C166" s="2079"/>
      <c r="D166" s="2072" t="s">
        <v>2972</v>
      </c>
      <c r="E166" s="2036" t="s">
        <v>2867</v>
      </c>
      <c r="F166" s="2078" t="s">
        <v>3212</v>
      </c>
      <c r="G166" s="2078"/>
      <c r="H166" s="2078"/>
      <c r="I166" s="2075"/>
      <c r="J166" s="2076"/>
      <c r="K166" s="2077"/>
      <c r="L166" s="2037"/>
    </row>
    <row r="167" spans="1:12" s="2031" customFormat="1" ht="10.5" customHeight="1">
      <c r="A167" s="2052"/>
      <c r="B167" s="2051"/>
      <c r="C167" s="2051"/>
      <c r="D167" s="2053"/>
      <c r="E167" s="2038"/>
      <c r="F167" s="2055" t="s">
        <v>3213</v>
      </c>
      <c r="G167" s="2055"/>
      <c r="H167" s="2055"/>
      <c r="I167" s="2055"/>
      <c r="J167" s="2055"/>
      <c r="K167" s="2056"/>
      <c r="L167" s="2037"/>
    </row>
    <row r="168" spans="1:12" s="2031" customFormat="1" ht="10.5" customHeight="1">
      <c r="A168" s="2112">
        <v>32</v>
      </c>
      <c r="B168" s="2072" t="s">
        <v>3217</v>
      </c>
      <c r="C168" s="2072"/>
      <c r="D168" s="2072"/>
      <c r="E168" s="2036" t="s">
        <v>2867</v>
      </c>
      <c r="F168" s="2078" t="s">
        <v>4270</v>
      </c>
      <c r="G168" s="2078"/>
      <c r="H168" s="2078"/>
      <c r="I168" s="2075"/>
      <c r="J168" s="2076"/>
      <c r="K168" s="2077"/>
      <c r="L168" s="2037"/>
    </row>
    <row r="169" spans="1:12" s="2031" customFormat="1" ht="10.5" customHeight="1">
      <c r="A169" s="2112">
        <v>33</v>
      </c>
      <c r="B169" s="2079" t="s">
        <v>4134</v>
      </c>
      <c r="C169" s="2079"/>
      <c r="D169" s="2072"/>
      <c r="E169" s="2036" t="s">
        <v>2867</v>
      </c>
      <c r="F169" s="2078" t="s">
        <v>3006</v>
      </c>
      <c r="G169" s="2078"/>
      <c r="H169" s="2078"/>
      <c r="I169" s="2075"/>
      <c r="J169" s="2076"/>
      <c r="K169" s="2077"/>
      <c r="L169" s="2037"/>
    </row>
    <row r="170" spans="1:12" s="2031" customFormat="1" ht="10.5" customHeight="1">
      <c r="A170" s="2052"/>
      <c r="B170" s="2051"/>
      <c r="C170" s="2051"/>
      <c r="D170" s="2053"/>
      <c r="E170" s="2038" t="s">
        <v>2865</v>
      </c>
      <c r="F170" s="2057" t="s">
        <v>4273</v>
      </c>
      <c r="G170" s="2057"/>
      <c r="H170" s="2057"/>
      <c r="I170" s="2080"/>
      <c r="J170" s="2081"/>
      <c r="K170" s="2066"/>
      <c r="L170" s="2037"/>
    </row>
    <row r="171" spans="1:12" s="2031" customFormat="1" ht="10.5" customHeight="1">
      <c r="A171" s="2052"/>
      <c r="B171" s="2051"/>
      <c r="C171" s="2051"/>
      <c r="D171" s="2053"/>
      <c r="E171" s="2038" t="s">
        <v>2866</v>
      </c>
      <c r="F171" s="2057" t="s">
        <v>4211</v>
      </c>
      <c r="G171" s="2057"/>
      <c r="H171" s="2057"/>
      <c r="I171" s="2080"/>
      <c r="J171" s="2081"/>
      <c r="K171" s="2066"/>
      <c r="L171" s="2037"/>
    </row>
    <row r="172" spans="1:12" s="2031" customFormat="1" ht="10.5" customHeight="1">
      <c r="A172" s="2052"/>
      <c r="B172" s="2053"/>
      <c r="C172" s="2053"/>
      <c r="D172" s="2053"/>
      <c r="E172" s="2038" t="s">
        <v>2868</v>
      </c>
      <c r="F172" s="2057" t="s">
        <v>3215</v>
      </c>
      <c r="G172" s="2057"/>
      <c r="H172" s="2057"/>
      <c r="I172" s="2080"/>
      <c r="J172" s="2081"/>
      <c r="K172" s="2066"/>
      <c r="L172" s="2037"/>
    </row>
    <row r="173" spans="1:12" s="2031" customFormat="1" ht="10.5" customHeight="1">
      <c r="A173" s="2103"/>
      <c r="B173" s="2104"/>
      <c r="C173" s="2104"/>
      <c r="D173" s="2104"/>
      <c r="E173" s="2093" t="s">
        <v>2869</v>
      </c>
      <c r="F173" s="2105" t="s">
        <v>3216</v>
      </c>
      <c r="G173" s="2105"/>
      <c r="H173" s="2105"/>
      <c r="I173" s="2080"/>
      <c r="J173" s="2081"/>
      <c r="K173" s="2066"/>
      <c r="L173" s="2037"/>
    </row>
    <row r="174" spans="1:12" s="2031" customFormat="1" ht="10.5" customHeight="1">
      <c r="A174" s="2112">
        <v>34</v>
      </c>
      <c r="B174" s="2079" t="s">
        <v>3218</v>
      </c>
      <c r="C174" s="2079"/>
      <c r="D174" s="2053"/>
      <c r="E174" s="2038" t="s">
        <v>2867</v>
      </c>
      <c r="F174" s="2148" t="s">
        <v>4212</v>
      </c>
      <c r="G174" s="2057"/>
      <c r="H174" s="2057"/>
      <c r="I174" s="2075"/>
      <c r="J174" s="2076"/>
      <c r="K174" s="2077"/>
      <c r="L174" s="2037"/>
    </row>
    <row r="175" spans="1:12" s="2031" customFormat="1" ht="10.5" customHeight="1">
      <c r="A175" s="2052"/>
      <c r="B175" s="2051"/>
      <c r="C175" s="2051"/>
      <c r="D175" s="2053"/>
      <c r="E175" s="2038" t="s">
        <v>2865</v>
      </c>
      <c r="F175" s="2057" t="s">
        <v>4135</v>
      </c>
      <c r="G175" s="2057"/>
      <c r="H175" s="2057"/>
      <c r="I175" s="2075"/>
      <c r="J175" s="2076"/>
      <c r="K175" s="2077"/>
      <c r="L175" s="2037"/>
    </row>
    <row r="176" spans="1:12" s="2031" customFormat="1" ht="10.5" customHeight="1">
      <c r="A176" s="2052"/>
      <c r="B176" s="2051"/>
      <c r="C176" s="2051"/>
      <c r="D176" s="2053"/>
      <c r="E176" s="2038" t="s">
        <v>2866</v>
      </c>
      <c r="F176" s="2057" t="s">
        <v>4136</v>
      </c>
      <c r="G176" s="2057"/>
      <c r="H176" s="2057"/>
      <c r="I176" s="2075"/>
      <c r="J176" s="2076"/>
      <c r="K176" s="2077"/>
      <c r="L176" s="2037"/>
    </row>
    <row r="177" spans="1:12" s="2031" customFormat="1" ht="10.5" customHeight="1">
      <c r="A177" s="2103"/>
      <c r="B177" s="2104"/>
      <c r="C177" s="2104"/>
      <c r="D177" s="2104"/>
      <c r="E177" s="2093" t="s">
        <v>2868</v>
      </c>
      <c r="F177" s="2105" t="s">
        <v>4137</v>
      </c>
      <c r="G177" s="2105"/>
      <c r="H177" s="2105"/>
      <c r="I177" s="2075"/>
      <c r="J177" s="2076"/>
      <c r="K177" s="2077"/>
      <c r="L177" s="2037"/>
    </row>
    <row r="178" spans="1:12" s="2031" customFormat="1" ht="10.5" customHeight="1">
      <c r="A178" s="2052">
        <v>35</v>
      </c>
      <c r="B178" s="2079" t="s">
        <v>3219</v>
      </c>
      <c r="C178" s="2079"/>
      <c r="D178" s="2053" t="s">
        <v>2972</v>
      </c>
      <c r="E178" s="2038" t="s">
        <v>2867</v>
      </c>
      <c r="F178" s="2057" t="s">
        <v>4139</v>
      </c>
      <c r="G178" s="2057"/>
      <c r="H178" s="2057"/>
      <c r="I178" s="2075"/>
      <c r="J178" s="2076"/>
      <c r="K178" s="2077"/>
      <c r="L178" s="2037"/>
    </row>
    <row r="179" spans="1:12" s="2031" customFormat="1" ht="10.5" customHeight="1">
      <c r="A179" s="2052"/>
      <c r="B179" s="2051"/>
      <c r="C179" s="2051"/>
      <c r="D179" s="2053"/>
      <c r="E179" s="2038"/>
      <c r="F179" s="2057" t="s">
        <v>4140</v>
      </c>
      <c r="G179" s="2057"/>
      <c r="H179" s="2057"/>
      <c r="I179" s="2080"/>
      <c r="J179" s="2081"/>
      <c r="K179" s="2066"/>
      <c r="L179" s="2037"/>
    </row>
    <row r="180" spans="1:12" s="2031" customFormat="1" ht="10.5" customHeight="1">
      <c r="A180" s="2052"/>
      <c r="B180" s="2051"/>
      <c r="C180" s="2051"/>
      <c r="D180" s="2052" t="s">
        <v>2957</v>
      </c>
      <c r="E180" s="2038" t="s">
        <v>2865</v>
      </c>
      <c r="F180" s="2057" t="s">
        <v>4138</v>
      </c>
      <c r="G180" s="2057"/>
      <c r="H180" s="2057"/>
      <c r="I180" s="2080"/>
      <c r="J180" s="2081"/>
      <c r="K180" s="2066"/>
      <c r="L180" s="2037"/>
    </row>
    <row r="181" spans="1:12" s="2031" customFormat="1" ht="10.5" customHeight="1">
      <c r="A181" s="2052"/>
      <c r="B181" s="2053"/>
      <c r="C181" s="2053"/>
      <c r="D181" s="2053" t="s">
        <v>2974</v>
      </c>
      <c r="E181" s="2038" t="s">
        <v>2866</v>
      </c>
      <c r="F181" s="2057" t="s">
        <v>4141</v>
      </c>
      <c r="G181" s="2057"/>
      <c r="H181" s="2057"/>
      <c r="I181" s="2080"/>
      <c r="J181" s="2081"/>
      <c r="K181" s="2066"/>
      <c r="L181" s="2037"/>
    </row>
    <row r="182" spans="1:12" s="2031" customFormat="1" ht="10.5" customHeight="1">
      <c r="A182" s="2052"/>
      <c r="B182" s="2053"/>
      <c r="C182" s="2053"/>
      <c r="D182" s="2053"/>
      <c r="E182" s="2038"/>
      <c r="F182" s="2057" t="s">
        <v>4142</v>
      </c>
      <c r="G182" s="2057"/>
      <c r="H182" s="2057"/>
      <c r="I182" s="2080"/>
      <c r="J182" s="2081"/>
      <c r="K182" s="2066"/>
      <c r="L182" s="2037"/>
    </row>
    <row r="183" spans="1:12" s="2031" customFormat="1" ht="10.5" customHeight="1">
      <c r="A183" s="2052"/>
      <c r="B183" s="2053"/>
      <c r="C183" s="2053"/>
      <c r="D183" s="2053"/>
      <c r="E183" s="2038"/>
      <c r="F183" s="2057" t="s">
        <v>4143</v>
      </c>
      <c r="G183" s="2057"/>
      <c r="H183" s="2057"/>
      <c r="I183" s="2080"/>
      <c r="J183" s="2081"/>
      <c r="K183" s="2066"/>
      <c r="L183" s="2037"/>
    </row>
    <row r="184" spans="1:12" s="2031" customFormat="1" ht="10.5" customHeight="1">
      <c r="A184" s="2052"/>
      <c r="B184" s="2053"/>
      <c r="C184" s="2053"/>
      <c r="D184" s="2053"/>
      <c r="E184" s="2038"/>
      <c r="F184" s="2057" t="s">
        <v>4144</v>
      </c>
      <c r="G184" s="2057"/>
      <c r="H184" s="2057"/>
      <c r="I184" s="2080"/>
      <c r="J184" s="2081"/>
      <c r="K184" s="2066"/>
      <c r="L184" s="2037"/>
    </row>
    <row r="185" spans="1:12" s="2031" customFormat="1" ht="10.5" customHeight="1">
      <c r="A185" s="2052"/>
      <c r="B185" s="2053"/>
      <c r="C185" s="2053"/>
      <c r="D185" s="2053"/>
      <c r="E185" s="2038"/>
      <c r="F185" s="2057" t="s">
        <v>4145</v>
      </c>
      <c r="G185" s="2057"/>
      <c r="H185" s="2057"/>
      <c r="I185" s="2080"/>
      <c r="J185" s="2081"/>
      <c r="K185" s="2066"/>
      <c r="L185" s="2037"/>
    </row>
    <row r="186" spans="1:12" s="2031" customFormat="1" ht="10.5" customHeight="1">
      <c r="A186" s="2103"/>
      <c r="B186" s="2104"/>
      <c r="C186" s="2104"/>
      <c r="D186" s="2105"/>
      <c r="E186" s="2093"/>
      <c r="F186" s="2105" t="s">
        <v>4146</v>
      </c>
      <c r="G186" s="2105"/>
      <c r="H186" s="2105"/>
      <c r="I186" s="2080"/>
      <c r="J186" s="2081"/>
      <c r="K186" s="2066"/>
      <c r="L186" s="2037"/>
    </row>
    <row r="187" spans="1:12" s="2031" customFormat="1" ht="10.5" customHeight="1">
      <c r="A187" s="2112">
        <v>36</v>
      </c>
      <c r="B187" s="2079" t="s">
        <v>4147</v>
      </c>
      <c r="C187" s="2079"/>
      <c r="D187" s="2072"/>
      <c r="E187" s="2036" t="s">
        <v>2867</v>
      </c>
      <c r="F187" s="2078" t="s">
        <v>4148</v>
      </c>
      <c r="G187" s="2078"/>
      <c r="H187" s="2078"/>
      <c r="I187" s="2075"/>
      <c r="J187" s="2078"/>
      <c r="K187" s="2077"/>
      <c r="L187" s="2037"/>
    </row>
    <row r="188" spans="1:12" s="2031" customFormat="1" ht="21.75" customHeight="1">
      <c r="A188" s="2052"/>
      <c r="B188" s="2051"/>
      <c r="C188" s="2051"/>
      <c r="D188" s="2053"/>
      <c r="E188" s="2038" t="s">
        <v>2865</v>
      </c>
      <c r="F188" s="2054" t="s">
        <v>4149</v>
      </c>
      <c r="G188" s="2055"/>
      <c r="H188" s="2055"/>
      <c r="I188" s="2080"/>
      <c r="J188" s="2081"/>
      <c r="K188" s="2066"/>
      <c r="L188" s="2037"/>
    </row>
    <row r="189" spans="1:12" s="2031" customFormat="1" ht="10.5" customHeight="1">
      <c r="A189" s="2052"/>
      <c r="B189" s="2051"/>
      <c r="C189" s="2051"/>
      <c r="D189" s="2053"/>
      <c r="E189" s="2038" t="s">
        <v>2866</v>
      </c>
      <c r="F189" s="2057" t="s">
        <v>4150</v>
      </c>
      <c r="G189" s="2057"/>
      <c r="H189" s="2057"/>
      <c r="I189" s="2080"/>
      <c r="J189" s="2081"/>
      <c r="K189" s="2066"/>
      <c r="L189" s="2037"/>
    </row>
    <row r="190" spans="1:12" s="2031" customFormat="1" ht="10.5" customHeight="1">
      <c r="A190" s="2052"/>
      <c r="B190" s="2053"/>
      <c r="C190" s="2053"/>
      <c r="D190" s="2053"/>
      <c r="E190" s="2038" t="s">
        <v>2868</v>
      </c>
      <c r="F190" s="2057" t="s">
        <v>4151</v>
      </c>
      <c r="G190" s="2057"/>
      <c r="H190" s="2057"/>
      <c r="I190" s="2080"/>
      <c r="J190" s="2081"/>
      <c r="K190" s="2066"/>
      <c r="L190" s="2037"/>
    </row>
    <row r="191" spans="1:12" s="2031" customFormat="1" ht="10.5" customHeight="1">
      <c r="A191" s="2052"/>
      <c r="B191" s="2053"/>
      <c r="C191" s="2053"/>
      <c r="D191" s="2053"/>
      <c r="E191" s="2038" t="s">
        <v>2869</v>
      </c>
      <c r="F191" s="2057" t="s">
        <v>4152</v>
      </c>
      <c r="G191" s="2057"/>
      <c r="H191" s="2057"/>
      <c r="I191" s="2080"/>
      <c r="J191" s="2081"/>
      <c r="K191" s="2066"/>
      <c r="L191" s="2037"/>
    </row>
    <row r="192" spans="1:12" s="2031" customFormat="1" ht="10.5" customHeight="1">
      <c r="A192" s="2052"/>
      <c r="B192" s="2053"/>
      <c r="C192" s="2053"/>
      <c r="D192" s="2053"/>
      <c r="E192" s="2038" t="s">
        <v>2870</v>
      </c>
      <c r="F192" s="2057" t="s">
        <v>4153</v>
      </c>
      <c r="G192" s="2057"/>
      <c r="H192" s="2057"/>
      <c r="I192" s="2080"/>
      <c r="J192" s="2081"/>
      <c r="K192" s="2066"/>
      <c r="L192" s="2037"/>
    </row>
    <row r="193" spans="1:12" s="2031" customFormat="1" ht="10.5" customHeight="1">
      <c r="A193" s="2052"/>
      <c r="B193" s="2053"/>
      <c r="C193" s="2053"/>
      <c r="D193" s="2053"/>
      <c r="E193" s="2093" t="s">
        <v>2871</v>
      </c>
      <c r="F193" s="2057" t="s">
        <v>4154</v>
      </c>
      <c r="G193" s="2057"/>
      <c r="H193" s="2057"/>
      <c r="I193" s="2080"/>
      <c r="J193" s="2081"/>
      <c r="K193" s="2066"/>
      <c r="L193" s="2037"/>
    </row>
    <row r="194" spans="1:12" s="2031" customFormat="1" ht="21.75" customHeight="1">
      <c r="A194" s="2117">
        <v>37</v>
      </c>
      <c r="B194" s="2118" t="s">
        <v>3220</v>
      </c>
      <c r="C194" s="2118"/>
      <c r="D194" s="2084" t="s">
        <v>2957</v>
      </c>
      <c r="E194" s="2085" t="s">
        <v>2867</v>
      </c>
      <c r="F194" s="2156" t="s">
        <v>4155</v>
      </c>
      <c r="G194" s="2157"/>
      <c r="H194" s="2157"/>
      <c r="I194" s="2157"/>
      <c r="J194" s="2157"/>
      <c r="K194" s="2158"/>
      <c r="L194" s="2037"/>
    </row>
    <row r="195" spans="1:12" s="2031" customFormat="1" ht="10.5" customHeight="1">
      <c r="A195" s="2052">
        <v>38</v>
      </c>
      <c r="B195" s="2051" t="s">
        <v>3221</v>
      </c>
      <c r="C195" s="2051"/>
      <c r="D195" s="2053" t="s">
        <v>2972</v>
      </c>
      <c r="E195" s="2038" t="s">
        <v>2867</v>
      </c>
      <c r="F195" s="2057" t="s">
        <v>487</v>
      </c>
      <c r="G195" s="2057"/>
      <c r="H195" s="2066"/>
      <c r="I195" s="2080"/>
      <c r="J195" s="2081"/>
      <c r="K195" s="2066"/>
      <c r="L195" s="2037"/>
    </row>
    <row r="196" spans="1:12" s="2031" customFormat="1" ht="10.5" customHeight="1">
      <c r="A196" s="2052"/>
      <c r="B196" s="2051"/>
      <c r="C196" s="2051"/>
      <c r="D196" s="2053"/>
      <c r="E196" s="2038" t="s">
        <v>2865</v>
      </c>
      <c r="F196" s="2057" t="s">
        <v>443</v>
      </c>
      <c r="G196" s="2057"/>
      <c r="H196" s="2066"/>
      <c r="I196" s="2032"/>
      <c r="J196" s="2039"/>
      <c r="L196" s="2037"/>
    </row>
    <row r="197" spans="1:12" s="2031" customFormat="1" ht="10.5" customHeight="1">
      <c r="A197" s="2052"/>
      <c r="B197" s="2051"/>
      <c r="C197" s="2051"/>
      <c r="D197" s="2053"/>
      <c r="E197" s="2038" t="s">
        <v>2866</v>
      </c>
      <c r="F197" s="2057" t="s">
        <v>3007</v>
      </c>
      <c r="G197" s="2057"/>
      <c r="H197" s="2066"/>
      <c r="I197" s="2032"/>
      <c r="J197" s="2039"/>
      <c r="L197" s="2037"/>
    </row>
    <row r="198" spans="1:12" s="2031" customFormat="1" ht="10.5" customHeight="1">
      <c r="A198" s="2052"/>
      <c r="B198" s="2057"/>
      <c r="C198" s="2058"/>
      <c r="D198" s="2115" t="s">
        <v>4133</v>
      </c>
      <c r="E198" s="2038" t="s">
        <v>2868</v>
      </c>
      <c r="F198" s="2057" t="s">
        <v>3008</v>
      </c>
      <c r="G198" s="2057"/>
      <c r="H198" s="2066"/>
      <c r="I198" s="2032"/>
      <c r="J198" s="2039"/>
      <c r="L198" s="2037"/>
    </row>
    <row r="199" spans="1:12" s="2031" customFormat="1" ht="10.5" customHeight="1">
      <c r="A199" s="2052"/>
      <c r="B199" s="2053"/>
      <c r="C199" s="2053"/>
      <c r="D199" s="2159"/>
      <c r="E199" s="2038" t="s">
        <v>2869</v>
      </c>
      <c r="F199" s="2057" t="s">
        <v>3222</v>
      </c>
      <c r="G199" s="2057"/>
      <c r="H199" s="2066"/>
      <c r="I199" s="2032"/>
      <c r="J199" s="2039"/>
      <c r="L199" s="2037"/>
    </row>
    <row r="200" spans="1:12" s="2031" customFormat="1" ht="10.5" customHeight="1">
      <c r="A200" s="2112" t="s">
        <v>3226</v>
      </c>
      <c r="B200" s="2072" t="s">
        <v>3223</v>
      </c>
      <c r="C200" s="2072"/>
      <c r="D200" s="2072" t="s">
        <v>2957</v>
      </c>
      <c r="E200" s="2036" t="s">
        <v>2867</v>
      </c>
      <c r="F200" s="2078" t="s">
        <v>3224</v>
      </c>
      <c r="G200" s="2078"/>
      <c r="H200" s="2077"/>
      <c r="I200" s="2075"/>
      <c r="J200" s="2076"/>
      <c r="K200" s="2077"/>
      <c r="L200" s="2037"/>
    </row>
    <row r="201" spans="1:12" s="2031" customFormat="1" ht="10.5" customHeight="1">
      <c r="A201" s="2052"/>
      <c r="B201" s="2057"/>
      <c r="C201" s="2058"/>
      <c r="D201" s="2053" t="s">
        <v>3208</v>
      </c>
      <c r="E201" s="2038" t="s">
        <v>2865</v>
      </c>
      <c r="F201" s="2057" t="s">
        <v>3225</v>
      </c>
      <c r="G201" s="2057"/>
      <c r="H201" s="2066"/>
      <c r="I201" s="2032"/>
      <c r="J201" s="2039"/>
      <c r="L201" s="2037"/>
    </row>
    <row r="202" spans="1:12" s="2031" customFormat="1" ht="10.5" customHeight="1">
      <c r="A202" s="2052"/>
      <c r="B202" s="2057"/>
      <c r="C202" s="2058"/>
      <c r="D202" s="2053" t="s">
        <v>2985</v>
      </c>
      <c r="E202" s="2038" t="s">
        <v>2866</v>
      </c>
      <c r="F202" s="2057" t="s">
        <v>3326</v>
      </c>
      <c r="G202" s="2057"/>
      <c r="H202" s="2066"/>
      <c r="I202" s="2032"/>
      <c r="J202" s="2039"/>
      <c r="L202" s="2037"/>
    </row>
    <row r="203" spans="1:12" s="2031" customFormat="1" ht="10.5" customHeight="1">
      <c r="A203" s="2052"/>
      <c r="B203" s="2057"/>
      <c r="C203" s="2058"/>
      <c r="D203" s="2053" t="s">
        <v>4158</v>
      </c>
      <c r="E203" s="2038" t="s">
        <v>2868</v>
      </c>
      <c r="F203" s="2057" t="s">
        <v>4159</v>
      </c>
      <c r="G203" s="2057"/>
      <c r="H203" s="2066"/>
      <c r="I203" s="2032"/>
      <c r="J203" s="2039"/>
      <c r="L203" s="2037"/>
    </row>
    <row r="204" spans="1:12" s="2031" customFormat="1" ht="10.5" customHeight="1">
      <c r="A204" s="2052"/>
      <c r="B204" s="2057"/>
      <c r="C204" s="2058"/>
      <c r="D204" s="2053" t="s">
        <v>4156</v>
      </c>
      <c r="E204" s="2038" t="s">
        <v>2869</v>
      </c>
      <c r="F204" s="2057" t="s">
        <v>4157</v>
      </c>
      <c r="G204" s="2057"/>
      <c r="H204" s="2066"/>
      <c r="I204" s="2032"/>
      <c r="J204" s="2039"/>
      <c r="L204" s="2037"/>
    </row>
    <row r="205" spans="1:12" s="2031" customFormat="1" ht="10.5" customHeight="1">
      <c r="A205" s="2112" t="s">
        <v>3227</v>
      </c>
      <c r="B205" s="2072" t="s">
        <v>4160</v>
      </c>
      <c r="C205" s="2072"/>
      <c r="D205" s="2072"/>
      <c r="E205" s="2036" t="s">
        <v>2867</v>
      </c>
      <c r="F205" s="2078" t="s">
        <v>4161</v>
      </c>
      <c r="G205" s="2078"/>
      <c r="H205" s="2077"/>
      <c r="I205" s="2075"/>
      <c r="J205" s="2076"/>
      <c r="K205" s="2077"/>
      <c r="L205" s="2037"/>
    </row>
    <row r="206" spans="1:12" s="2031" customFormat="1" ht="10.5" customHeight="1">
      <c r="A206" s="2052"/>
      <c r="B206" s="2053"/>
      <c r="C206" s="2053"/>
      <c r="D206" s="2053"/>
      <c r="E206" s="2038" t="s">
        <v>2865</v>
      </c>
      <c r="F206" s="2057" t="s">
        <v>4162</v>
      </c>
      <c r="G206" s="2057"/>
      <c r="H206" s="2066"/>
      <c r="I206" s="2032"/>
      <c r="J206" s="2039"/>
      <c r="L206" s="2037"/>
    </row>
    <row r="207" spans="1:12" s="2031" customFormat="1" ht="10.5" customHeight="1">
      <c r="A207" s="2052"/>
      <c r="B207" s="2053"/>
      <c r="C207" s="2053"/>
      <c r="D207" s="2053"/>
      <c r="E207" s="2038" t="s">
        <v>2866</v>
      </c>
      <c r="F207" s="2057" t="s">
        <v>4271</v>
      </c>
      <c r="G207" s="2057"/>
      <c r="H207" s="2066"/>
      <c r="I207" s="2032"/>
      <c r="L207" s="2037"/>
    </row>
    <row r="208" spans="1:12" s="2031" customFormat="1" ht="10.5" customHeight="1">
      <c r="A208" s="2112" t="s">
        <v>3229</v>
      </c>
      <c r="B208" s="2072" t="s">
        <v>3228</v>
      </c>
      <c r="C208" s="2072"/>
      <c r="D208" s="2072"/>
      <c r="E208" s="2160" t="s">
        <v>2867</v>
      </c>
      <c r="F208" s="2078" t="s">
        <v>4272</v>
      </c>
      <c r="G208" s="2078"/>
      <c r="H208" s="2077"/>
      <c r="I208" s="2075"/>
      <c r="J208" s="2076"/>
      <c r="K208" s="2077"/>
      <c r="L208" s="2037"/>
    </row>
    <row r="209" spans="1:12" s="2031" customFormat="1" ht="21.75" customHeight="1">
      <c r="A209" s="2117" t="s">
        <v>3231</v>
      </c>
      <c r="B209" s="2084" t="s">
        <v>3230</v>
      </c>
      <c r="C209" s="2084"/>
      <c r="D209" s="2084"/>
      <c r="E209" s="2085" t="s">
        <v>2867</v>
      </c>
      <c r="F209" s="2161" t="s">
        <v>4163</v>
      </c>
      <c r="G209" s="2162"/>
      <c r="H209" s="2163"/>
      <c r="I209" s="2075"/>
      <c r="J209" s="2076"/>
      <c r="K209" s="2077"/>
      <c r="L209" s="2037"/>
    </row>
    <row r="210" spans="1:12" s="2031" customFormat="1" ht="10.5" customHeight="1">
      <c r="A210" s="2052" t="s">
        <v>4213</v>
      </c>
      <c r="B210" s="2053" t="s">
        <v>3073</v>
      </c>
      <c r="C210" s="2053"/>
      <c r="D210" s="2053"/>
      <c r="E210" s="2016" t="s">
        <v>2938</v>
      </c>
      <c r="F210" s="2057"/>
      <c r="G210" s="2164" t="s">
        <v>3074</v>
      </c>
      <c r="H210" s="2057"/>
      <c r="I210" s="2048"/>
      <c r="J210" s="2048"/>
      <c r="K210" s="2048"/>
    </row>
    <row r="211" spans="1:12" s="2031" customFormat="1" ht="10.5" customHeight="1">
      <c r="A211" s="2052"/>
      <c r="B211" s="2165" t="s">
        <v>3060</v>
      </c>
      <c r="C211" s="2165"/>
      <c r="D211" s="2166" t="s">
        <v>3061</v>
      </c>
      <c r="E211" s="2167"/>
      <c r="F211" s="2168" t="s">
        <v>3072</v>
      </c>
      <c r="G211" s="2129"/>
      <c r="H211" s="2129"/>
      <c r="I211" s="2129"/>
      <c r="J211" s="2129"/>
      <c r="K211" s="2129"/>
    </row>
    <row r="212" spans="1:12" s="2031" customFormat="1" ht="21.75" customHeight="1">
      <c r="A212" s="2052"/>
      <c r="B212" s="2169"/>
      <c r="C212" s="2170"/>
      <c r="D212" s="2171"/>
      <c r="E212" s="2172" t="s">
        <v>2867</v>
      </c>
      <c r="F212" s="2173"/>
      <c r="G212" s="2173"/>
      <c r="H212" s="2173"/>
      <c r="I212" s="2173"/>
      <c r="J212" s="2173"/>
      <c r="K212" s="2173"/>
      <c r="L212" s="2037"/>
    </row>
    <row r="213" spans="1:12" s="2031" customFormat="1" ht="21.75" customHeight="1">
      <c r="A213" s="2028"/>
      <c r="B213" s="2174"/>
      <c r="C213" s="2175"/>
      <c r="D213" s="2176"/>
      <c r="E213" s="2177" t="s">
        <v>2865</v>
      </c>
      <c r="F213" s="2178"/>
      <c r="G213" s="2178"/>
      <c r="H213" s="2178"/>
      <c r="I213" s="2178"/>
      <c r="J213" s="2178"/>
      <c r="K213" s="2178"/>
      <c r="L213" s="2037"/>
    </row>
    <row r="214" spans="1:12" s="2031" customFormat="1" ht="21.75" customHeight="1">
      <c r="A214" s="2028"/>
      <c r="B214" s="2174"/>
      <c r="C214" s="2175"/>
      <c r="D214" s="2176"/>
      <c r="E214" s="2177" t="s">
        <v>2866</v>
      </c>
      <c r="F214" s="2178"/>
      <c r="G214" s="2178"/>
      <c r="H214" s="2178"/>
      <c r="I214" s="2178"/>
      <c r="J214" s="2178"/>
      <c r="K214" s="2178"/>
      <c r="L214" s="2037"/>
    </row>
    <row r="215" spans="1:12" s="2031" customFormat="1" ht="21.75" customHeight="1">
      <c r="A215" s="2028"/>
      <c r="B215" s="2174"/>
      <c r="C215" s="2175"/>
      <c r="D215" s="2176"/>
      <c r="E215" s="2177" t="s">
        <v>2868</v>
      </c>
      <c r="F215" s="2178"/>
      <c r="G215" s="2178"/>
      <c r="H215" s="2178"/>
      <c r="I215" s="2178"/>
      <c r="J215" s="2178"/>
      <c r="K215" s="2178"/>
      <c r="L215" s="2037"/>
    </row>
    <row r="216" spans="1:12" s="2031" customFormat="1" ht="21.75" customHeight="1">
      <c r="A216" s="2028"/>
      <c r="B216" s="2174"/>
      <c r="C216" s="2175"/>
      <c r="D216" s="2176"/>
      <c r="E216" s="2177" t="s">
        <v>2869</v>
      </c>
      <c r="F216" s="2178"/>
      <c r="G216" s="2178"/>
      <c r="H216" s="2178"/>
      <c r="I216" s="2178"/>
      <c r="J216" s="2178"/>
      <c r="K216" s="2178"/>
      <c r="L216" s="2037"/>
    </row>
    <row r="217" spans="1:12" s="2031" customFormat="1" ht="21.75" customHeight="1">
      <c r="A217" s="2028"/>
      <c r="B217" s="2174"/>
      <c r="C217" s="2175"/>
      <c r="D217" s="2176"/>
      <c r="E217" s="2177" t="s">
        <v>2870</v>
      </c>
      <c r="F217" s="2178"/>
      <c r="G217" s="2178"/>
      <c r="H217" s="2178"/>
      <c r="I217" s="2178"/>
      <c r="J217" s="2178"/>
      <c r="K217" s="2178"/>
      <c r="L217" s="2037"/>
    </row>
    <row r="218" spans="1:12" s="2031" customFormat="1" ht="21.75" customHeight="1">
      <c r="A218" s="2028"/>
      <c r="B218" s="2174"/>
      <c r="C218" s="2175"/>
      <c r="D218" s="2176"/>
      <c r="E218" s="2177" t="s">
        <v>2871</v>
      </c>
      <c r="F218" s="2178"/>
      <c r="G218" s="2178"/>
      <c r="H218" s="2178"/>
      <c r="I218" s="2178"/>
      <c r="J218" s="2178"/>
      <c r="K218" s="2178"/>
      <c r="L218" s="2037"/>
    </row>
    <row r="219" spans="1:12" s="2031" customFormat="1" ht="21.75" customHeight="1">
      <c r="A219" s="2028"/>
      <c r="B219" s="2174"/>
      <c r="C219" s="2175"/>
      <c r="D219" s="2176"/>
      <c r="E219" s="2177" t="s">
        <v>3023</v>
      </c>
      <c r="F219" s="2178"/>
      <c r="G219" s="2178"/>
      <c r="H219" s="2178"/>
      <c r="I219" s="2178"/>
      <c r="J219" s="2178"/>
      <c r="K219" s="2178"/>
      <c r="L219" s="2037"/>
    </row>
    <row r="220" spans="1:12" s="2031" customFormat="1" ht="21.75" customHeight="1">
      <c r="A220" s="2028"/>
      <c r="B220" s="2174"/>
      <c r="C220" s="2175"/>
      <c r="D220" s="2176"/>
      <c r="E220" s="2177" t="s">
        <v>3024</v>
      </c>
      <c r="F220" s="2178"/>
      <c r="G220" s="2178"/>
      <c r="H220" s="2178"/>
      <c r="I220" s="2178"/>
      <c r="J220" s="2178"/>
      <c r="K220" s="2178"/>
      <c r="L220" s="2037"/>
    </row>
    <row r="221" spans="1:12" s="2031" customFormat="1" ht="21.75" customHeight="1">
      <c r="A221" s="2028"/>
      <c r="B221" s="2174"/>
      <c r="C221" s="2175"/>
      <c r="D221" s="2176"/>
      <c r="E221" s="2177" t="s">
        <v>3058</v>
      </c>
      <c r="F221" s="2178"/>
      <c r="G221" s="2178"/>
      <c r="H221" s="2178"/>
      <c r="I221" s="2178"/>
      <c r="J221" s="2178"/>
      <c r="K221" s="2178"/>
      <c r="L221" s="2179"/>
    </row>
    <row r="222" spans="1:12" s="2031" customFormat="1" ht="21.75" customHeight="1">
      <c r="A222" s="2052"/>
      <c r="B222" s="2174"/>
      <c r="C222" s="2175"/>
      <c r="D222" s="2176"/>
      <c r="E222" s="2177" t="s">
        <v>4105</v>
      </c>
      <c r="F222" s="2178"/>
      <c r="G222" s="2178"/>
      <c r="H222" s="2178"/>
      <c r="I222" s="2178"/>
      <c r="J222" s="2178"/>
      <c r="K222" s="2178"/>
      <c r="L222" s="2180"/>
    </row>
    <row r="223" spans="1:12" s="2031" customFormat="1" ht="21.75" customHeight="1">
      <c r="A223" s="2028"/>
      <c r="B223" s="2181"/>
      <c r="C223" s="2182"/>
      <c r="D223" s="2183"/>
      <c r="E223" s="2184" t="s">
        <v>4106</v>
      </c>
      <c r="F223" s="2185"/>
      <c r="G223" s="2185"/>
      <c r="H223" s="2185"/>
      <c r="I223" s="2185"/>
      <c r="J223" s="2185"/>
      <c r="K223" s="2185"/>
      <c r="L223" s="2037"/>
    </row>
    <row r="224" spans="1:12" s="2031" customFormat="1" ht="33.75" customHeight="1">
      <c r="A224" s="2186" t="s">
        <v>3075</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EENxrV4Dku7fZ6N4UPdl6vcnfZP3jh2LC2HGBfx48EItvMUZU6V6LJksy1+d2eeN6AZbpfH/Y6GZkdTRo24c4w==" saltValue="1sCZF1v+yrB4kJmFy3u2/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91" zoomScaleNormal="91"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2015-056 Lakeview Apartments, Fort Valley, Peach County</v>
      </c>
      <c r="B1" s="1452"/>
      <c r="C1" s="1452"/>
      <c r="D1" s="1452"/>
      <c r="E1" s="1452"/>
      <c r="F1" s="1452"/>
      <c r="G1" s="1452"/>
      <c r="H1" s="1452"/>
      <c r="I1" s="1452"/>
      <c r="J1" s="1452"/>
      <c r="K1" s="1452"/>
      <c r="L1" s="1452"/>
      <c r="M1" s="1452"/>
      <c r="N1" s="1452"/>
      <c r="O1" s="1452"/>
      <c r="P1" s="1453"/>
      <c r="Q1" s="1235"/>
      <c r="U1" s="1573" t="str">
        <f>A1</f>
        <v>PART SIX - PROJECTED REVENUES &amp; EXPENSES  -  2015-056 Lakeview Apartments, Fort Valley, Peach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4384</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3999</v>
      </c>
      <c r="JD3" s="1549" t="s">
        <v>4000</v>
      </c>
      <c r="JE3" s="1549" t="s">
        <v>4001</v>
      </c>
      <c r="JF3" s="1549" t="s">
        <v>4002</v>
      </c>
      <c r="JG3" s="1549" t="s">
        <v>4003</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4036</v>
      </c>
      <c r="Q4" s="1242"/>
      <c r="R4" s="467"/>
      <c r="S4" s="467"/>
      <c r="T4" s="467"/>
      <c r="U4" s="467"/>
      <c r="V4" s="468"/>
      <c r="W4" s="1554" t="s">
        <v>963</v>
      </c>
      <c r="X4" s="1554" t="s">
        <v>796</v>
      </c>
      <c r="Y4" s="1554" t="s">
        <v>797</v>
      </c>
      <c r="Z4" s="1554" t="s">
        <v>798</v>
      </c>
      <c r="AA4" s="1554" t="s">
        <v>799</v>
      </c>
      <c r="AB4" s="1554" t="s">
        <v>964</v>
      </c>
      <c r="AC4" s="1554" t="s">
        <v>2419</v>
      </c>
      <c r="AD4" s="1554" t="s">
        <v>2420</v>
      </c>
      <c r="AE4" s="1554" t="s">
        <v>2421</v>
      </c>
      <c r="AF4" s="1554" t="s">
        <v>2422</v>
      </c>
      <c r="AG4" s="1554" t="s">
        <v>965</v>
      </c>
      <c r="AH4" s="1554" t="s">
        <v>2423</v>
      </c>
      <c r="AI4" s="1554" t="s">
        <v>2424</v>
      </c>
      <c r="AJ4" s="1554" t="s">
        <v>2425</v>
      </c>
      <c r="AK4" s="1554" t="s">
        <v>2426</v>
      </c>
      <c r="AL4" s="1554" t="s">
        <v>131</v>
      </c>
      <c r="AM4" s="1554" t="s">
        <v>2427</v>
      </c>
      <c r="AN4" s="1554" t="s">
        <v>2428</v>
      </c>
      <c r="AO4" s="1554" t="s">
        <v>2429</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2551</v>
      </c>
      <c r="BV4" s="1554" t="s">
        <v>2552</v>
      </c>
      <c r="BW4" s="1554" t="s">
        <v>2553</v>
      </c>
      <c r="BX4" s="1554" t="s">
        <v>2554</v>
      </c>
      <c r="BY4" s="1554" t="s">
        <v>2555</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1939</v>
      </c>
      <c r="D5" s="1"/>
      <c r="E5" s="4"/>
      <c r="F5" s="1"/>
      <c r="G5" s="2493"/>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3994</v>
      </c>
      <c r="JI5" s="1553" t="s">
        <v>3995</v>
      </c>
      <c r="JJ5" s="1553" t="s">
        <v>3996</v>
      </c>
      <c r="JK5" s="1553" t="s">
        <v>3997</v>
      </c>
      <c r="JL5" s="1553" t="s">
        <v>3998</v>
      </c>
      <c r="JM5" s="1549" t="s">
        <v>4008</v>
      </c>
      <c r="JN5" s="1549" t="s">
        <v>4010</v>
      </c>
      <c r="JO5" s="1549" t="s">
        <v>4011</v>
      </c>
      <c r="JP5" s="1549" t="s">
        <v>4012</v>
      </c>
      <c r="JQ5" s="1549" t="s">
        <v>4013</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494" t="s">
        <v>3421</v>
      </c>
      <c r="J6" s="1238" t="s">
        <v>2524</v>
      </c>
      <c r="M6" s="1570" t="str">
        <f>'Part I-Project Information'!$O$30</f>
        <v>Peach Co.</v>
      </c>
      <c r="N6" s="1570"/>
      <c r="O6" s="1348">
        <f>VLOOKUP('Part I-Project Information'!$O$30,'DCA Underwriting Assumptions'!$C$127:$D$237,2)</f>
        <v>54100</v>
      </c>
      <c r="P6" s="1547"/>
      <c r="Q6" s="1242"/>
      <c r="R6" s="100"/>
      <c r="S6" s="1571" t="s">
        <v>2860</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2525</v>
      </c>
      <c r="K7" s="1"/>
      <c r="L7" s="1"/>
      <c r="M7" s="1"/>
      <c r="P7" s="1547"/>
      <c r="Q7" s="1242"/>
      <c r="R7" s="1208"/>
      <c r="S7" s="1209"/>
      <c r="T7" s="1276" t="s">
        <v>2857</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2503</v>
      </c>
      <c r="H8" s="1238" t="s">
        <v>2501</v>
      </c>
      <c r="I8" s="1238" t="s">
        <v>840</v>
      </c>
      <c r="J8" s="1238" t="s">
        <v>2526</v>
      </c>
      <c r="K8" s="1569" t="s">
        <v>147</v>
      </c>
      <c r="L8" s="1569"/>
      <c r="M8" s="1238" t="s">
        <v>2479</v>
      </c>
      <c r="N8" s="1238" t="s">
        <v>556</v>
      </c>
      <c r="O8" s="1238" t="s">
        <v>397</v>
      </c>
      <c r="P8" s="1547"/>
      <c r="Q8" s="1547" t="s">
        <v>4541</v>
      </c>
      <c r="R8" s="1547"/>
      <c r="S8" s="1238" t="s">
        <v>2856</v>
      </c>
      <c r="T8" s="1238" t="s">
        <v>2858</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3823</v>
      </c>
      <c r="FH8" s="1549" t="s">
        <v>3823</v>
      </c>
      <c r="FI8" s="1549" t="s">
        <v>3823</v>
      </c>
      <c r="FJ8" s="1549" t="s">
        <v>3823</v>
      </c>
      <c r="FK8" s="1549" t="s">
        <v>3823</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3819</v>
      </c>
      <c r="GB8" s="1549" t="s">
        <v>3819</v>
      </c>
      <c r="GC8" s="1549" t="s">
        <v>3819</v>
      </c>
      <c r="GD8" s="1549" t="s">
        <v>3819</v>
      </c>
      <c r="GE8" s="1549" t="s">
        <v>3819</v>
      </c>
      <c r="GF8" s="1549" t="s">
        <v>372</v>
      </c>
      <c r="GG8" s="1549" t="s">
        <v>372</v>
      </c>
      <c r="GH8" s="1549" t="s">
        <v>372</v>
      </c>
      <c r="GI8" s="1549" t="s">
        <v>372</v>
      </c>
      <c r="GJ8" s="1549" t="s">
        <v>372</v>
      </c>
      <c r="GK8" s="1549" t="s">
        <v>3818</v>
      </c>
      <c r="GL8" s="1549" t="s">
        <v>3818</v>
      </c>
      <c r="GM8" s="1549" t="s">
        <v>3818</v>
      </c>
      <c r="GN8" s="1549" t="s">
        <v>3818</v>
      </c>
      <c r="GO8" s="1549" t="s">
        <v>3818</v>
      </c>
      <c r="GP8" s="1549" t="s">
        <v>373</v>
      </c>
      <c r="GQ8" s="1549" t="s">
        <v>373</v>
      </c>
      <c r="GR8" s="1549" t="s">
        <v>373</v>
      </c>
      <c r="GS8" s="1549" t="s">
        <v>373</v>
      </c>
      <c r="GT8" s="1549" t="s">
        <v>373</v>
      </c>
      <c r="GU8" s="1549" t="s">
        <v>3817</v>
      </c>
      <c r="GV8" s="1549" t="s">
        <v>3817</v>
      </c>
      <c r="GW8" s="1549" t="s">
        <v>3817</v>
      </c>
      <c r="GX8" s="1549" t="s">
        <v>3817</v>
      </c>
      <c r="GY8" s="1549" t="s">
        <v>3817</v>
      </c>
      <c r="GZ8" s="1549" t="s">
        <v>374</v>
      </c>
      <c r="HA8" s="1549" t="s">
        <v>374</v>
      </c>
      <c r="HB8" s="1549" t="s">
        <v>374</v>
      </c>
      <c r="HC8" s="1549" t="s">
        <v>374</v>
      </c>
      <c r="HD8" s="1549" t="s">
        <v>374</v>
      </c>
      <c r="HE8" s="1549" t="s">
        <v>3820</v>
      </c>
      <c r="HF8" s="1549" t="s">
        <v>3820</v>
      </c>
      <c r="HG8" s="1549" t="s">
        <v>3820</v>
      </c>
      <c r="HH8" s="1549" t="s">
        <v>3820</v>
      </c>
      <c r="HI8" s="1549" t="s">
        <v>3820</v>
      </c>
      <c r="HJ8" s="1549" t="s">
        <v>375</v>
      </c>
      <c r="HK8" s="1549" t="s">
        <v>375</v>
      </c>
      <c r="HL8" s="1549" t="s">
        <v>375</v>
      </c>
      <c r="HM8" s="1549" t="s">
        <v>375</v>
      </c>
      <c r="HN8" s="1549" t="s">
        <v>375</v>
      </c>
      <c r="HO8" s="1549" t="s">
        <v>3821</v>
      </c>
      <c r="HP8" s="1549" t="s">
        <v>3821</v>
      </c>
      <c r="HQ8" s="1549" t="s">
        <v>3821</v>
      </c>
      <c r="HR8" s="1549" t="s">
        <v>3821</v>
      </c>
      <c r="HS8" s="1549" t="s">
        <v>3821</v>
      </c>
      <c r="HT8" s="1549" t="s">
        <v>1535</v>
      </c>
      <c r="HU8" s="1549" t="s">
        <v>1535</v>
      </c>
      <c r="HV8" s="1549" t="s">
        <v>1535</v>
      </c>
      <c r="HW8" s="1549" t="s">
        <v>1535</v>
      </c>
      <c r="HX8" s="1549" t="s">
        <v>1535</v>
      </c>
      <c r="HY8" s="1549" t="s">
        <v>3822</v>
      </c>
      <c r="HZ8" s="1549" t="s">
        <v>3822</v>
      </c>
      <c r="IA8" s="1549" t="s">
        <v>3822</v>
      </c>
      <c r="IB8" s="1549" t="s">
        <v>3822</v>
      </c>
      <c r="IC8" s="1549" t="s">
        <v>3822</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3766</v>
      </c>
      <c r="O9" s="1238" t="s">
        <v>398</v>
      </c>
      <c r="P9" s="1551"/>
      <c r="Q9" s="1242" t="s">
        <v>4542</v>
      </c>
      <c r="R9" s="1238" t="s">
        <v>1090</v>
      </c>
      <c r="S9" s="1238" t="s">
        <v>1554</v>
      </c>
      <c r="T9" s="1238" t="s">
        <v>2859</v>
      </c>
      <c r="U9" s="1447" t="s">
        <v>1938</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3824</v>
      </c>
      <c r="FR9" s="515" t="s">
        <v>3824</v>
      </c>
      <c r="FS9" s="515" t="s">
        <v>3824</v>
      </c>
      <c r="FT9" s="515" t="s">
        <v>3824</v>
      </c>
      <c r="FU9" s="515" t="s">
        <v>3824</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5" t="s">
        <v>120</v>
      </c>
      <c r="C10" s="2496" t="s">
        <v>592</v>
      </c>
      <c r="D10" s="2497">
        <v>1</v>
      </c>
      <c r="E10" s="2498">
        <v>2</v>
      </c>
      <c r="F10" s="2498">
        <v>506</v>
      </c>
      <c r="G10" s="2498">
        <v>473</v>
      </c>
      <c r="H10" s="2498">
        <v>512</v>
      </c>
      <c r="I10" s="2498">
        <v>0</v>
      </c>
      <c r="J10" s="2499" t="s">
        <v>4386</v>
      </c>
      <c r="K10" s="824">
        <f t="shared" ref="K10:K47" si="1">MAX(0,H10-I10)</f>
        <v>512</v>
      </c>
      <c r="L10" s="824">
        <f t="shared" ref="L10:L47" si="2">MAX(0,E10*K10)</f>
        <v>1024</v>
      </c>
      <c r="M10" s="1300" t="s">
        <v>3424</v>
      </c>
      <c r="N10" s="1300" t="s">
        <v>4387</v>
      </c>
      <c r="O10" s="1300" t="s">
        <v>4388</v>
      </c>
      <c r="P10" s="2500" t="s">
        <v>3424</v>
      </c>
      <c r="Q10" s="2501">
        <f>IF(H10="","",H10*12/0.3)</f>
        <v>20480</v>
      </c>
      <c r="R10" s="2502">
        <f>IF(H10="","",IF(C10="Efficiency",Q10/($O$6*VLOOKUP(0,'DCA Underwriting Assumptions'!$J$118:$K$123,2,FALSE)),Q10/($O$6*VLOOKUP(C10,'DCA Underwriting Assumptions'!$J$118:$K$123,2,FALSE))))</f>
        <v>0.54079746501188275</v>
      </c>
      <c r="S10" s="2503"/>
      <c r="T10" s="2502"/>
      <c r="U10" s="2504"/>
      <c r="V10" s="2439"/>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f t="shared" ref="AB10:AB47" si="8">IF(AND(C10="Efficiency",B10="50% AMI",NOT(M10="Common")),E10,"")</f>
        <v>2</v>
      </c>
      <c r="AC10" s="506" t="str">
        <f t="shared" ref="AC10:AC47" si="9">IF(AND(C10=1,B10="50% AMI",NOT(M10="Common")),E10,"")</f>
        <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f t="shared" ref="AV10:AV47" si="28">IF(OR(AND($C10="Efficiency",NOT($J10=""),NOT($J10="PHA Oper Sub"),NOT($J10=0),$B10="50% AMI",NOT($M10="Common")),AND($C10="Efficiency",NOT($J10=""),NOT($J10=0),NOT($J10="PHA Oper Sub"),$B10="HOME 50% AMI",NOT($M10="Common"))),$E10,"")</f>
        <v>2</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f t="shared" ref="CE10:CE47" si="63">IF(OR(AND(C10="Efficiency",B10="50% AMI",NOT(M10="Common")),AND(C10="Efficiency",B10="HOME 50% AMI",NOT(M10="Common"))),E10*F10,"")</f>
        <v>1012</v>
      </c>
      <c r="CF10" s="506" t="str">
        <f t="shared" ref="CF10:CF47" si="64">IF(OR(AND(C10=1,B10="50% AMI",NOT(M10="Common")),AND(C10=1,B10="HOME 50% AMI",NOT(M10="Common"))),E10*F10,"")</f>
        <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f t="shared" ref="CT10:CT47" si="78">IF(AND(C10="Efficiency",NOT(J10=""),NOT($J10=0),NOT(M10="Common")),E10*F10,"")</f>
        <v>1012</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t="str">
        <f t="shared" ref="DE10:DE47" si="89">IF(AND($C10=1, $O10="New Construction",NOT($B10="Unrestricted"),NOT($B10="NSP 120% AMI"),NOT($B10="N/A-CS"),NOT($M10="Common")),$E10,"")</f>
        <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f t="shared" ref="DS10:DS47" si="103">IF(AND($C10="Efficiency", $O10="Acquisition/Rehab",NOT($B10="Unrestricted"),NOT($B10="NSP 120% AMI"),NOT($B10="N/A-CS"),NOT($M10="Common")),$E10,"")</f>
        <v>2</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f t="shared" ref="EW10:EW47" si="133">IF(AND($C10="Efficiency", NOT(OR($N10="SF Detached",$N10="Mfd Home",$N10="Duplex",$N10="Townhome"))),$E10,"")</f>
        <v>2</v>
      </c>
      <c r="EX10" s="516" t="str">
        <f t="shared" ref="EX10:EX47" si="134">IF(AND($C10=1, NOT(OR($N10="SF Detached",$N10="Mfd Home",$N10="Duplex",$N10="Townhome"))),$E10,"")</f>
        <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f t="shared" ref="HJ10:HJ47" si="198">IF(AND($C10="Efficiency", $N10="2-Story Walkup",NOT($P10="Yes")),$E10,"")</f>
        <v>2</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2</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5" t="s">
        <v>1204</v>
      </c>
      <c r="C11" s="2506" t="s">
        <v>592</v>
      </c>
      <c r="D11" s="2507">
        <v>1</v>
      </c>
      <c r="E11" s="2508">
        <v>8</v>
      </c>
      <c r="F11" s="2508">
        <v>506</v>
      </c>
      <c r="G11" s="2508">
        <v>568</v>
      </c>
      <c r="H11" s="2508">
        <v>512</v>
      </c>
      <c r="I11" s="2508">
        <v>0</v>
      </c>
      <c r="J11" s="2509" t="s">
        <v>4386</v>
      </c>
      <c r="K11" s="825">
        <f t="shared" si="1"/>
        <v>512</v>
      </c>
      <c r="L11" s="825">
        <f t="shared" si="2"/>
        <v>4096</v>
      </c>
      <c r="M11" s="1301" t="s">
        <v>3424</v>
      </c>
      <c r="N11" s="1301" t="s">
        <v>4387</v>
      </c>
      <c r="O11" s="1301" t="s">
        <v>4388</v>
      </c>
      <c r="P11" s="2510" t="s">
        <v>3424</v>
      </c>
      <c r="Q11" s="2511">
        <f t="shared" ref="Q11:Q47" si="243">IF(H11="","",H11*12/0.3)</f>
        <v>20480</v>
      </c>
      <c r="R11" s="2512">
        <f>IF(H11="","",IF(C11="Efficiency",Q11/($O$6*VLOOKUP(0,'DCA Underwriting Assumptions'!$J$118:$K$123,2,FALSE)),Q11/($O$6*VLOOKUP(C11,'DCA Underwriting Assumptions'!$J$118:$K$123,2,FALSE))))</f>
        <v>0.54079746501188275</v>
      </c>
      <c r="S11" s="2513"/>
      <c r="T11" s="2512"/>
      <c r="U11" s="2514"/>
      <c r="V11" s="2441"/>
      <c r="W11" s="506">
        <f t="shared" si="3"/>
        <v>8</v>
      </c>
      <c r="X11" s="506" t="str">
        <f t="shared" si="4"/>
        <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f t="shared" si="33"/>
        <v>8</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f t="shared" si="58"/>
        <v>4048</v>
      </c>
      <c r="CA11" s="506" t="str">
        <f t="shared" si="59"/>
        <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f t="shared" si="78"/>
        <v>4048</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f t="shared" si="103"/>
        <v>8</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f t="shared" si="133"/>
        <v>8</v>
      </c>
      <c r="EX11" s="516" t="str">
        <f t="shared" si="134"/>
        <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f t="shared" si="198"/>
        <v>8</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8</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5" t="s">
        <v>120</v>
      </c>
      <c r="C12" s="2506">
        <v>1</v>
      </c>
      <c r="D12" s="2507">
        <v>1</v>
      </c>
      <c r="E12" s="2508">
        <v>3</v>
      </c>
      <c r="F12" s="2508">
        <v>660</v>
      </c>
      <c r="G12" s="2508">
        <v>507</v>
      </c>
      <c r="H12" s="2508">
        <v>562</v>
      </c>
      <c r="I12" s="2508">
        <v>0</v>
      </c>
      <c r="J12" s="2509" t="s">
        <v>4386</v>
      </c>
      <c r="K12" s="825">
        <f t="shared" si="1"/>
        <v>562</v>
      </c>
      <c r="L12" s="825">
        <f t="shared" si="2"/>
        <v>1686</v>
      </c>
      <c r="M12" s="1301" t="s">
        <v>3424</v>
      </c>
      <c r="N12" s="1301" t="s">
        <v>4387</v>
      </c>
      <c r="O12" s="1301" t="s">
        <v>4388</v>
      </c>
      <c r="P12" s="2510" t="s">
        <v>3424</v>
      </c>
      <c r="Q12" s="2511">
        <f t="shared" si="243"/>
        <v>22480</v>
      </c>
      <c r="R12" s="2512">
        <f>IF(H12="","",IF(C12="Efficiency",Q12/($O$6*VLOOKUP(0,'DCA Underwriting Assumptions'!$J$118:$K$123,2,FALSE)),Q12/($O$6*VLOOKUP(C12,'DCA Underwriting Assumptions'!$J$118:$K$123,2,FALSE))))</f>
        <v>0.55403573629081948</v>
      </c>
      <c r="S12" s="2513"/>
      <c r="T12" s="2512"/>
      <c r="U12" s="2514"/>
      <c r="V12" s="2441"/>
      <c r="W12" s="506" t="str">
        <f t="shared" si="3"/>
        <v/>
      </c>
      <c r="X12" s="506" t="str">
        <f t="shared" si="4"/>
        <v/>
      </c>
      <c r="Y12" s="506" t="str">
        <f t="shared" si="5"/>
        <v/>
      </c>
      <c r="Z12" s="506" t="str">
        <f t="shared" si="6"/>
        <v/>
      </c>
      <c r="AA12" s="506" t="str">
        <f t="shared" si="7"/>
        <v/>
      </c>
      <c r="AB12" s="506" t="str">
        <f t="shared" si="8"/>
        <v/>
      </c>
      <c r="AC12" s="506">
        <f t="shared" si="9"/>
        <v>3</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f t="shared" si="29"/>
        <v>3</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f t="shared" si="64"/>
        <v>1980</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f t="shared" si="79"/>
        <v>1980</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f t="shared" si="104"/>
        <v>3</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f t="shared" si="134"/>
        <v>3</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f t="shared" si="199"/>
        <v>3</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3</v>
      </c>
      <c r="JE12" s="515">
        <f t="shared" si="246"/>
        <v>0</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5" t="s">
        <v>1204</v>
      </c>
      <c r="C13" s="2506">
        <v>1</v>
      </c>
      <c r="D13" s="2507">
        <v>1</v>
      </c>
      <c r="E13" s="2508">
        <v>11</v>
      </c>
      <c r="F13" s="2508">
        <v>660</v>
      </c>
      <c r="G13" s="2508">
        <v>608</v>
      </c>
      <c r="H13" s="2508">
        <v>562</v>
      </c>
      <c r="I13" s="2508">
        <v>0</v>
      </c>
      <c r="J13" s="2509" t="s">
        <v>4386</v>
      </c>
      <c r="K13" s="825">
        <f t="shared" si="1"/>
        <v>562</v>
      </c>
      <c r="L13" s="825">
        <f t="shared" si="2"/>
        <v>6182</v>
      </c>
      <c r="M13" s="1301" t="s">
        <v>3424</v>
      </c>
      <c r="N13" s="1301" t="s">
        <v>4387</v>
      </c>
      <c r="O13" s="1301" t="s">
        <v>4388</v>
      </c>
      <c r="P13" s="2510" t="s">
        <v>3424</v>
      </c>
      <c r="Q13" s="2511">
        <f t="shared" si="243"/>
        <v>22480</v>
      </c>
      <c r="R13" s="2512">
        <f>IF(H13="","",IF(C13="Efficiency",Q13/($O$6*VLOOKUP(0,'DCA Underwriting Assumptions'!$J$118:$K$123,2,FALSE)),Q13/($O$6*VLOOKUP(C13,'DCA Underwriting Assumptions'!$J$118:$K$123,2,FALSE))))</f>
        <v>0.55403573629081948</v>
      </c>
      <c r="S13" s="2513"/>
      <c r="T13" s="2512"/>
      <c r="U13" s="2514"/>
      <c r="V13" s="2441"/>
      <c r="W13" s="506" t="str">
        <f t="shared" si="3"/>
        <v/>
      </c>
      <c r="X13" s="506">
        <f t="shared" si="4"/>
        <v>11</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f t="shared" si="34"/>
        <v>11</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f t="shared" si="59"/>
        <v>7260</v>
      </c>
      <c r="CB13" s="506" t="str">
        <f t="shared" si="60"/>
        <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f t="shared" si="79"/>
        <v>7260</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f t="shared" si="104"/>
        <v>11</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f t="shared" si="134"/>
        <v>11</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f t="shared" si="199"/>
        <v>11</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11</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5" t="s">
        <v>120</v>
      </c>
      <c r="C14" s="2506">
        <v>2</v>
      </c>
      <c r="D14" s="2507">
        <v>1</v>
      </c>
      <c r="E14" s="2508">
        <v>7</v>
      </c>
      <c r="F14" s="2508">
        <v>914</v>
      </c>
      <c r="G14" s="2508">
        <v>608</v>
      </c>
      <c r="H14" s="2508">
        <v>676</v>
      </c>
      <c r="I14" s="2508">
        <v>0</v>
      </c>
      <c r="J14" s="2509" t="s">
        <v>4386</v>
      </c>
      <c r="K14" s="825">
        <f t="shared" si="1"/>
        <v>676</v>
      </c>
      <c r="L14" s="825">
        <f t="shared" si="2"/>
        <v>4732</v>
      </c>
      <c r="M14" s="1301" t="s">
        <v>3424</v>
      </c>
      <c r="N14" s="1301" t="s">
        <v>4387</v>
      </c>
      <c r="O14" s="1301" t="s">
        <v>4388</v>
      </c>
      <c r="P14" s="2510" t="s">
        <v>3424</v>
      </c>
      <c r="Q14" s="2511">
        <f t="shared" si="243"/>
        <v>27040</v>
      </c>
      <c r="R14" s="2512">
        <f>IF(H14="","",IF(C14="Efficiency",Q14/($O$6*VLOOKUP(0,'DCA Underwriting Assumptions'!$J$118:$K$123,2,FALSE)),Q14/($O$6*VLOOKUP(C14,'DCA Underwriting Assumptions'!$J$118:$K$123,2,FALSE))))</f>
        <v>0.55535017457383451</v>
      </c>
      <c r="S14" s="2513"/>
      <c r="T14" s="2512"/>
      <c r="U14" s="2514"/>
      <c r="V14" s="2441"/>
      <c r="W14" s="506" t="str">
        <f t="shared" si="3"/>
        <v/>
      </c>
      <c r="X14" s="506" t="str">
        <f t="shared" si="4"/>
        <v/>
      </c>
      <c r="Y14" s="506" t="str">
        <f t="shared" si="5"/>
        <v/>
      </c>
      <c r="Z14" s="506" t="str">
        <f t="shared" si="6"/>
        <v/>
      </c>
      <c r="AA14" s="506" t="str">
        <f t="shared" si="7"/>
        <v/>
      </c>
      <c r="AB14" s="506" t="str">
        <f t="shared" si="8"/>
        <v/>
      </c>
      <c r="AC14" s="506" t="str">
        <f t="shared" si="9"/>
        <v/>
      </c>
      <c r="AD14" s="506">
        <f t="shared" si="10"/>
        <v>7</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f t="shared" si="30"/>
        <v>7</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f t="shared" si="65"/>
        <v>6398</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f t="shared" si="80"/>
        <v>6398</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f t="shared" si="105"/>
        <v>7</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f t="shared" si="135"/>
        <v>7</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f t="shared" si="200"/>
        <v>7</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7</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5" t="s">
        <v>1204</v>
      </c>
      <c r="C15" s="2506">
        <v>2</v>
      </c>
      <c r="D15" s="2507">
        <v>1</v>
      </c>
      <c r="E15" s="2508">
        <v>27</v>
      </c>
      <c r="F15" s="2508">
        <v>914</v>
      </c>
      <c r="G15" s="2508">
        <v>730</v>
      </c>
      <c r="H15" s="2508">
        <v>676</v>
      </c>
      <c r="I15" s="2508">
        <v>0</v>
      </c>
      <c r="J15" s="2509" t="s">
        <v>4386</v>
      </c>
      <c r="K15" s="825">
        <f t="shared" si="1"/>
        <v>676</v>
      </c>
      <c r="L15" s="825">
        <f t="shared" si="2"/>
        <v>18252</v>
      </c>
      <c r="M15" s="1301" t="s">
        <v>3424</v>
      </c>
      <c r="N15" s="1301" t="s">
        <v>4387</v>
      </c>
      <c r="O15" s="1301" t="s">
        <v>4388</v>
      </c>
      <c r="P15" s="2510" t="s">
        <v>3424</v>
      </c>
      <c r="Q15" s="2511">
        <f t="shared" si="243"/>
        <v>27040</v>
      </c>
      <c r="R15" s="2512">
        <f>IF(H15="","",IF(C15="Efficiency",Q15/($O$6*VLOOKUP(0,'DCA Underwriting Assumptions'!$J$118:$K$123,2,FALSE)),Q15/($O$6*VLOOKUP(C15,'DCA Underwriting Assumptions'!$J$118:$K$123,2,FALSE))))</f>
        <v>0.55535017457383451</v>
      </c>
      <c r="S15" s="2513"/>
      <c r="T15" s="2512"/>
      <c r="U15" s="2514"/>
      <c r="V15" s="2441"/>
      <c r="W15" s="506" t="str">
        <f t="shared" si="3"/>
        <v/>
      </c>
      <c r="X15" s="506" t="str">
        <f t="shared" si="4"/>
        <v/>
      </c>
      <c r="Y15" s="506">
        <f t="shared" si="5"/>
        <v>27</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f t="shared" si="35"/>
        <v>27</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f t="shared" si="60"/>
        <v>24678</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f t="shared" si="80"/>
        <v>24678</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f t="shared" si="105"/>
        <v>27</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f t="shared" si="135"/>
        <v>27</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f t="shared" si="200"/>
        <v>27</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27</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5" t="s">
        <v>120</v>
      </c>
      <c r="C16" s="2506">
        <v>3</v>
      </c>
      <c r="D16" s="2507">
        <v>2</v>
      </c>
      <c r="E16" s="2508">
        <v>6</v>
      </c>
      <c r="F16" s="2508">
        <v>1107</v>
      </c>
      <c r="G16" s="2508">
        <v>703</v>
      </c>
      <c r="H16" s="2508">
        <v>803</v>
      </c>
      <c r="I16" s="2508">
        <v>0</v>
      </c>
      <c r="J16" s="2509" t="s">
        <v>4386</v>
      </c>
      <c r="K16" s="825">
        <f t="shared" si="1"/>
        <v>803</v>
      </c>
      <c r="L16" s="825">
        <f t="shared" si="2"/>
        <v>4818</v>
      </c>
      <c r="M16" s="1301" t="s">
        <v>3424</v>
      </c>
      <c r="N16" s="1301" t="s">
        <v>4387</v>
      </c>
      <c r="O16" s="1301" t="s">
        <v>4388</v>
      </c>
      <c r="P16" s="2510" t="s">
        <v>3424</v>
      </c>
      <c r="Q16" s="2511">
        <f t="shared" si="243"/>
        <v>32120</v>
      </c>
      <c r="R16" s="2512">
        <f>IF(H16="","",IF(C16="Efficiency",Q16/($O$6*VLOOKUP(0,'DCA Underwriting Assumptions'!$J$118:$K$123,2,FALSE)),Q16/($O$6*VLOOKUP(C16,'DCA Underwriting Assumptions'!$J$118:$K$123,2,FALSE))))</f>
        <v>0.5708801364993602</v>
      </c>
      <c r="S16" s="2513"/>
      <c r="T16" s="2512"/>
      <c r="U16" s="2514"/>
      <c r="V16" s="244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f t="shared" si="11"/>
        <v>6</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f t="shared" si="31"/>
        <v>6</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f t="shared" si="66"/>
        <v>6642</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f t="shared" si="81"/>
        <v>6642</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f t="shared" si="106"/>
        <v>6</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f t="shared" si="136"/>
        <v>6</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f t="shared" si="201"/>
        <v>6</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6</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5" t="s">
        <v>1204</v>
      </c>
      <c r="C17" s="2506">
        <v>3</v>
      </c>
      <c r="D17" s="2507">
        <v>2</v>
      </c>
      <c r="E17" s="2508">
        <v>20</v>
      </c>
      <c r="F17" s="2508">
        <v>1107</v>
      </c>
      <c r="G17" s="2508">
        <v>843</v>
      </c>
      <c r="H17" s="2508">
        <v>803</v>
      </c>
      <c r="I17" s="2508">
        <v>0</v>
      </c>
      <c r="J17" s="2509" t="s">
        <v>4386</v>
      </c>
      <c r="K17" s="825">
        <f t="shared" si="1"/>
        <v>803</v>
      </c>
      <c r="L17" s="825">
        <f t="shared" si="2"/>
        <v>16060</v>
      </c>
      <c r="M17" s="1301" t="s">
        <v>3424</v>
      </c>
      <c r="N17" s="1301" t="s">
        <v>4387</v>
      </c>
      <c r="O17" s="1301" t="s">
        <v>4388</v>
      </c>
      <c r="P17" s="2510" t="s">
        <v>3424</v>
      </c>
      <c r="Q17" s="2511">
        <f t="shared" si="243"/>
        <v>32120</v>
      </c>
      <c r="R17" s="2512">
        <f>IF(H17="","",IF(C17="Efficiency",Q17/($O$6*VLOOKUP(0,'DCA Underwriting Assumptions'!$J$118:$K$123,2,FALSE)),Q17/($O$6*VLOOKUP(C17,'DCA Underwriting Assumptions'!$J$118:$K$123,2,FALSE))))</f>
        <v>0.5708801364993602</v>
      </c>
      <c r="S17" s="2513"/>
      <c r="T17" s="2512"/>
      <c r="U17" s="2514"/>
      <c r="V17" s="2441"/>
      <c r="W17" s="506" t="str">
        <f t="shared" si="3"/>
        <v/>
      </c>
      <c r="X17" s="506" t="str">
        <f t="shared" si="4"/>
        <v/>
      </c>
      <c r="Y17" s="506" t="str">
        <f t="shared" si="5"/>
        <v/>
      </c>
      <c r="Z17" s="506">
        <f t="shared" si="6"/>
        <v>20</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f t="shared" si="36"/>
        <v>20</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f t="shared" si="61"/>
        <v>22140</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f t="shared" si="81"/>
        <v>22140</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f t="shared" si="106"/>
        <v>20</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f t="shared" si="136"/>
        <v>20</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f t="shared" si="201"/>
        <v>20</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20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5" t="s">
        <v>120</v>
      </c>
      <c r="C18" s="2506">
        <v>4</v>
      </c>
      <c r="D18" s="2507">
        <v>2</v>
      </c>
      <c r="E18" s="2508">
        <v>3</v>
      </c>
      <c r="F18" s="2508">
        <v>1250</v>
      </c>
      <c r="G18" s="2508">
        <v>784</v>
      </c>
      <c r="H18" s="2508">
        <v>936</v>
      </c>
      <c r="I18" s="2508">
        <v>0</v>
      </c>
      <c r="J18" s="2509" t="s">
        <v>4386</v>
      </c>
      <c r="K18" s="825">
        <f t="shared" si="1"/>
        <v>936</v>
      </c>
      <c r="L18" s="825">
        <f t="shared" si="2"/>
        <v>2808</v>
      </c>
      <c r="M18" s="1301" t="s">
        <v>3424</v>
      </c>
      <c r="N18" s="1301" t="s">
        <v>4387</v>
      </c>
      <c r="O18" s="1301" t="s">
        <v>4388</v>
      </c>
      <c r="P18" s="2510" t="s">
        <v>3424</v>
      </c>
      <c r="Q18" s="2511">
        <f t="shared" si="243"/>
        <v>37440</v>
      </c>
      <c r="R18" s="2512">
        <f>IF(H18="","",IF(C18="Efficiency",Q18/($O$6*VLOOKUP(0,'DCA Underwriting Assumptions'!$J$118:$K$123,2,FALSE)),Q18/($O$6*VLOOKUP(C18,'DCA Underwriting Assumptions'!$J$118:$K$123,2,FALSE))))</f>
        <v>0.59659634138568429</v>
      </c>
      <c r="S18" s="2513"/>
      <c r="T18" s="2512"/>
      <c r="U18" s="2514"/>
      <c r="V18" s="244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f t="shared" si="12"/>
        <v>3</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f t="shared" si="32"/>
        <v>3</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f t="shared" si="67"/>
        <v>3750</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f t="shared" si="82"/>
        <v>3750</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f t="shared" si="107"/>
        <v>3</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f t="shared" si="137"/>
        <v>3</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f t="shared" si="202"/>
        <v>3</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3</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5" t="s">
        <v>1204</v>
      </c>
      <c r="C19" s="2506">
        <v>4</v>
      </c>
      <c r="D19" s="2507">
        <v>2</v>
      </c>
      <c r="E19" s="2508">
        <v>9</v>
      </c>
      <c r="F19" s="2508">
        <v>1250</v>
      </c>
      <c r="G19" s="2508">
        <v>941</v>
      </c>
      <c r="H19" s="2508">
        <v>936</v>
      </c>
      <c r="I19" s="2508">
        <v>0</v>
      </c>
      <c r="J19" s="2509" t="s">
        <v>4386</v>
      </c>
      <c r="K19" s="825">
        <f t="shared" si="1"/>
        <v>936</v>
      </c>
      <c r="L19" s="825">
        <f t="shared" si="2"/>
        <v>8424</v>
      </c>
      <c r="M19" s="1301" t="s">
        <v>3424</v>
      </c>
      <c r="N19" s="1301" t="s">
        <v>4387</v>
      </c>
      <c r="O19" s="1301" t="s">
        <v>4388</v>
      </c>
      <c r="P19" s="2510" t="s">
        <v>3424</v>
      </c>
      <c r="Q19" s="2511">
        <f t="shared" si="243"/>
        <v>37440</v>
      </c>
      <c r="R19" s="2512">
        <f>IF(H19="","",IF(C19="Efficiency",Q19/($O$6*VLOOKUP(0,'DCA Underwriting Assumptions'!$J$118:$K$123,2,FALSE)),Q19/($O$6*VLOOKUP(C19,'DCA Underwriting Assumptions'!$J$118:$K$123,2,FALSE))))</f>
        <v>0.59659634138568429</v>
      </c>
      <c r="S19" s="2513"/>
      <c r="T19" s="2512"/>
      <c r="U19" s="2514"/>
      <c r="V19" s="2441"/>
      <c r="W19" s="506" t="str">
        <f t="shared" si="3"/>
        <v/>
      </c>
      <c r="X19" s="506" t="str">
        <f t="shared" si="4"/>
        <v/>
      </c>
      <c r="Y19" s="506" t="str">
        <f t="shared" si="5"/>
        <v/>
      </c>
      <c r="Z19" s="506" t="str">
        <f t="shared" si="6"/>
        <v/>
      </c>
      <c r="AA19" s="506">
        <f t="shared" si="7"/>
        <v>9</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f t="shared" si="37"/>
        <v>9</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f t="shared" si="62"/>
        <v>11250</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f t="shared" si="82"/>
        <v>11250</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f t="shared" si="107"/>
        <v>9</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f t="shared" si="137"/>
        <v>9</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f t="shared" si="202"/>
        <v>9</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9</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5" t="s">
        <v>1859</v>
      </c>
      <c r="C20" s="2506"/>
      <c r="D20" s="2507"/>
      <c r="E20" s="2508"/>
      <c r="F20" s="2508"/>
      <c r="G20" s="2508"/>
      <c r="H20" s="2508"/>
      <c r="I20" s="2508"/>
      <c r="J20" s="2509"/>
      <c r="K20" s="825">
        <f t="shared" si="1"/>
        <v>0</v>
      </c>
      <c r="L20" s="825">
        <f t="shared" si="2"/>
        <v>0</v>
      </c>
      <c r="M20" s="1301"/>
      <c r="N20" s="1301"/>
      <c r="O20" s="1301"/>
      <c r="P20" s="2510"/>
      <c r="Q20" s="2511" t="str">
        <f t="shared" si="243"/>
        <v/>
      </c>
      <c r="R20" s="2512" t="str">
        <f>IF(H20="","",IF(C20="Efficiency",Q20/($O$6*VLOOKUP(0,'DCA Underwriting Assumptions'!$J$118:$K$123,2,FALSE)),Q20/($O$6*VLOOKUP(C20,'DCA Underwriting Assumptions'!$J$118:$K$123,2,FALSE))))</f>
        <v/>
      </c>
      <c r="S20" s="2513"/>
      <c r="T20" s="2512"/>
      <c r="U20" s="2514"/>
      <c r="V20" s="244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5" t="s">
        <v>1859</v>
      </c>
      <c r="C21" s="2506"/>
      <c r="D21" s="2507"/>
      <c r="E21" s="2508"/>
      <c r="F21" s="2508"/>
      <c r="G21" s="2508"/>
      <c r="H21" s="2508"/>
      <c r="I21" s="2508"/>
      <c r="J21" s="2509"/>
      <c r="K21" s="825">
        <f t="shared" si="1"/>
        <v>0</v>
      </c>
      <c r="L21" s="825">
        <f t="shared" si="2"/>
        <v>0</v>
      </c>
      <c r="M21" s="1301"/>
      <c r="N21" s="1301"/>
      <c r="O21" s="1301"/>
      <c r="P21" s="2510"/>
      <c r="Q21" s="2511" t="str">
        <f t="shared" si="243"/>
        <v/>
      </c>
      <c r="R21" s="2512" t="str">
        <f>IF(H21="","",IF(C21="Efficiency",Q21/($O$6*VLOOKUP(0,'DCA Underwriting Assumptions'!$J$118:$K$123,2,FALSE)),Q21/($O$6*VLOOKUP(C21,'DCA Underwriting Assumptions'!$J$118:$K$123,2,FALSE))))</f>
        <v/>
      </c>
      <c r="S21" s="2513"/>
      <c r="T21" s="2512"/>
      <c r="U21" s="2514"/>
      <c r="V21" s="244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5" t="s">
        <v>1859</v>
      </c>
      <c r="C22" s="2506"/>
      <c r="D22" s="2507"/>
      <c r="E22" s="2508"/>
      <c r="F22" s="2508"/>
      <c r="G22" s="2508"/>
      <c r="H22" s="2508"/>
      <c r="I22" s="2508"/>
      <c r="J22" s="2509"/>
      <c r="K22" s="825">
        <f t="shared" si="1"/>
        <v>0</v>
      </c>
      <c r="L22" s="825">
        <f t="shared" si="2"/>
        <v>0</v>
      </c>
      <c r="M22" s="1301"/>
      <c r="N22" s="1301"/>
      <c r="O22" s="1301"/>
      <c r="P22" s="2510"/>
      <c r="Q22" s="2511" t="str">
        <f t="shared" si="243"/>
        <v/>
      </c>
      <c r="R22" s="2512" t="str">
        <f>IF(H22="","",IF(C22="Efficiency",Q22/($O$6*VLOOKUP(0,'DCA Underwriting Assumptions'!$J$118:$K$123,2,FALSE)),Q22/($O$6*VLOOKUP(C22,'DCA Underwriting Assumptions'!$J$118:$K$123,2,FALSE))))</f>
        <v/>
      </c>
      <c r="S22" s="2513"/>
      <c r="T22" s="2512"/>
      <c r="U22" s="2514"/>
      <c r="V22" s="244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5" t="s">
        <v>1859</v>
      </c>
      <c r="C23" s="2506"/>
      <c r="D23" s="2507"/>
      <c r="E23" s="2508"/>
      <c r="F23" s="2508"/>
      <c r="G23" s="2508"/>
      <c r="H23" s="2508"/>
      <c r="I23" s="2508"/>
      <c r="J23" s="2509"/>
      <c r="K23" s="825">
        <f t="shared" si="1"/>
        <v>0</v>
      </c>
      <c r="L23" s="825">
        <f t="shared" si="2"/>
        <v>0</v>
      </c>
      <c r="M23" s="1301"/>
      <c r="N23" s="1301"/>
      <c r="O23" s="1301"/>
      <c r="P23" s="2510"/>
      <c r="Q23" s="2511" t="str">
        <f t="shared" si="243"/>
        <v/>
      </c>
      <c r="R23" s="2512" t="str">
        <f>IF(H23="","",IF(C23="Efficiency",Q23/($O$6*VLOOKUP(0,'DCA Underwriting Assumptions'!$J$118:$K$123,2,FALSE)),Q23/($O$6*VLOOKUP(C23,'DCA Underwriting Assumptions'!$J$118:$K$123,2,FALSE))))</f>
        <v/>
      </c>
      <c r="S23" s="2513"/>
      <c r="T23" s="2512"/>
      <c r="U23" s="2514"/>
      <c r="V23" s="244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5" t="s">
        <v>1859</v>
      </c>
      <c r="C24" s="2506"/>
      <c r="D24" s="2507"/>
      <c r="E24" s="2508"/>
      <c r="F24" s="2508"/>
      <c r="G24" s="2508"/>
      <c r="H24" s="2508"/>
      <c r="I24" s="2508"/>
      <c r="J24" s="2509"/>
      <c r="K24" s="825">
        <f t="shared" si="1"/>
        <v>0</v>
      </c>
      <c r="L24" s="825">
        <f t="shared" si="2"/>
        <v>0</v>
      </c>
      <c r="M24" s="1301"/>
      <c r="N24" s="1301"/>
      <c r="O24" s="1301"/>
      <c r="P24" s="2510"/>
      <c r="Q24" s="2511" t="str">
        <f t="shared" si="243"/>
        <v/>
      </c>
      <c r="R24" s="2512" t="str">
        <f>IF(H24="","",IF(C24="Efficiency",Q24/($O$6*VLOOKUP(0,'DCA Underwriting Assumptions'!$J$118:$K$123,2,FALSE)),Q24/($O$6*VLOOKUP(C24,'DCA Underwriting Assumptions'!$J$118:$K$123,2,FALSE))))</f>
        <v/>
      </c>
      <c r="S24" s="2513"/>
      <c r="T24" s="2512"/>
      <c r="U24" s="2514"/>
      <c r="V24" s="244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5" t="s">
        <v>1859</v>
      </c>
      <c r="C25" s="2506"/>
      <c r="D25" s="2507"/>
      <c r="E25" s="2508"/>
      <c r="F25" s="2508"/>
      <c r="G25" s="2508"/>
      <c r="H25" s="2508"/>
      <c r="I25" s="2508"/>
      <c r="J25" s="2509"/>
      <c r="K25" s="825">
        <f t="shared" si="1"/>
        <v>0</v>
      </c>
      <c r="L25" s="825">
        <f t="shared" si="2"/>
        <v>0</v>
      </c>
      <c r="M25" s="1301"/>
      <c r="N25" s="1301"/>
      <c r="O25" s="1301"/>
      <c r="P25" s="2510"/>
      <c r="Q25" s="2511" t="str">
        <f t="shared" si="243"/>
        <v/>
      </c>
      <c r="R25" s="2512" t="str">
        <f>IF(H25="","",IF(C25="Efficiency",Q25/($O$6*VLOOKUP(0,'DCA Underwriting Assumptions'!$J$118:$K$123,2,FALSE)),Q25/($O$6*VLOOKUP(C25,'DCA Underwriting Assumptions'!$J$118:$K$123,2,FALSE))))</f>
        <v/>
      </c>
      <c r="S25" s="2513"/>
      <c r="T25" s="2512"/>
      <c r="U25" s="2514"/>
      <c r="V25" s="244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5" t="s">
        <v>1859</v>
      </c>
      <c r="C26" s="2506"/>
      <c r="D26" s="2507"/>
      <c r="E26" s="2508"/>
      <c r="F26" s="2508"/>
      <c r="G26" s="2508"/>
      <c r="H26" s="2508"/>
      <c r="I26" s="2508"/>
      <c r="J26" s="2509"/>
      <c r="K26" s="825">
        <f t="shared" si="1"/>
        <v>0</v>
      </c>
      <c r="L26" s="825">
        <f t="shared" si="2"/>
        <v>0</v>
      </c>
      <c r="M26" s="1301"/>
      <c r="N26" s="1301"/>
      <c r="O26" s="1301"/>
      <c r="P26" s="2510"/>
      <c r="Q26" s="2511" t="str">
        <f t="shared" si="243"/>
        <v/>
      </c>
      <c r="R26" s="2512" t="str">
        <f>IF(H26="","",IF(C26="Efficiency",Q26/($O$6*VLOOKUP(0,'DCA Underwriting Assumptions'!$J$118:$K$123,2,FALSE)),Q26/($O$6*VLOOKUP(C26,'DCA Underwriting Assumptions'!$J$118:$K$123,2,FALSE))))</f>
        <v/>
      </c>
      <c r="S26" s="2513"/>
      <c r="T26" s="2512"/>
      <c r="U26" s="2514"/>
      <c r="V26" s="244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5" t="s">
        <v>1859</v>
      </c>
      <c r="C27" s="2506"/>
      <c r="D27" s="2507"/>
      <c r="E27" s="2508"/>
      <c r="F27" s="2508"/>
      <c r="G27" s="2508"/>
      <c r="H27" s="2508"/>
      <c r="I27" s="2508"/>
      <c r="J27" s="2509"/>
      <c r="K27" s="825">
        <f t="shared" si="1"/>
        <v>0</v>
      </c>
      <c r="L27" s="825">
        <f t="shared" si="2"/>
        <v>0</v>
      </c>
      <c r="M27" s="1301"/>
      <c r="N27" s="1301"/>
      <c r="O27" s="1301"/>
      <c r="P27" s="2510"/>
      <c r="Q27" s="2511" t="str">
        <f t="shared" si="243"/>
        <v/>
      </c>
      <c r="R27" s="2512" t="str">
        <f>IF(H27="","",IF(C27="Efficiency",Q27/($O$6*VLOOKUP(0,'DCA Underwriting Assumptions'!$J$118:$K$123,2,FALSE)),Q27/($O$6*VLOOKUP(C27,'DCA Underwriting Assumptions'!$J$118:$K$123,2,FALSE))))</f>
        <v/>
      </c>
      <c r="S27" s="2513"/>
      <c r="T27" s="2512"/>
      <c r="U27" s="2514"/>
      <c r="V27" s="244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5" t="s">
        <v>1859</v>
      </c>
      <c r="C28" s="2506"/>
      <c r="D28" s="2507"/>
      <c r="E28" s="2508"/>
      <c r="F28" s="2508"/>
      <c r="G28" s="2508"/>
      <c r="H28" s="2508"/>
      <c r="I28" s="2508"/>
      <c r="J28" s="2509"/>
      <c r="K28" s="825">
        <f t="shared" si="1"/>
        <v>0</v>
      </c>
      <c r="L28" s="825">
        <f t="shared" si="2"/>
        <v>0</v>
      </c>
      <c r="M28" s="1301"/>
      <c r="N28" s="1301"/>
      <c r="O28" s="1301"/>
      <c r="P28" s="2510"/>
      <c r="Q28" s="2511" t="str">
        <f t="shared" si="243"/>
        <v/>
      </c>
      <c r="R28" s="2512" t="str">
        <f>IF(H28="","",IF(C28="Efficiency",Q28/($O$6*VLOOKUP(0,'DCA Underwriting Assumptions'!$J$118:$K$123,2,FALSE)),Q28/($O$6*VLOOKUP(C28,'DCA Underwriting Assumptions'!$J$118:$K$123,2,FALSE))))</f>
        <v/>
      </c>
      <c r="S28" s="2513"/>
      <c r="T28" s="2512"/>
      <c r="U28" s="2514"/>
      <c r="V28" s="244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5" t="s">
        <v>1859</v>
      </c>
      <c r="C29" s="2506"/>
      <c r="D29" s="2507"/>
      <c r="E29" s="2508"/>
      <c r="F29" s="2508"/>
      <c r="G29" s="2508"/>
      <c r="H29" s="2508"/>
      <c r="I29" s="2508"/>
      <c r="J29" s="2509"/>
      <c r="K29" s="825">
        <f t="shared" si="1"/>
        <v>0</v>
      </c>
      <c r="L29" s="825">
        <f t="shared" si="2"/>
        <v>0</v>
      </c>
      <c r="M29" s="1301"/>
      <c r="N29" s="1301"/>
      <c r="O29" s="1301"/>
      <c r="P29" s="2510"/>
      <c r="Q29" s="2511" t="str">
        <f t="shared" si="243"/>
        <v/>
      </c>
      <c r="R29" s="2512" t="str">
        <f>IF(H29="","",IF(C29="Efficiency",Q29/($O$6*VLOOKUP(0,'DCA Underwriting Assumptions'!$J$118:$K$123,2,FALSE)),Q29/($O$6*VLOOKUP(C29,'DCA Underwriting Assumptions'!$J$118:$K$123,2,FALSE))))</f>
        <v/>
      </c>
      <c r="S29" s="2513"/>
      <c r="T29" s="2512"/>
      <c r="U29" s="2514"/>
      <c r="V29" s="244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5" t="s">
        <v>1859</v>
      </c>
      <c r="C30" s="2506"/>
      <c r="D30" s="2507"/>
      <c r="E30" s="2508"/>
      <c r="F30" s="2508"/>
      <c r="G30" s="2508"/>
      <c r="H30" s="2508"/>
      <c r="I30" s="2508"/>
      <c r="J30" s="2509"/>
      <c r="K30" s="825">
        <f t="shared" si="1"/>
        <v>0</v>
      </c>
      <c r="L30" s="825">
        <f t="shared" si="2"/>
        <v>0</v>
      </c>
      <c r="M30" s="1301"/>
      <c r="N30" s="1301"/>
      <c r="O30" s="1301"/>
      <c r="P30" s="2510"/>
      <c r="Q30" s="2511" t="str">
        <f t="shared" si="243"/>
        <v/>
      </c>
      <c r="R30" s="2512" t="str">
        <f>IF(H30="","",IF(C30="Efficiency",Q30/($O$6*VLOOKUP(0,'DCA Underwriting Assumptions'!$J$118:$K$123,2,FALSE)),Q30/($O$6*VLOOKUP(C30,'DCA Underwriting Assumptions'!$J$118:$K$123,2,FALSE))))</f>
        <v/>
      </c>
      <c r="S30" s="2513"/>
      <c r="T30" s="2512"/>
      <c r="U30" s="2514"/>
      <c r="V30" s="244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5" t="s">
        <v>1859</v>
      </c>
      <c r="C31" s="2506"/>
      <c r="D31" s="2507"/>
      <c r="E31" s="2508"/>
      <c r="F31" s="2508"/>
      <c r="G31" s="2508"/>
      <c r="H31" s="2508"/>
      <c r="I31" s="2508"/>
      <c r="J31" s="2509"/>
      <c r="K31" s="825">
        <f t="shared" si="1"/>
        <v>0</v>
      </c>
      <c r="L31" s="825">
        <f t="shared" si="2"/>
        <v>0</v>
      </c>
      <c r="M31" s="1301"/>
      <c r="N31" s="1301"/>
      <c r="O31" s="1301"/>
      <c r="P31" s="2510"/>
      <c r="Q31" s="2511" t="str">
        <f t="shared" si="243"/>
        <v/>
      </c>
      <c r="R31" s="2512" t="str">
        <f>IF(H31="","",IF(C31="Efficiency",Q31/($O$6*VLOOKUP(0,'DCA Underwriting Assumptions'!$J$118:$K$123,2,FALSE)),Q31/($O$6*VLOOKUP(C31,'DCA Underwriting Assumptions'!$J$118:$K$123,2,FALSE))))</f>
        <v/>
      </c>
      <c r="S31" s="2513"/>
      <c r="T31" s="2512"/>
      <c r="U31" s="2514"/>
      <c r="V31" s="244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5" t="s">
        <v>1859</v>
      </c>
      <c r="C32" s="2506"/>
      <c r="D32" s="2507"/>
      <c r="E32" s="2508"/>
      <c r="F32" s="2508"/>
      <c r="G32" s="2508"/>
      <c r="H32" s="2508"/>
      <c r="I32" s="2508"/>
      <c r="J32" s="2509"/>
      <c r="K32" s="825">
        <f t="shared" si="1"/>
        <v>0</v>
      </c>
      <c r="L32" s="825">
        <f t="shared" si="2"/>
        <v>0</v>
      </c>
      <c r="M32" s="1301"/>
      <c r="N32" s="1301"/>
      <c r="O32" s="1301"/>
      <c r="P32" s="2510"/>
      <c r="Q32" s="2511" t="str">
        <f t="shared" si="243"/>
        <v/>
      </c>
      <c r="R32" s="2512" t="str">
        <f>IF(H32="","",IF(C32="Efficiency",Q32/($O$6*VLOOKUP(0,'DCA Underwriting Assumptions'!$J$118:$K$123,2,FALSE)),Q32/($O$6*VLOOKUP(C32,'DCA Underwriting Assumptions'!$J$118:$K$123,2,FALSE))))</f>
        <v/>
      </c>
      <c r="S32" s="2513"/>
      <c r="T32" s="2512"/>
      <c r="U32" s="2514"/>
      <c r="V32" s="244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5" t="s">
        <v>1859</v>
      </c>
      <c r="C33" s="2506"/>
      <c r="D33" s="2507"/>
      <c r="E33" s="2508"/>
      <c r="F33" s="2508"/>
      <c r="G33" s="2508"/>
      <c r="H33" s="2508"/>
      <c r="I33" s="2508"/>
      <c r="J33" s="2509"/>
      <c r="K33" s="825">
        <f t="shared" si="1"/>
        <v>0</v>
      </c>
      <c r="L33" s="825">
        <f t="shared" si="2"/>
        <v>0</v>
      </c>
      <c r="M33" s="1301"/>
      <c r="N33" s="1301"/>
      <c r="O33" s="1301"/>
      <c r="P33" s="2510"/>
      <c r="Q33" s="2511" t="str">
        <f t="shared" si="243"/>
        <v/>
      </c>
      <c r="R33" s="2512" t="str">
        <f>IF(H33="","",IF(C33="Efficiency",Q33/($O$6*VLOOKUP(0,'DCA Underwriting Assumptions'!$J$118:$K$123,2,FALSE)),Q33/($O$6*VLOOKUP(C33,'DCA Underwriting Assumptions'!$J$118:$K$123,2,FALSE))))</f>
        <v/>
      </c>
      <c r="S33" s="2513"/>
      <c r="T33" s="2512"/>
      <c r="U33" s="2514"/>
      <c r="V33" s="244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5" t="s">
        <v>1859</v>
      </c>
      <c r="C34" s="2506"/>
      <c r="D34" s="2507"/>
      <c r="E34" s="2508"/>
      <c r="F34" s="2508"/>
      <c r="G34" s="2508"/>
      <c r="H34" s="2508"/>
      <c r="I34" s="2508"/>
      <c r="J34" s="2509"/>
      <c r="K34" s="825">
        <f t="shared" si="1"/>
        <v>0</v>
      </c>
      <c r="L34" s="825">
        <f t="shared" si="2"/>
        <v>0</v>
      </c>
      <c r="M34" s="1301"/>
      <c r="N34" s="1301"/>
      <c r="O34" s="1301"/>
      <c r="P34" s="2510"/>
      <c r="Q34" s="2511" t="str">
        <f t="shared" si="243"/>
        <v/>
      </c>
      <c r="R34" s="2512" t="str">
        <f>IF(H34="","",IF(C34="Efficiency",Q34/($O$6*VLOOKUP(0,'DCA Underwriting Assumptions'!$J$118:$K$123,2,FALSE)),Q34/($O$6*VLOOKUP(C34,'DCA Underwriting Assumptions'!$J$118:$K$123,2,FALSE))))</f>
        <v/>
      </c>
      <c r="S34" s="2513"/>
      <c r="T34" s="2512"/>
      <c r="U34" s="2514"/>
      <c r="V34" s="244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5" t="s">
        <v>1859</v>
      </c>
      <c r="C35" s="2506"/>
      <c r="D35" s="2507"/>
      <c r="E35" s="2508"/>
      <c r="F35" s="2508"/>
      <c r="G35" s="2508"/>
      <c r="H35" s="2508"/>
      <c r="I35" s="2508"/>
      <c r="J35" s="2509"/>
      <c r="K35" s="825">
        <f t="shared" si="1"/>
        <v>0</v>
      </c>
      <c r="L35" s="825">
        <f t="shared" si="2"/>
        <v>0</v>
      </c>
      <c r="M35" s="1301"/>
      <c r="N35" s="1301"/>
      <c r="O35" s="1301"/>
      <c r="P35" s="2510"/>
      <c r="Q35" s="2511" t="str">
        <f t="shared" si="243"/>
        <v/>
      </c>
      <c r="R35" s="2512" t="str">
        <f>IF(H35="","",IF(C35="Efficiency",Q35/($O$6*VLOOKUP(0,'DCA Underwriting Assumptions'!$J$118:$K$123,2,FALSE)),Q35/($O$6*VLOOKUP(C35,'DCA Underwriting Assumptions'!$J$118:$K$123,2,FALSE))))</f>
        <v/>
      </c>
      <c r="S35" s="2513"/>
      <c r="T35" s="2512"/>
      <c r="U35" s="2514"/>
      <c r="V35" s="244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5" t="s">
        <v>1859</v>
      </c>
      <c r="C36" s="2506"/>
      <c r="D36" s="2507"/>
      <c r="E36" s="2508"/>
      <c r="F36" s="2508"/>
      <c r="G36" s="2508"/>
      <c r="H36" s="2508"/>
      <c r="I36" s="2508"/>
      <c r="J36" s="2509"/>
      <c r="K36" s="825">
        <f t="shared" si="1"/>
        <v>0</v>
      </c>
      <c r="L36" s="825">
        <f t="shared" si="2"/>
        <v>0</v>
      </c>
      <c r="M36" s="1301"/>
      <c r="N36" s="1301"/>
      <c r="O36" s="1301"/>
      <c r="P36" s="2510"/>
      <c r="Q36" s="2511" t="str">
        <f t="shared" si="243"/>
        <v/>
      </c>
      <c r="R36" s="2512" t="str">
        <f>IF(H36="","",IF(C36="Efficiency",Q36/($O$6*VLOOKUP(0,'DCA Underwriting Assumptions'!$J$118:$K$123,2,FALSE)),Q36/($O$6*VLOOKUP(C36,'DCA Underwriting Assumptions'!$J$118:$K$123,2,FALSE))))</f>
        <v/>
      </c>
      <c r="S36" s="2513"/>
      <c r="T36" s="2512"/>
      <c r="U36" s="2514"/>
      <c r="V36" s="244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5" t="s">
        <v>1859</v>
      </c>
      <c r="C37" s="2506"/>
      <c r="D37" s="2507"/>
      <c r="E37" s="2508"/>
      <c r="F37" s="2508"/>
      <c r="G37" s="2508"/>
      <c r="H37" s="2508"/>
      <c r="I37" s="2508"/>
      <c r="J37" s="2509"/>
      <c r="K37" s="825">
        <f t="shared" si="1"/>
        <v>0</v>
      </c>
      <c r="L37" s="825">
        <f t="shared" si="2"/>
        <v>0</v>
      </c>
      <c r="M37" s="1301"/>
      <c r="N37" s="1301"/>
      <c r="O37" s="1301"/>
      <c r="P37" s="2510"/>
      <c r="Q37" s="2511" t="str">
        <f t="shared" si="243"/>
        <v/>
      </c>
      <c r="R37" s="2512" t="str">
        <f>IF(H37="","",IF(C37="Efficiency",Q37/($O$6*VLOOKUP(0,'DCA Underwriting Assumptions'!$J$118:$K$123,2,FALSE)),Q37/($O$6*VLOOKUP(C37,'DCA Underwriting Assumptions'!$J$118:$K$123,2,FALSE))))</f>
        <v/>
      </c>
      <c r="S37" s="2513"/>
      <c r="T37" s="2512"/>
      <c r="U37" s="2514"/>
      <c r="V37" s="244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5" t="s">
        <v>1859</v>
      </c>
      <c r="C38" s="2506"/>
      <c r="D38" s="2507"/>
      <c r="E38" s="2508"/>
      <c r="F38" s="2508"/>
      <c r="G38" s="2508"/>
      <c r="H38" s="2508"/>
      <c r="I38" s="2508"/>
      <c r="J38" s="2509"/>
      <c r="K38" s="825">
        <f t="shared" si="1"/>
        <v>0</v>
      </c>
      <c r="L38" s="825">
        <f t="shared" si="2"/>
        <v>0</v>
      </c>
      <c r="M38" s="1301"/>
      <c r="N38" s="1301"/>
      <c r="O38" s="1301"/>
      <c r="P38" s="2510"/>
      <c r="Q38" s="2511" t="str">
        <f t="shared" si="243"/>
        <v/>
      </c>
      <c r="R38" s="2512" t="str">
        <f>IF(H38="","",IF(C38="Efficiency",Q38/($O$6*VLOOKUP(0,'DCA Underwriting Assumptions'!$J$118:$K$123,2,FALSE)),Q38/($O$6*VLOOKUP(C38,'DCA Underwriting Assumptions'!$J$118:$K$123,2,FALSE))))</f>
        <v/>
      </c>
      <c r="S38" s="2513"/>
      <c r="T38" s="2512"/>
      <c r="U38" s="2514"/>
      <c r="V38" s="244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5" t="s">
        <v>1859</v>
      </c>
      <c r="C39" s="2506"/>
      <c r="D39" s="2507"/>
      <c r="E39" s="2508"/>
      <c r="F39" s="2508"/>
      <c r="G39" s="2508"/>
      <c r="H39" s="2508"/>
      <c r="I39" s="2508"/>
      <c r="J39" s="2509"/>
      <c r="K39" s="825">
        <f t="shared" si="1"/>
        <v>0</v>
      </c>
      <c r="L39" s="825">
        <f t="shared" si="2"/>
        <v>0</v>
      </c>
      <c r="M39" s="1301"/>
      <c r="N39" s="1301"/>
      <c r="O39" s="1301"/>
      <c r="P39" s="2510"/>
      <c r="Q39" s="2511" t="str">
        <f t="shared" si="243"/>
        <v/>
      </c>
      <c r="R39" s="2512" t="str">
        <f>IF(H39="","",IF(C39="Efficiency",Q39/($O$6*VLOOKUP(0,'DCA Underwriting Assumptions'!$J$118:$K$123,2,FALSE)),Q39/($O$6*VLOOKUP(C39,'DCA Underwriting Assumptions'!$J$118:$K$123,2,FALSE))))</f>
        <v/>
      </c>
      <c r="S39" s="2513"/>
      <c r="T39" s="2512"/>
      <c r="U39" s="2514"/>
      <c r="V39" s="244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5" t="s">
        <v>1859</v>
      </c>
      <c r="C40" s="2506"/>
      <c r="D40" s="2507"/>
      <c r="E40" s="2508"/>
      <c r="F40" s="2508"/>
      <c r="G40" s="2508"/>
      <c r="H40" s="2508"/>
      <c r="I40" s="2508"/>
      <c r="J40" s="2509"/>
      <c r="K40" s="825">
        <f t="shared" si="1"/>
        <v>0</v>
      </c>
      <c r="L40" s="825">
        <f t="shared" si="2"/>
        <v>0</v>
      </c>
      <c r="M40" s="1301"/>
      <c r="N40" s="1301"/>
      <c r="O40" s="1301"/>
      <c r="P40" s="2510"/>
      <c r="Q40" s="2511" t="str">
        <f t="shared" si="243"/>
        <v/>
      </c>
      <c r="R40" s="2512" t="str">
        <f>IF(H40="","",IF(C40="Efficiency",Q40/($O$6*VLOOKUP(0,'DCA Underwriting Assumptions'!$J$118:$K$123,2,FALSE)),Q40/($O$6*VLOOKUP(C40,'DCA Underwriting Assumptions'!$J$118:$K$123,2,FALSE))))</f>
        <v/>
      </c>
      <c r="S40" s="2513"/>
      <c r="T40" s="2512"/>
      <c r="U40" s="2514"/>
      <c r="V40" s="244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5" t="s">
        <v>1859</v>
      </c>
      <c r="C41" s="2506"/>
      <c r="D41" s="2507"/>
      <c r="E41" s="2508"/>
      <c r="F41" s="2508"/>
      <c r="G41" s="2508"/>
      <c r="H41" s="2508"/>
      <c r="I41" s="2508"/>
      <c r="J41" s="2509"/>
      <c r="K41" s="825">
        <f t="shared" si="1"/>
        <v>0</v>
      </c>
      <c r="L41" s="825">
        <f t="shared" si="2"/>
        <v>0</v>
      </c>
      <c r="M41" s="1301"/>
      <c r="N41" s="1301"/>
      <c r="O41" s="1301"/>
      <c r="P41" s="2510"/>
      <c r="Q41" s="2511" t="str">
        <f t="shared" si="243"/>
        <v/>
      </c>
      <c r="R41" s="2512" t="str">
        <f>IF(H41="","",IF(C41="Efficiency",Q41/($O$6*VLOOKUP(0,'DCA Underwriting Assumptions'!$J$118:$K$123,2,FALSE)),Q41/($O$6*VLOOKUP(C41,'DCA Underwriting Assumptions'!$J$118:$K$123,2,FALSE))))</f>
        <v/>
      </c>
      <c r="S41" s="2513"/>
      <c r="T41" s="2512"/>
      <c r="U41" s="2514"/>
      <c r="V41" s="244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5" t="s">
        <v>1859</v>
      </c>
      <c r="C42" s="2506"/>
      <c r="D42" s="2507"/>
      <c r="E42" s="2508"/>
      <c r="F42" s="2508"/>
      <c r="G42" s="2508"/>
      <c r="H42" s="2508"/>
      <c r="I42" s="2508"/>
      <c r="J42" s="2509"/>
      <c r="K42" s="825">
        <f t="shared" si="1"/>
        <v>0</v>
      </c>
      <c r="L42" s="825">
        <f t="shared" si="2"/>
        <v>0</v>
      </c>
      <c r="M42" s="1301"/>
      <c r="N42" s="1301"/>
      <c r="O42" s="1301"/>
      <c r="P42" s="2510"/>
      <c r="Q42" s="2511" t="str">
        <f t="shared" si="243"/>
        <v/>
      </c>
      <c r="R42" s="2512" t="str">
        <f>IF(H42="","",IF(C42="Efficiency",Q42/($O$6*VLOOKUP(0,'DCA Underwriting Assumptions'!$J$118:$K$123,2,FALSE)),Q42/($O$6*VLOOKUP(C42,'DCA Underwriting Assumptions'!$J$118:$K$123,2,FALSE))))</f>
        <v/>
      </c>
      <c r="S42" s="2513"/>
      <c r="T42" s="2512"/>
      <c r="U42" s="2514"/>
      <c r="V42" s="244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5" t="s">
        <v>1859</v>
      </c>
      <c r="C43" s="2506"/>
      <c r="D43" s="2507"/>
      <c r="E43" s="2508"/>
      <c r="F43" s="2508"/>
      <c r="G43" s="2508"/>
      <c r="H43" s="2508"/>
      <c r="I43" s="2508"/>
      <c r="J43" s="2509"/>
      <c r="K43" s="825">
        <f t="shared" si="1"/>
        <v>0</v>
      </c>
      <c r="L43" s="825">
        <f t="shared" si="2"/>
        <v>0</v>
      </c>
      <c r="M43" s="1301"/>
      <c r="N43" s="1301"/>
      <c r="O43" s="1301"/>
      <c r="P43" s="2510"/>
      <c r="Q43" s="2511" t="str">
        <f t="shared" si="243"/>
        <v/>
      </c>
      <c r="R43" s="2512" t="str">
        <f>IF(H43="","",IF(C43="Efficiency",Q43/($O$6*VLOOKUP(0,'DCA Underwriting Assumptions'!$J$118:$K$123,2,FALSE)),Q43/($O$6*VLOOKUP(C43,'DCA Underwriting Assumptions'!$J$118:$K$123,2,FALSE))))</f>
        <v/>
      </c>
      <c r="S43" s="2513"/>
      <c r="T43" s="2512"/>
      <c r="U43" s="2514"/>
      <c r="V43" s="244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5" t="s">
        <v>1859</v>
      </c>
      <c r="C44" s="2506"/>
      <c r="D44" s="2507"/>
      <c r="E44" s="2508"/>
      <c r="F44" s="2508"/>
      <c r="G44" s="2508"/>
      <c r="H44" s="2508"/>
      <c r="I44" s="2508"/>
      <c r="J44" s="2509"/>
      <c r="K44" s="825">
        <f t="shared" si="1"/>
        <v>0</v>
      </c>
      <c r="L44" s="825">
        <f t="shared" si="2"/>
        <v>0</v>
      </c>
      <c r="M44" s="1301"/>
      <c r="N44" s="1301"/>
      <c r="O44" s="1301"/>
      <c r="P44" s="2510"/>
      <c r="Q44" s="2511" t="str">
        <f t="shared" si="243"/>
        <v/>
      </c>
      <c r="R44" s="2512" t="str">
        <f>IF(H44="","",IF(C44="Efficiency",Q44/($O$6*VLOOKUP(0,'DCA Underwriting Assumptions'!$J$118:$K$123,2,FALSE)),Q44/($O$6*VLOOKUP(C44,'DCA Underwriting Assumptions'!$J$118:$K$123,2,FALSE))))</f>
        <v/>
      </c>
      <c r="S44" s="2513"/>
      <c r="T44" s="2512"/>
      <c r="U44" s="2514"/>
      <c r="V44" s="244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5" t="s">
        <v>1859</v>
      </c>
      <c r="C45" s="2506"/>
      <c r="D45" s="2507"/>
      <c r="E45" s="2508"/>
      <c r="F45" s="2508"/>
      <c r="G45" s="2508"/>
      <c r="H45" s="2508"/>
      <c r="I45" s="2508"/>
      <c r="J45" s="2509"/>
      <c r="K45" s="825">
        <f t="shared" si="1"/>
        <v>0</v>
      </c>
      <c r="L45" s="825">
        <f t="shared" si="2"/>
        <v>0</v>
      </c>
      <c r="M45" s="1301"/>
      <c r="N45" s="1301"/>
      <c r="O45" s="1301"/>
      <c r="P45" s="2510"/>
      <c r="Q45" s="2511" t="str">
        <f t="shared" si="243"/>
        <v/>
      </c>
      <c r="R45" s="2512" t="str">
        <f>IF(H45="","",IF(C45="Efficiency",Q45/($O$6*VLOOKUP(0,'DCA Underwriting Assumptions'!$J$118:$K$123,2,FALSE)),Q45/($O$6*VLOOKUP(C45,'DCA Underwriting Assumptions'!$J$118:$K$123,2,FALSE))))</f>
        <v/>
      </c>
      <c r="S45" s="2513"/>
      <c r="T45" s="2512"/>
      <c r="U45" s="2514"/>
      <c r="V45" s="244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5" t="s">
        <v>1859</v>
      </c>
      <c r="C46" s="2506"/>
      <c r="D46" s="2507"/>
      <c r="E46" s="2508"/>
      <c r="F46" s="2508"/>
      <c r="G46" s="2508"/>
      <c r="H46" s="2508"/>
      <c r="I46" s="2508"/>
      <c r="J46" s="2509"/>
      <c r="K46" s="825">
        <f t="shared" si="1"/>
        <v>0</v>
      </c>
      <c r="L46" s="825">
        <f t="shared" si="2"/>
        <v>0</v>
      </c>
      <c r="M46" s="1301"/>
      <c r="N46" s="1301"/>
      <c r="O46" s="1301"/>
      <c r="P46" s="2510"/>
      <c r="Q46" s="2511" t="str">
        <f t="shared" si="243"/>
        <v/>
      </c>
      <c r="R46" s="2512" t="str">
        <f>IF(H46="","",IF(C46="Efficiency",Q46/($O$6*VLOOKUP(0,'DCA Underwriting Assumptions'!$J$118:$K$123,2,FALSE)),Q46/($O$6*VLOOKUP(C46,'DCA Underwriting Assumptions'!$J$118:$K$123,2,FALSE))))</f>
        <v/>
      </c>
      <c r="S46" s="2513"/>
      <c r="T46" s="2512"/>
      <c r="U46" s="2514"/>
      <c r="V46" s="244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5" t="s">
        <v>1859</v>
      </c>
      <c r="C47" s="2516"/>
      <c r="D47" s="2517"/>
      <c r="E47" s="2518"/>
      <c r="F47" s="2518"/>
      <c r="G47" s="2518"/>
      <c r="H47" s="2518"/>
      <c r="I47" s="2518"/>
      <c r="J47" s="2519"/>
      <c r="K47" s="826">
        <f t="shared" si="1"/>
        <v>0</v>
      </c>
      <c r="L47" s="826">
        <f t="shared" si="2"/>
        <v>0</v>
      </c>
      <c r="M47" s="1302"/>
      <c r="N47" s="1302"/>
      <c r="O47" s="1302"/>
      <c r="P47" s="2520"/>
      <c r="Q47" s="2521" t="str">
        <f t="shared" si="243"/>
        <v/>
      </c>
      <c r="R47" s="2522" t="str">
        <f>IF(H47="","",IF(C47="Efficiency",Q47/($O$6*VLOOKUP(0,'DCA Underwriting Assumptions'!$J$118:$K$123,2,FALSE)),Q47/($O$6*VLOOKUP(C47,'DCA Underwriting Assumptions'!$J$118:$K$123,2,FALSE))))</f>
        <v/>
      </c>
      <c r="S47" s="2523"/>
      <c r="T47" s="2522"/>
      <c r="U47" s="2446"/>
      <c r="V47" s="244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96</v>
      </c>
      <c r="F48" s="135">
        <f>(E10*F10+E11*F11+E12*F12+E13*F13+E14*F14+E15*F15+E16*F16+E17*F17+E18*F18+E19*F19+E20*F20+E21*F21+E22*F22+E23*F23+E24*F24+E25*F25+E26*F26+E27*F27+E28*F28+E29*F29+E30*F30+E31*F31+E32*F32+E33*F33+E34*F34+E35*F35+E36*F36+E37*F37+E38*F38+E39*F39+E40*F40+E41*F41+E42*F42+E43*F43+E44*F44+E45*F45+E46*F46+E47*F47)</f>
        <v>89158</v>
      </c>
      <c r="G48" s="748"/>
      <c r="H48" s="749"/>
      <c r="I48" s="749"/>
      <c r="J48" s="749"/>
      <c r="K48" s="197" t="s">
        <v>1367</v>
      </c>
      <c r="L48" s="133">
        <f>SUM(L10:L47)</f>
        <v>68082</v>
      </c>
      <c r="M48" s="100"/>
      <c r="N48" s="750"/>
      <c r="O48" s="100"/>
      <c r="P48" s="535"/>
      <c r="Q48" s="535"/>
      <c r="R48" s="535"/>
      <c r="S48" s="535"/>
      <c r="T48" s="535"/>
      <c r="U48" s="1274"/>
      <c r="V48" s="751"/>
      <c r="W48" s="518">
        <f t="shared" ref="W48:CH48" si="259">SUM(W10:W47)</f>
        <v>8</v>
      </c>
      <c r="X48" s="518">
        <f t="shared" si="259"/>
        <v>11</v>
      </c>
      <c r="Y48" s="518">
        <f t="shared" si="259"/>
        <v>27</v>
      </c>
      <c r="Z48" s="518">
        <f t="shared" si="259"/>
        <v>20</v>
      </c>
      <c r="AA48" s="518">
        <f t="shared" si="259"/>
        <v>9</v>
      </c>
      <c r="AB48" s="518">
        <f t="shared" si="259"/>
        <v>2</v>
      </c>
      <c r="AC48" s="518">
        <f t="shared" si="259"/>
        <v>3</v>
      </c>
      <c r="AD48" s="518">
        <f t="shared" si="259"/>
        <v>7</v>
      </c>
      <c r="AE48" s="518">
        <f t="shared" si="259"/>
        <v>6</v>
      </c>
      <c r="AF48" s="518">
        <f t="shared" si="259"/>
        <v>3</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2</v>
      </c>
      <c r="AW48" s="518">
        <f t="shared" si="259"/>
        <v>3</v>
      </c>
      <c r="AX48" s="518">
        <f t="shared" si="259"/>
        <v>7</v>
      </c>
      <c r="AY48" s="518">
        <f t="shared" si="259"/>
        <v>6</v>
      </c>
      <c r="AZ48" s="518">
        <f t="shared" si="259"/>
        <v>3</v>
      </c>
      <c r="BA48" s="518">
        <f t="shared" si="259"/>
        <v>8</v>
      </c>
      <c r="BB48" s="518">
        <f t="shared" si="259"/>
        <v>11</v>
      </c>
      <c r="BC48" s="518">
        <f t="shared" si="259"/>
        <v>27</v>
      </c>
      <c r="BD48" s="518">
        <f t="shared" si="259"/>
        <v>20</v>
      </c>
      <c r="BE48" s="518">
        <f t="shared" si="259"/>
        <v>9</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4048</v>
      </c>
      <c r="CA48" s="518">
        <f t="shared" si="259"/>
        <v>7260</v>
      </c>
      <c r="CB48" s="518">
        <f t="shared" si="259"/>
        <v>24678</v>
      </c>
      <c r="CC48" s="518">
        <f t="shared" si="259"/>
        <v>22140</v>
      </c>
      <c r="CD48" s="518">
        <f t="shared" si="259"/>
        <v>11250</v>
      </c>
      <c r="CE48" s="518">
        <f t="shared" si="259"/>
        <v>1012</v>
      </c>
      <c r="CF48" s="518">
        <f t="shared" si="259"/>
        <v>1980</v>
      </c>
      <c r="CG48" s="518">
        <f t="shared" si="259"/>
        <v>6398</v>
      </c>
      <c r="CH48" s="518">
        <f t="shared" si="259"/>
        <v>6642</v>
      </c>
      <c r="CI48" s="518">
        <f t="shared" ref="CI48:ET48" si="260">SUM(CI10:CI47)</f>
        <v>3750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5060</v>
      </c>
      <c r="CU48" s="518">
        <f t="shared" si="260"/>
        <v>9240</v>
      </c>
      <c r="CV48" s="518">
        <f t="shared" si="260"/>
        <v>31076</v>
      </c>
      <c r="CW48" s="518">
        <f t="shared" si="260"/>
        <v>28782</v>
      </c>
      <c r="CX48" s="518">
        <f t="shared" si="260"/>
        <v>15000</v>
      </c>
      <c r="CY48" s="518">
        <f t="shared" si="260"/>
        <v>0</v>
      </c>
      <c r="CZ48" s="518">
        <f t="shared" si="260"/>
        <v>0</v>
      </c>
      <c r="DA48" s="518">
        <f t="shared" si="260"/>
        <v>0</v>
      </c>
      <c r="DB48" s="518">
        <f t="shared" si="260"/>
        <v>0</v>
      </c>
      <c r="DC48" s="518">
        <f t="shared" si="260"/>
        <v>0</v>
      </c>
      <c r="DD48" s="518">
        <f t="shared" si="260"/>
        <v>0</v>
      </c>
      <c r="DE48" s="518">
        <f t="shared" si="260"/>
        <v>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10</v>
      </c>
      <c r="DT48" s="518">
        <f t="shared" si="260"/>
        <v>14</v>
      </c>
      <c r="DU48" s="518">
        <f t="shared" si="260"/>
        <v>34</v>
      </c>
      <c r="DV48" s="518">
        <f t="shared" si="260"/>
        <v>26</v>
      </c>
      <c r="DW48" s="518">
        <f t="shared" si="260"/>
        <v>12</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10</v>
      </c>
      <c r="EX48" s="518">
        <f t="shared" si="261"/>
        <v>14</v>
      </c>
      <c r="EY48" s="518">
        <f t="shared" si="261"/>
        <v>34</v>
      </c>
      <c r="EZ48" s="518">
        <f t="shared" si="261"/>
        <v>26</v>
      </c>
      <c r="FA48" s="518">
        <f t="shared" si="261"/>
        <v>12</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10</v>
      </c>
      <c r="HK48" s="518">
        <f t="shared" si="262"/>
        <v>14</v>
      </c>
      <c r="HL48" s="518">
        <f t="shared" si="262"/>
        <v>34</v>
      </c>
      <c r="HM48" s="518">
        <f t="shared" si="262"/>
        <v>26</v>
      </c>
      <c r="HN48" s="518">
        <f t="shared" si="262"/>
        <v>12</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10</v>
      </c>
      <c r="JD48" s="518">
        <f t="shared" si="262"/>
        <v>14</v>
      </c>
      <c r="JE48" s="518">
        <f t="shared" si="262"/>
        <v>34</v>
      </c>
      <c r="JF48" s="518">
        <f t="shared" si="262"/>
        <v>26</v>
      </c>
      <c r="JG48" s="518">
        <f t="shared" si="262"/>
        <v>12</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816984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2749</v>
      </c>
      <c r="B51" s="2524"/>
      <c r="C51" s="2524"/>
      <c r="D51" s="2524"/>
      <c r="E51" s="2524"/>
      <c r="F51" s="2524"/>
      <c r="G51" s="2524"/>
      <c r="H51" s="2524"/>
      <c r="I51" s="2524"/>
      <c r="J51" s="2524"/>
      <c r="K51" s="2524"/>
      <c r="L51" s="2524"/>
      <c r="M51" s="2524"/>
      <c r="N51" s="2524"/>
      <c r="O51" s="2524"/>
      <c r="P51" s="2524"/>
      <c r="Q51" s="252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4"/>
      <c r="B52" s="2524"/>
      <c r="C52" s="2524"/>
      <c r="D52" s="2524"/>
      <c r="E52" s="2524"/>
      <c r="F52" s="2524"/>
      <c r="G52" s="2524"/>
      <c r="H52" s="2524"/>
      <c r="I52" s="2524"/>
      <c r="J52" s="2524"/>
      <c r="K52" s="2524"/>
      <c r="L52" s="2524"/>
      <c r="M52" s="2524"/>
      <c r="N52" s="2524"/>
      <c r="O52" s="2524"/>
      <c r="P52" s="2524"/>
      <c r="Q52" s="252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1938</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8</v>
      </c>
      <c r="I56" s="827">
        <f>X48</f>
        <v>11</v>
      </c>
      <c r="J56" s="827">
        <f>Y48</f>
        <v>27</v>
      </c>
      <c r="K56" s="827">
        <f>Z48</f>
        <v>20</v>
      </c>
      <c r="L56" s="827">
        <f>AA48</f>
        <v>9</v>
      </c>
      <c r="M56" s="827">
        <f t="shared" ref="M56:M62" si="263">SUM(H56:L56)</f>
        <v>75</v>
      </c>
      <c r="N56" s="1567" t="s">
        <v>934</v>
      </c>
      <c r="O56" s="1568"/>
      <c r="P56" s="1239"/>
      <c r="Q56" s="1239"/>
      <c r="R56" s="456"/>
      <c r="S56" s="456"/>
      <c r="T56" s="456"/>
      <c r="U56" s="2438"/>
      <c r="V56" s="2439"/>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2</v>
      </c>
      <c r="I57" s="828">
        <f>AC48</f>
        <v>3</v>
      </c>
      <c r="J57" s="828">
        <f>AD48</f>
        <v>7</v>
      </c>
      <c r="K57" s="828">
        <f>AE48</f>
        <v>6</v>
      </c>
      <c r="L57" s="828">
        <f>AF48</f>
        <v>3</v>
      </c>
      <c r="M57" s="828">
        <f t="shared" si="263"/>
        <v>21</v>
      </c>
      <c r="N57" s="1567"/>
      <c r="O57" s="1568"/>
      <c r="P57" s="1239"/>
      <c r="Q57" s="1239"/>
      <c r="R57" s="456"/>
      <c r="S57" s="456"/>
      <c r="T57" s="456"/>
      <c r="U57" s="2440"/>
      <c r="V57" s="2441"/>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10</v>
      </c>
      <c r="I58" s="827">
        <f>SUM(I56:I57)</f>
        <v>14</v>
      </c>
      <c r="J58" s="827">
        <f>SUM(J56:J57)</f>
        <v>34</v>
      </c>
      <c r="K58" s="827">
        <f>SUM(K56:K57)</f>
        <v>26</v>
      </c>
      <c r="L58" s="827">
        <f>SUM(L56:L57)</f>
        <v>12</v>
      </c>
      <c r="M58" s="827">
        <f t="shared" si="263"/>
        <v>96</v>
      </c>
      <c r="N58" s="298"/>
      <c r="O58" s="86"/>
      <c r="R58" s="456"/>
      <c r="S58" s="456"/>
      <c r="T58" s="456"/>
      <c r="U58" s="2440"/>
      <c r="V58" s="2441"/>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0"/>
      <c r="V59" s="2441"/>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10</v>
      </c>
      <c r="I60" s="827">
        <f>SUM(I58:I59)</f>
        <v>14</v>
      </c>
      <c r="J60" s="827">
        <f>SUM(J58:J59)</f>
        <v>34</v>
      </c>
      <c r="K60" s="827">
        <f>SUM(K58:K59)</f>
        <v>26</v>
      </c>
      <c r="L60" s="827">
        <f>SUM(L58:L59)</f>
        <v>12</v>
      </c>
      <c r="M60" s="827">
        <f t="shared" si="263"/>
        <v>96</v>
      </c>
      <c r="N60" s="56"/>
      <c r="O60" s="86"/>
      <c r="R60" s="456"/>
      <c r="S60" s="456"/>
      <c r="T60" s="456"/>
      <c r="U60" s="2440"/>
      <c r="V60" s="2441"/>
      <c r="W60" s="521"/>
      <c r="X60" s="521"/>
      <c r="Y60" s="521"/>
      <c r="Z60" s="521"/>
      <c r="AA60" s="522"/>
      <c r="AB60" s="523"/>
      <c r="AC60" s="523"/>
      <c r="AD60" s="523"/>
      <c r="AE60" s="523"/>
      <c r="AF60" s="523"/>
      <c r="AG60" s="523"/>
      <c r="AH60" s="505"/>
      <c r="AI60" s="508"/>
      <c r="IL60" s="519"/>
      <c r="JA60" s="506"/>
    </row>
    <row r="61" spans="1:296" ht="12" customHeight="1">
      <c r="A61" s="1564"/>
      <c r="B61" s="1564"/>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0"/>
      <c r="V61" s="2441"/>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10</v>
      </c>
      <c r="I62" s="830">
        <f>SUM(I60:I61)</f>
        <v>14</v>
      </c>
      <c r="J62" s="830">
        <f>SUM(J60:J61)</f>
        <v>34</v>
      </c>
      <c r="K62" s="830">
        <f>SUM(K60:K61)</f>
        <v>26</v>
      </c>
      <c r="L62" s="830">
        <f>SUM(L60:L61)</f>
        <v>12</v>
      </c>
      <c r="M62" s="830">
        <f t="shared" si="263"/>
        <v>96</v>
      </c>
      <c r="O62" s="86"/>
      <c r="R62" s="456"/>
      <c r="S62" s="456"/>
      <c r="T62" s="456"/>
      <c r="U62" s="2443"/>
      <c r="V62" s="2444"/>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8</v>
      </c>
      <c r="I64" s="827">
        <f>BB48</f>
        <v>11</v>
      </c>
      <c r="J64" s="827">
        <f>BC48</f>
        <v>27</v>
      </c>
      <c r="K64" s="827">
        <f>BD48</f>
        <v>20</v>
      </c>
      <c r="L64" s="827">
        <f>BE48</f>
        <v>9</v>
      </c>
      <c r="M64" s="827">
        <f>SUM(H64:L64)</f>
        <v>75</v>
      </c>
      <c r="N64" s="53"/>
      <c r="O64" s="86"/>
      <c r="R64" s="456"/>
      <c r="S64" s="456"/>
      <c r="T64" s="456"/>
      <c r="U64" s="2438"/>
      <c r="V64" s="2439"/>
      <c r="W64" s="521"/>
      <c r="X64" s="521"/>
      <c r="Y64" s="525"/>
      <c r="Z64" s="521"/>
      <c r="AA64" s="522"/>
      <c r="AB64" s="523"/>
      <c r="AC64" s="523"/>
      <c r="AD64" s="523"/>
      <c r="AE64" s="523"/>
      <c r="AF64" s="523"/>
      <c r="AG64" s="523"/>
      <c r="AH64" s="522"/>
      <c r="AI64" s="508"/>
      <c r="IL64" s="519"/>
      <c r="JA64" s="506"/>
    </row>
    <row r="65" spans="1:261" ht="12" customHeight="1">
      <c r="A65" s="1564"/>
      <c r="B65" s="1564"/>
      <c r="C65" s="36" t="s">
        <v>2638</v>
      </c>
      <c r="D65" s="1"/>
      <c r="E65" s="116"/>
      <c r="F65" s="1"/>
      <c r="G65" s="36" t="s">
        <v>120</v>
      </c>
      <c r="H65" s="828">
        <f>AV48</f>
        <v>2</v>
      </c>
      <c r="I65" s="828">
        <f>AW48</f>
        <v>3</v>
      </c>
      <c r="J65" s="828">
        <f>AX48</f>
        <v>7</v>
      </c>
      <c r="K65" s="828">
        <f>AY48</f>
        <v>6</v>
      </c>
      <c r="L65" s="828">
        <f>AZ48</f>
        <v>3</v>
      </c>
      <c r="M65" s="832">
        <f>SUM(H65:L65)</f>
        <v>21</v>
      </c>
      <c r="N65" s="53"/>
      <c r="O65" s="86"/>
      <c r="R65" s="456"/>
      <c r="S65" s="456"/>
      <c r="T65" s="456"/>
      <c r="U65" s="2440"/>
      <c r="V65" s="2441"/>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10</v>
      </c>
      <c r="I66" s="830">
        <f>SUM(I64:I65)</f>
        <v>14</v>
      </c>
      <c r="J66" s="830">
        <f>SUM(J64:J65)</f>
        <v>34</v>
      </c>
      <c r="K66" s="830">
        <f>SUM(K64:K65)</f>
        <v>26</v>
      </c>
      <c r="L66" s="830">
        <f>SUM(L64:L65)</f>
        <v>12</v>
      </c>
      <c r="M66" s="830">
        <f>SUM(H66:L66)</f>
        <v>96</v>
      </c>
      <c r="N66" s="53"/>
      <c r="O66" s="86"/>
      <c r="R66" s="456"/>
      <c r="S66" s="456"/>
      <c r="T66" s="456"/>
      <c r="U66" s="2443"/>
      <c r="V66" s="2444"/>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8"/>
      <c r="V68" s="2439"/>
      <c r="W68" s="508"/>
      <c r="X68" s="521"/>
      <c r="Y68" s="525"/>
      <c r="Z68" s="521"/>
      <c r="AA68" s="522"/>
      <c r="AB68" s="523"/>
      <c r="AC68" s="523"/>
      <c r="AD68" s="523"/>
      <c r="AE68" s="523"/>
      <c r="AF68" s="523"/>
      <c r="AG68" s="523"/>
      <c r="AH68" s="522"/>
      <c r="AI68" s="508"/>
      <c r="IL68" s="519"/>
      <c r="JA68" s="506"/>
    </row>
    <row r="69" spans="1:261" ht="12" customHeight="1">
      <c r="A69" s="1564"/>
      <c r="B69" s="1564"/>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0"/>
      <c r="V69" s="2441"/>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3"/>
      <c r="V70" s="2444"/>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2404</v>
      </c>
      <c r="F72" s="1"/>
      <c r="G72" s="36" t="s">
        <v>1504</v>
      </c>
      <c r="H72" s="827">
        <f>DD48</f>
        <v>0</v>
      </c>
      <c r="I72" s="827">
        <f>DE48</f>
        <v>0</v>
      </c>
      <c r="J72" s="827">
        <f>DF48</f>
        <v>0</v>
      </c>
      <c r="K72" s="827">
        <f>DG48</f>
        <v>0</v>
      </c>
      <c r="L72" s="827">
        <f>DH48</f>
        <v>0</v>
      </c>
      <c r="M72" s="827">
        <f t="shared" ref="M72:M82" si="264">SUM(H72:L72)</f>
        <v>0</v>
      </c>
      <c r="N72" s="28"/>
      <c r="O72" s="86"/>
      <c r="R72" s="456"/>
      <c r="S72" s="456"/>
      <c r="T72" s="456"/>
      <c r="U72" s="2526"/>
      <c r="V72" s="2527"/>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28"/>
      <c r="V73" s="2529"/>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0</v>
      </c>
      <c r="J74" s="830">
        <f>SUM(J72:J73)+DP48</f>
        <v>0</v>
      </c>
      <c r="K74" s="830">
        <f>SUM(K72:K73)+DQ48</f>
        <v>0</v>
      </c>
      <c r="L74" s="830">
        <f>SUM(L72:L73)+DR48</f>
        <v>0</v>
      </c>
      <c r="M74" s="830">
        <f t="shared" si="264"/>
        <v>0</v>
      </c>
      <c r="N74" s="53"/>
      <c r="O74" s="86"/>
      <c r="R74" s="456"/>
      <c r="S74" s="456"/>
      <c r="T74" s="456"/>
      <c r="U74" s="2528"/>
      <c r="V74" s="2529"/>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2238</v>
      </c>
      <c r="F75" s="1"/>
      <c r="G75" s="36" t="s">
        <v>1504</v>
      </c>
      <c r="H75" s="827">
        <f>DS48</f>
        <v>10</v>
      </c>
      <c r="I75" s="827">
        <f>DT48</f>
        <v>14</v>
      </c>
      <c r="J75" s="827">
        <f>DU48</f>
        <v>34</v>
      </c>
      <c r="K75" s="827">
        <f>DV48</f>
        <v>26</v>
      </c>
      <c r="L75" s="827">
        <f>DW48</f>
        <v>12</v>
      </c>
      <c r="M75" s="827">
        <f t="shared" si="264"/>
        <v>96</v>
      </c>
      <c r="N75" s="28"/>
      <c r="O75" s="86"/>
      <c r="R75" s="456"/>
      <c r="S75" s="456"/>
      <c r="T75" s="456"/>
      <c r="U75" s="2528"/>
      <c r="V75" s="2529"/>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28"/>
      <c r="V76" s="252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10</v>
      </c>
      <c r="I77" s="830">
        <f>SUM(I75:I76)+ED48</f>
        <v>14</v>
      </c>
      <c r="J77" s="830">
        <f>SUM(J75:J76)+EE48</f>
        <v>34</v>
      </c>
      <c r="K77" s="830">
        <f>SUM(K75:K76)+EF48</f>
        <v>26</v>
      </c>
      <c r="L77" s="830">
        <f>SUM(L75:L76)+EG48</f>
        <v>12</v>
      </c>
      <c r="M77" s="830">
        <f t="shared" si="264"/>
        <v>96</v>
      </c>
      <c r="N77" s="53"/>
      <c r="O77" s="86"/>
      <c r="R77" s="456"/>
      <c r="S77" s="456"/>
      <c r="T77" s="456"/>
      <c r="U77" s="2528"/>
      <c r="V77" s="2529"/>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28"/>
      <c r="V78" s="2529"/>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28"/>
      <c r="V79" s="252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8"/>
      <c r="V80" s="2529"/>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0"/>
      <c r="I81" s="2530"/>
      <c r="J81" s="2530"/>
      <c r="K81" s="2530"/>
      <c r="L81" s="2530"/>
      <c r="M81" s="827">
        <f t="shared" si="264"/>
        <v>0</v>
      </c>
      <c r="N81" s="28"/>
      <c r="O81" s="86"/>
      <c r="U81" s="2528"/>
      <c r="V81" s="2529"/>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3942</v>
      </c>
      <c r="F82" s="1"/>
      <c r="G82" s="36"/>
      <c r="H82" s="2531"/>
      <c r="I82" s="2531"/>
      <c r="J82" s="2531"/>
      <c r="K82" s="2531"/>
      <c r="L82" s="2531"/>
      <c r="M82" s="829">
        <f t="shared" si="264"/>
        <v>0</v>
      </c>
      <c r="N82" s="56"/>
      <c r="O82" s="86"/>
      <c r="U82" s="2528"/>
      <c r="V82" s="2529"/>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28"/>
      <c r="V83" s="2529"/>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2"/>
      <c r="V84" s="253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4347</v>
      </c>
      <c r="D86" s="1548"/>
      <c r="E86" s="109" t="s">
        <v>41</v>
      </c>
      <c r="F86" s="1"/>
      <c r="G86" s="36"/>
      <c r="H86" s="846">
        <f t="shared" ref="H86:M86" si="265">SUM(H87:H94)</f>
        <v>10</v>
      </c>
      <c r="I86" s="846">
        <f t="shared" si="265"/>
        <v>14</v>
      </c>
      <c r="J86" s="846">
        <f t="shared" si="265"/>
        <v>34</v>
      </c>
      <c r="K86" s="846">
        <f t="shared" si="265"/>
        <v>26</v>
      </c>
      <c r="L86" s="846">
        <f t="shared" si="265"/>
        <v>12</v>
      </c>
      <c r="M86" s="846">
        <f t="shared" si="265"/>
        <v>96</v>
      </c>
      <c r="N86" s="28"/>
      <c r="O86" s="86"/>
      <c r="R86" s="456"/>
      <c r="S86" s="456"/>
      <c r="T86" s="456"/>
      <c r="U86" s="2526"/>
      <c r="V86" s="2527"/>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28"/>
      <c r="V87" s="2529"/>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3813</v>
      </c>
      <c r="H88" s="832">
        <f>GU48</f>
        <v>0</v>
      </c>
      <c r="I88" s="832">
        <f>GV48</f>
        <v>0</v>
      </c>
      <c r="J88" s="832">
        <f>GW48</f>
        <v>0</v>
      </c>
      <c r="K88" s="832">
        <f>GX48</f>
        <v>0</v>
      </c>
      <c r="L88" s="832">
        <f>GY48</f>
        <v>0</v>
      </c>
      <c r="M88" s="828">
        <f t="shared" si="266"/>
        <v>0</v>
      </c>
      <c r="N88" s="28"/>
      <c r="O88" s="86"/>
      <c r="R88" s="456"/>
      <c r="S88" s="456"/>
      <c r="T88" s="456"/>
      <c r="U88" s="2528"/>
      <c r="V88" s="2529"/>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2733</v>
      </c>
      <c r="H89" s="832">
        <f>GZ48</f>
        <v>0</v>
      </c>
      <c r="I89" s="832">
        <f>HA48</f>
        <v>0</v>
      </c>
      <c r="J89" s="832">
        <f>HB48</f>
        <v>0</v>
      </c>
      <c r="K89" s="832">
        <f>HC48</f>
        <v>0</v>
      </c>
      <c r="L89" s="832">
        <f>HD48</f>
        <v>0</v>
      </c>
      <c r="M89" s="828">
        <f t="shared" si="266"/>
        <v>0</v>
      </c>
      <c r="N89" s="28"/>
      <c r="O89" s="86"/>
      <c r="R89" s="456"/>
      <c r="S89" s="456"/>
      <c r="T89" s="456"/>
      <c r="U89" s="2528"/>
      <c r="V89" s="2529"/>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3813</v>
      </c>
      <c r="H90" s="832">
        <f>HE48</f>
        <v>0</v>
      </c>
      <c r="I90" s="832">
        <f>HF48</f>
        <v>0</v>
      </c>
      <c r="J90" s="832">
        <f>HG48</f>
        <v>0</v>
      </c>
      <c r="K90" s="832">
        <f>HH48</f>
        <v>0</v>
      </c>
      <c r="L90" s="832">
        <f>HI48</f>
        <v>0</v>
      </c>
      <c r="M90" s="828">
        <f t="shared" si="266"/>
        <v>0</v>
      </c>
      <c r="N90" s="28"/>
      <c r="O90" s="86"/>
      <c r="R90" s="456"/>
      <c r="S90" s="456"/>
      <c r="T90" s="456"/>
      <c r="U90" s="2528"/>
      <c r="V90" s="2529"/>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2735</v>
      </c>
      <c r="H91" s="832">
        <f>HJ48</f>
        <v>10</v>
      </c>
      <c r="I91" s="832">
        <f>HK48</f>
        <v>14</v>
      </c>
      <c r="J91" s="832">
        <f>HL48</f>
        <v>34</v>
      </c>
      <c r="K91" s="832">
        <f>HM48</f>
        <v>26</v>
      </c>
      <c r="L91" s="832">
        <f>HN48</f>
        <v>12</v>
      </c>
      <c r="M91" s="828">
        <f t="shared" si="266"/>
        <v>96</v>
      </c>
      <c r="N91" s="28"/>
      <c r="O91" s="86"/>
      <c r="R91" s="456"/>
      <c r="S91" s="456"/>
      <c r="T91" s="456"/>
      <c r="U91" s="2528"/>
      <c r="V91" s="2529"/>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3813</v>
      </c>
      <c r="H92" s="832">
        <f>HO48</f>
        <v>0</v>
      </c>
      <c r="I92" s="832">
        <f>HP48</f>
        <v>0</v>
      </c>
      <c r="J92" s="832">
        <f>HQ48</f>
        <v>0</v>
      </c>
      <c r="K92" s="832">
        <f>HR48</f>
        <v>0</v>
      </c>
      <c r="L92" s="832">
        <f>HS48</f>
        <v>0</v>
      </c>
      <c r="M92" s="828">
        <f t="shared" si="266"/>
        <v>0</v>
      </c>
      <c r="N92" s="28"/>
      <c r="O92" s="86"/>
      <c r="R92" s="456"/>
      <c r="S92" s="456"/>
      <c r="T92" s="456"/>
      <c r="U92" s="2528"/>
      <c r="V92" s="2529"/>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8"/>
      <c r="V93" s="2529"/>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28"/>
      <c r="V94" s="2529"/>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8"/>
      <c r="V95" s="2529"/>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28"/>
      <c r="V96" s="252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8"/>
      <c r="V97" s="2529"/>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28"/>
      <c r="V98" s="2529"/>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8"/>
      <c r="V99" s="252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28"/>
      <c r="V100" s="252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8"/>
      <c r="V101" s="2529"/>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32"/>
      <c r="V102" s="2533"/>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3941</v>
      </c>
      <c r="D104" s="1552"/>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26"/>
      <c r="V104" s="2527"/>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3813</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28"/>
      <c r="V105" s="2529"/>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28"/>
      <c r="V106" s="2529"/>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3813</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28"/>
      <c r="V107" s="2529"/>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3810</v>
      </c>
      <c r="F108" s="192"/>
      <c r="G108" s="192"/>
      <c r="H108" s="837">
        <f>H91</f>
        <v>10</v>
      </c>
      <c r="I108" s="837">
        <f t="shared" ref="I108:L109" si="270">I91</f>
        <v>14</v>
      </c>
      <c r="J108" s="837">
        <f t="shared" si="270"/>
        <v>34</v>
      </c>
      <c r="K108" s="837">
        <f t="shared" si="270"/>
        <v>26</v>
      </c>
      <c r="L108" s="837">
        <f t="shared" si="270"/>
        <v>12</v>
      </c>
      <c r="M108" s="837">
        <f t="shared" si="268"/>
        <v>96</v>
      </c>
      <c r="N108" s="1282"/>
      <c r="O108" s="735"/>
      <c r="R108" s="456"/>
      <c r="S108" s="456"/>
      <c r="T108" s="456"/>
      <c r="U108" s="2528"/>
      <c r="V108" s="2529"/>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3813</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28"/>
      <c r="V109" s="2529"/>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28"/>
      <c r="V110" s="2529"/>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32"/>
      <c r="V111" s="2533"/>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34"/>
      <c r="V112" s="2534"/>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4048</v>
      </c>
      <c r="I114" s="841">
        <f>CA48</f>
        <v>7260</v>
      </c>
      <c r="J114" s="841">
        <f>CB48</f>
        <v>24678</v>
      </c>
      <c r="K114" s="841">
        <f>CC48</f>
        <v>22140</v>
      </c>
      <c r="L114" s="841">
        <f>CD48</f>
        <v>11250</v>
      </c>
      <c r="M114" s="841">
        <f t="shared" ref="M114:M120" si="272">SUM(H114:L114)</f>
        <v>69376</v>
      </c>
      <c r="O114" s="86"/>
      <c r="R114" s="456"/>
      <c r="S114" s="456"/>
      <c r="T114" s="456"/>
      <c r="U114" s="2438"/>
      <c r="V114" s="243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1012</v>
      </c>
      <c r="I115" s="842">
        <f>CF48</f>
        <v>1980</v>
      </c>
      <c r="J115" s="842">
        <f>CG48</f>
        <v>6398</v>
      </c>
      <c r="K115" s="842">
        <f>CH48</f>
        <v>6642</v>
      </c>
      <c r="L115" s="842">
        <f>CI48</f>
        <v>3750</v>
      </c>
      <c r="M115" s="842">
        <f t="shared" si="272"/>
        <v>19782</v>
      </c>
      <c r="N115" s="5"/>
      <c r="O115" s="86"/>
      <c r="R115" s="456"/>
      <c r="S115" s="456"/>
      <c r="T115" s="456"/>
      <c r="U115" s="2440"/>
      <c r="V115" s="244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5060</v>
      </c>
      <c r="I116" s="841">
        <f>SUM(I114:I115)</f>
        <v>9240</v>
      </c>
      <c r="J116" s="841">
        <f>SUM(J114:J115)</f>
        <v>31076</v>
      </c>
      <c r="K116" s="841">
        <f>SUM(K114:K115)</f>
        <v>28782</v>
      </c>
      <c r="L116" s="841">
        <f>SUM(L114:L115)</f>
        <v>15000</v>
      </c>
      <c r="M116" s="841">
        <f t="shared" si="272"/>
        <v>89158</v>
      </c>
      <c r="N116" s="5"/>
      <c r="O116" s="86"/>
      <c r="R116" s="456"/>
      <c r="S116" s="456"/>
      <c r="T116" s="456"/>
      <c r="U116" s="2440"/>
      <c r="V116" s="244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0"/>
      <c r="V117" s="2441"/>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5060</v>
      </c>
      <c r="I118" s="841">
        <f>SUM(I116:I117)</f>
        <v>9240</v>
      </c>
      <c r="J118" s="841">
        <f>SUM(J116:J117)</f>
        <v>31076</v>
      </c>
      <c r="K118" s="841">
        <f>SUM(K116:K117)</f>
        <v>28782</v>
      </c>
      <c r="L118" s="841">
        <f>SUM(L116:L117)</f>
        <v>15000</v>
      </c>
      <c r="M118" s="841">
        <f t="shared" si="272"/>
        <v>89158</v>
      </c>
      <c r="O118" s="86"/>
      <c r="R118" s="456"/>
      <c r="S118" s="456"/>
      <c r="T118" s="456"/>
      <c r="U118" s="2440"/>
      <c r="V118" s="2441"/>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0"/>
      <c r="V119" s="2441"/>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5060</v>
      </c>
      <c r="I120" s="844">
        <f>SUM(I118:I119)</f>
        <v>9240</v>
      </c>
      <c r="J120" s="844">
        <f>SUM(J118:J119)</f>
        <v>31076</v>
      </c>
      <c r="K120" s="844">
        <f>SUM(K118:K119)</f>
        <v>28782</v>
      </c>
      <c r="L120" s="844">
        <f>SUM(L118:L119)</f>
        <v>15000</v>
      </c>
      <c r="M120" s="844">
        <f t="shared" si="272"/>
        <v>89158</v>
      </c>
      <c r="O120" s="86"/>
      <c r="R120" s="456"/>
      <c r="S120" s="456"/>
      <c r="T120" s="456"/>
      <c r="U120" s="2443"/>
      <c r="V120" s="244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5">
        <f>+L49*'Part VII-Pro Forma'!B9</f>
        <v>16339.68</v>
      </c>
      <c r="I124" s="2536"/>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7"/>
      <c r="H128" s="2537"/>
      <c r="I128" s="2537"/>
      <c r="J128" s="2537"/>
      <c r="K128" s="2538"/>
      <c r="L128" s="2537"/>
      <c r="M128" s="2537"/>
      <c r="N128" s="2537"/>
      <c r="O128" s="2537"/>
      <c r="P128" s="2537"/>
      <c r="Q128" s="2539"/>
      <c r="U128" s="2438"/>
      <c r="V128" s="2439"/>
    </row>
    <row r="129" spans="2:22" ht="11.25" customHeight="1">
      <c r="B129" s="1" t="s">
        <v>781</v>
      </c>
      <c r="C129" s="2540"/>
      <c r="D129" s="2541"/>
      <c r="E129" s="2541"/>
      <c r="F129" s="2542"/>
      <c r="G129" s="2543"/>
      <c r="H129" s="2543"/>
      <c r="I129" s="2543"/>
      <c r="J129" s="2543"/>
      <c r="K129" s="2544"/>
      <c r="L129" s="2543"/>
      <c r="M129" s="2543"/>
      <c r="N129" s="2543"/>
      <c r="O129" s="2543"/>
      <c r="P129" s="2543"/>
      <c r="Q129" s="2539"/>
      <c r="U129" s="2440"/>
      <c r="V129" s="244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3"/>
      <c r="V130" s="2444"/>
    </row>
    <row r="131" spans="2:22" ht="12" customHeight="1">
      <c r="B131" s="415" t="s">
        <v>674</v>
      </c>
      <c r="G131" s="34"/>
      <c r="P131" s="8"/>
      <c r="Q131" s="8"/>
      <c r="U131" s="100" t="str">
        <f>B131</f>
        <v>NOT Included in Mgt Fee:</v>
      </c>
    </row>
    <row r="132" spans="2:22" ht="11.25" customHeight="1">
      <c r="B132" s="1" t="s">
        <v>557</v>
      </c>
      <c r="C132" s="1"/>
      <c r="D132" s="1"/>
      <c r="E132" s="1"/>
      <c r="F132" s="1"/>
      <c r="G132" s="2537"/>
      <c r="H132" s="2537"/>
      <c r="I132" s="2537"/>
      <c r="J132" s="2537"/>
      <c r="K132" s="2538"/>
      <c r="L132" s="2537"/>
      <c r="M132" s="2537"/>
      <c r="N132" s="2537"/>
      <c r="O132" s="2537"/>
      <c r="P132" s="2537"/>
      <c r="Q132" s="2539"/>
      <c r="U132" s="2438"/>
      <c r="V132" s="2439"/>
    </row>
    <row r="133" spans="2:22" ht="11.25" customHeight="1">
      <c r="B133" s="1" t="s">
        <v>781</v>
      </c>
      <c r="C133" s="2540"/>
      <c r="D133" s="2541"/>
      <c r="E133" s="2541"/>
      <c r="F133" s="2542"/>
      <c r="G133" s="2543"/>
      <c r="H133" s="2543"/>
      <c r="I133" s="2543"/>
      <c r="J133" s="2543"/>
      <c r="K133" s="2544"/>
      <c r="L133" s="2543"/>
      <c r="M133" s="2543"/>
      <c r="N133" s="2543"/>
      <c r="O133" s="2543"/>
      <c r="P133" s="2543"/>
      <c r="Q133" s="2539"/>
      <c r="U133" s="2440"/>
      <c r="V133" s="244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3"/>
      <c r="V134" s="2444"/>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7"/>
      <c r="H137" s="2537"/>
      <c r="I137" s="2537"/>
      <c r="J137" s="2537"/>
      <c r="K137" s="2538"/>
      <c r="L137" s="2537"/>
      <c r="M137" s="2537"/>
      <c r="N137" s="2537"/>
      <c r="O137" s="2537"/>
      <c r="P137" s="2537"/>
      <c r="Q137" s="2539"/>
      <c r="U137" s="2438"/>
      <c r="V137" s="2439"/>
    </row>
    <row r="138" spans="2:22" ht="11.25" customHeight="1">
      <c r="B138" s="1" t="s">
        <v>781</v>
      </c>
      <c r="C138" s="2540"/>
      <c r="D138" s="2541"/>
      <c r="E138" s="2541"/>
      <c r="F138" s="2542"/>
      <c r="G138" s="2543"/>
      <c r="H138" s="2543"/>
      <c r="I138" s="2543"/>
      <c r="J138" s="2543"/>
      <c r="K138" s="2544"/>
      <c r="L138" s="2543"/>
      <c r="M138" s="2543"/>
      <c r="N138" s="2543"/>
      <c r="O138" s="2543"/>
      <c r="P138" s="2543"/>
      <c r="Q138" s="2539"/>
      <c r="U138" s="2440"/>
      <c r="V138" s="244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3"/>
      <c r="V139" s="2444"/>
    </row>
    <row r="140" spans="2:22" ht="12" customHeight="1">
      <c r="B140" s="415" t="s">
        <v>674</v>
      </c>
      <c r="G140" s="34"/>
      <c r="P140" s="8"/>
      <c r="Q140" s="8"/>
      <c r="U140" s="100" t="str">
        <f>B140</f>
        <v>NOT Included in Mgt Fee:</v>
      </c>
    </row>
    <row r="141" spans="2:22" ht="11.25" customHeight="1">
      <c r="B141" s="1" t="s">
        <v>557</v>
      </c>
      <c r="C141" s="1"/>
      <c r="D141" s="1"/>
      <c r="E141" s="1"/>
      <c r="F141" s="1"/>
      <c r="G141" s="2537"/>
      <c r="H141" s="2537"/>
      <c r="I141" s="2537"/>
      <c r="J141" s="2537"/>
      <c r="K141" s="2538"/>
      <c r="L141" s="2537"/>
      <c r="M141" s="2537"/>
      <c r="N141" s="2537"/>
      <c r="O141" s="2537"/>
      <c r="P141" s="2537"/>
      <c r="Q141" s="2539"/>
      <c r="U141" s="2438"/>
      <c r="V141" s="2439"/>
    </row>
    <row r="142" spans="2:22" ht="11.25" customHeight="1">
      <c r="B142" s="1" t="s">
        <v>781</v>
      </c>
      <c r="C142" s="2540"/>
      <c r="D142" s="2541"/>
      <c r="E142" s="2541"/>
      <c r="F142" s="2542"/>
      <c r="G142" s="2543"/>
      <c r="H142" s="2543"/>
      <c r="I142" s="2543"/>
      <c r="J142" s="2543"/>
      <c r="K142" s="2544"/>
      <c r="L142" s="2543"/>
      <c r="M142" s="2543"/>
      <c r="N142" s="2543"/>
      <c r="O142" s="2543"/>
      <c r="P142" s="2543"/>
      <c r="Q142" s="2539"/>
      <c r="U142" s="2440"/>
      <c r="V142" s="244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3"/>
      <c r="V143" s="2444"/>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7"/>
      <c r="H146" s="2537"/>
      <c r="I146" s="2537"/>
      <c r="J146" s="2537"/>
      <c r="K146" s="2538"/>
      <c r="L146" s="2537"/>
      <c r="M146" s="2537"/>
      <c r="N146" s="2537"/>
      <c r="O146" s="2537"/>
      <c r="P146" s="2537"/>
      <c r="Q146" s="2539"/>
      <c r="U146" s="2438"/>
      <c r="V146" s="2439"/>
    </row>
    <row r="147" spans="2:22" ht="11.25" customHeight="1">
      <c r="B147" s="1" t="s">
        <v>781</v>
      </c>
      <c r="C147" s="2540"/>
      <c r="D147" s="2541"/>
      <c r="E147" s="2541"/>
      <c r="F147" s="2542"/>
      <c r="G147" s="2543"/>
      <c r="H147" s="2543"/>
      <c r="I147" s="2543"/>
      <c r="J147" s="2543"/>
      <c r="K147" s="2544"/>
      <c r="L147" s="2543"/>
      <c r="M147" s="2543"/>
      <c r="N147" s="2543"/>
      <c r="O147" s="2543"/>
      <c r="P147" s="2543"/>
      <c r="Q147" s="2539"/>
      <c r="U147" s="2440"/>
      <c r="V147" s="244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3"/>
      <c r="V148" s="2444"/>
    </row>
    <row r="149" spans="2:22" ht="12" customHeight="1">
      <c r="B149" s="415" t="s">
        <v>674</v>
      </c>
      <c r="G149" s="34"/>
      <c r="P149" s="8"/>
      <c r="Q149" s="8"/>
      <c r="U149" s="100" t="str">
        <f>B149</f>
        <v>NOT Included in Mgt Fee:</v>
      </c>
    </row>
    <row r="150" spans="2:22" ht="11.25" customHeight="1">
      <c r="B150" s="1" t="s">
        <v>557</v>
      </c>
      <c r="C150" s="1"/>
      <c r="D150" s="1"/>
      <c r="E150" s="1"/>
      <c r="F150" s="1"/>
      <c r="G150" s="2537"/>
      <c r="H150" s="2537"/>
      <c r="I150" s="2537"/>
      <c r="J150" s="2537"/>
      <c r="K150" s="2538"/>
      <c r="L150" s="2537"/>
      <c r="M150" s="2537"/>
      <c r="N150" s="2537"/>
      <c r="O150" s="2537"/>
      <c r="P150" s="2537"/>
      <c r="Q150" s="2539"/>
      <c r="U150" s="2438"/>
      <c r="V150" s="2439"/>
    </row>
    <row r="151" spans="2:22" ht="11.25" customHeight="1">
      <c r="B151" s="1" t="s">
        <v>781</v>
      </c>
      <c r="C151" s="2540"/>
      <c r="D151" s="2541"/>
      <c r="E151" s="2541"/>
      <c r="F151" s="2542"/>
      <c r="G151" s="2543"/>
      <c r="H151" s="2543"/>
      <c r="I151" s="2543"/>
      <c r="J151" s="2543"/>
      <c r="K151" s="2544"/>
      <c r="L151" s="2543"/>
      <c r="M151" s="2543"/>
      <c r="N151" s="2543"/>
      <c r="O151" s="2543"/>
      <c r="P151" s="2543"/>
      <c r="Q151" s="2539"/>
      <c r="U151" s="2440"/>
      <c r="V151" s="244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3"/>
      <c r="V152" s="2444"/>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7"/>
      <c r="H155" s="2537"/>
      <c r="I155" s="2537"/>
      <c r="J155" s="2537"/>
      <c r="K155" s="2538"/>
      <c r="P155" s="8"/>
      <c r="Q155" s="8"/>
      <c r="U155" s="2438"/>
      <c r="V155" s="2439"/>
    </row>
    <row r="156" spans="2:22" ht="11.25" customHeight="1">
      <c r="B156" s="1" t="s">
        <v>781</v>
      </c>
      <c r="C156" s="2540"/>
      <c r="D156" s="2541"/>
      <c r="E156" s="2541"/>
      <c r="F156" s="2542"/>
      <c r="G156" s="2543"/>
      <c r="H156" s="2543"/>
      <c r="I156" s="2543"/>
      <c r="J156" s="2543"/>
      <c r="K156" s="2544"/>
      <c r="P156" s="8"/>
      <c r="Q156" s="8"/>
      <c r="U156" s="2440"/>
      <c r="V156" s="244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3"/>
      <c r="V157" s="2444"/>
    </row>
    <row r="158" spans="2:22" ht="12" customHeight="1">
      <c r="B158" s="415" t="s">
        <v>674</v>
      </c>
      <c r="G158" s="34"/>
      <c r="P158" s="8"/>
      <c r="Q158" s="8"/>
      <c r="U158" s="100" t="str">
        <f>B158</f>
        <v>NOT Included in Mgt Fee:</v>
      </c>
    </row>
    <row r="159" spans="2:22" ht="11.25" customHeight="1">
      <c r="B159" s="1" t="s">
        <v>557</v>
      </c>
      <c r="C159" s="1"/>
      <c r="D159" s="1"/>
      <c r="E159" s="1"/>
      <c r="F159" s="1"/>
      <c r="G159" s="2537"/>
      <c r="H159" s="2537"/>
      <c r="I159" s="2537"/>
      <c r="J159" s="2537"/>
      <c r="K159" s="2538"/>
      <c r="P159" s="8"/>
      <c r="Q159" s="8"/>
      <c r="U159" s="2438"/>
      <c r="V159" s="2439"/>
    </row>
    <row r="160" spans="2:22" ht="11.25" customHeight="1">
      <c r="B160" s="1" t="s">
        <v>781</v>
      </c>
      <c r="C160" s="2540"/>
      <c r="D160" s="2541"/>
      <c r="E160" s="2541"/>
      <c r="F160" s="2542"/>
      <c r="G160" s="2543"/>
      <c r="H160" s="2543"/>
      <c r="I160" s="2543"/>
      <c r="J160" s="2543"/>
      <c r="K160" s="2544"/>
      <c r="P160" s="8"/>
      <c r="Q160" s="8"/>
      <c r="U160" s="2440"/>
      <c r="V160" s="244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3"/>
      <c r="V161" s="2444"/>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1938</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8"/>
      <c r="V165" s="243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5">
        <v>48800</v>
      </c>
      <c r="G166" s="2546"/>
      <c r="H166" s="1"/>
      <c r="I166" s="1" t="s">
        <v>1444</v>
      </c>
      <c r="J166" s="1"/>
      <c r="K166" s="2545">
        <v>0</v>
      </c>
      <c r="L166" s="2546"/>
      <c r="M166" s="1"/>
      <c r="N166" s="1" t="s">
        <v>973</v>
      </c>
      <c r="O166" s="1"/>
      <c r="P166" s="2547">
        <v>50655</v>
      </c>
      <c r="Q166" s="2539"/>
      <c r="U166" s="2440"/>
      <c r="V166" s="244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5">
        <v>49968</v>
      </c>
      <c r="G167" s="2546"/>
      <c r="H167" s="1"/>
      <c r="I167" s="1" t="s">
        <v>1445</v>
      </c>
      <c r="J167" s="1"/>
      <c r="K167" s="2545"/>
      <c r="L167" s="2546"/>
      <c r="M167" s="1"/>
      <c r="N167" s="1" t="s">
        <v>152</v>
      </c>
      <c r="O167" s="1"/>
      <c r="P167" s="2547">
        <v>35729</v>
      </c>
      <c r="Q167" s="2539"/>
      <c r="U167" s="2440"/>
      <c r="V167" s="244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5">
        <v>0</v>
      </c>
      <c r="G168" s="2546"/>
      <c r="H168" s="1"/>
      <c r="I168" s="1"/>
      <c r="J168" s="132" t="s">
        <v>197</v>
      </c>
      <c r="K168" s="1562">
        <f>SUM(K166:L167)</f>
        <v>0</v>
      </c>
      <c r="L168" s="1563"/>
      <c r="M168" s="1"/>
      <c r="N168" s="2548" t="s">
        <v>53</v>
      </c>
      <c r="O168" s="2549"/>
      <c r="P168" s="2550"/>
      <c r="Q168" s="2539"/>
      <c r="U168" s="2440"/>
      <c r="V168" s="244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0"/>
      <c r="C169" s="2541"/>
      <c r="D169" s="2541"/>
      <c r="E169" s="2542"/>
      <c r="F169" s="2551">
        <v>0</v>
      </c>
      <c r="G169" s="2552"/>
      <c r="H169" s="1"/>
      <c r="I169" s="1"/>
      <c r="J169" s="1"/>
      <c r="K169" s="1"/>
      <c r="L169" s="1"/>
      <c r="M169" s="1"/>
      <c r="N169" s="12" t="s">
        <v>197</v>
      </c>
      <c r="O169" s="1"/>
      <c r="P169" s="453">
        <f>SUM(P166:P168)</f>
        <v>86384</v>
      </c>
      <c r="Q169" s="1349"/>
      <c r="U169" s="2440"/>
      <c r="V169" s="244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98768</v>
      </c>
      <c r="G170" s="1563"/>
      <c r="H170" s="1"/>
      <c r="I170" s="1"/>
      <c r="J170" s="13"/>
      <c r="K170" s="1"/>
      <c r="L170" s="1"/>
      <c r="M170" s="1"/>
      <c r="N170" s="1"/>
      <c r="O170" s="1"/>
      <c r="P170" s="1"/>
      <c r="Q170" s="1"/>
      <c r="U170" s="2440"/>
      <c r="V170" s="244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0"/>
      <c r="V171" s="244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62387</v>
      </c>
      <c r="Q172" s="1350"/>
      <c r="U172" s="2440"/>
      <c r="V172" s="244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5">
        <v>40909</v>
      </c>
      <c r="G173" s="2546"/>
      <c r="H173" s="1"/>
      <c r="I173" s="1" t="s">
        <v>1680</v>
      </c>
      <c r="J173" s="1"/>
      <c r="K173" s="2553">
        <v>960</v>
      </c>
      <c r="L173" s="2554"/>
      <c r="M173" s="1"/>
      <c r="N173" s="438">
        <f>+P172/(M62*0.93)</f>
        <v>698.77912186379922</v>
      </c>
      <c r="O173" s="70" t="s">
        <v>3020</v>
      </c>
      <c r="P173" s="1"/>
      <c r="Q173" s="1"/>
      <c r="U173" s="2440"/>
      <c r="V173" s="244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5">
        <v>2400</v>
      </c>
      <c r="G174" s="2546"/>
      <c r="H174" s="1"/>
      <c r="I174" s="1" t="s">
        <v>2150</v>
      </c>
      <c r="J174" s="1"/>
      <c r="K174" s="2555">
        <v>11040</v>
      </c>
      <c r="L174" s="2556"/>
      <c r="M174" s="1"/>
      <c r="N174" s="438">
        <f>+P172/(M62*0.93)/12</f>
        <v>58.231593488649935</v>
      </c>
      <c r="O174" s="70" t="s">
        <v>3021</v>
      </c>
      <c r="P174" s="1"/>
      <c r="Q174" s="1"/>
      <c r="U174" s="2440"/>
      <c r="V174" s="244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5">
        <v>500</v>
      </c>
      <c r="G175" s="2546"/>
      <c r="H175" s="1"/>
      <c r="I175" s="1" t="s">
        <v>1681</v>
      </c>
      <c r="J175" s="1"/>
      <c r="K175" s="2555"/>
      <c r="L175" s="2556"/>
      <c r="M175" s="1"/>
      <c r="N175" s="1556" t="s">
        <v>2583</v>
      </c>
      <c r="O175" s="1557"/>
      <c r="P175" s="1557"/>
      <c r="Q175" s="1241"/>
      <c r="U175" s="2440"/>
      <c r="V175" s="244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5"/>
      <c r="G176" s="2546"/>
      <c r="H176" s="1"/>
      <c r="I176" s="2548" t="s">
        <v>53</v>
      </c>
      <c r="J176" s="2549"/>
      <c r="K176" s="2553"/>
      <c r="L176" s="2554"/>
      <c r="M176" s="1"/>
      <c r="N176" s="1557"/>
      <c r="O176" s="1557"/>
      <c r="P176" s="1557"/>
      <c r="Q176" s="1241"/>
      <c r="U176" s="2440"/>
      <c r="V176" s="244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5">
        <v>2880</v>
      </c>
      <c r="G177" s="2546"/>
      <c r="H177" s="1"/>
      <c r="I177" s="10"/>
      <c r="J177" s="12" t="s">
        <v>197</v>
      </c>
      <c r="K177" s="1560">
        <f>SUM(K173:K176)</f>
        <v>12000</v>
      </c>
      <c r="L177" s="1561"/>
      <c r="M177" s="1"/>
      <c r="U177" s="2443"/>
      <c r="V177" s="244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0" t="s">
        <v>53</v>
      </c>
      <c r="C178" s="2541"/>
      <c r="D178" s="2541"/>
      <c r="E178" s="2542"/>
      <c r="F178" s="2551"/>
      <c r="G178" s="2552"/>
      <c r="H178" s="1"/>
      <c r="I178" s="1"/>
      <c r="J178" s="13"/>
      <c r="K178" s="1"/>
      <c r="L178" s="1"/>
      <c r="M178" s="1"/>
      <c r="N178" s="10" t="s">
        <v>2289</v>
      </c>
      <c r="O178" s="5"/>
      <c r="P178" s="451">
        <f>F170+F179+F190+K168+K177+K187+P169+P172</f>
        <v>571291</v>
      </c>
      <c r="Q178" s="1349"/>
      <c r="U178" s="2438"/>
      <c r="V178" s="243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46689</v>
      </c>
      <c r="G179" s="1563"/>
      <c r="H179" s="1"/>
      <c r="I179" s="1"/>
      <c r="J179" s="13"/>
      <c r="K179" s="1"/>
      <c r="L179" s="1"/>
      <c r="M179" s="1"/>
      <c r="N179" s="438">
        <f>+P178/M62</f>
        <v>5950.947916666667</v>
      </c>
      <c r="O179" s="70" t="s">
        <v>3022</v>
      </c>
      <c r="U179" s="2440"/>
      <c r="V179" s="244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0"/>
      <c r="V180" s="244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3019</v>
      </c>
      <c r="K181" s="1"/>
      <c r="L181" s="1"/>
      <c r="M181" s="1"/>
      <c r="N181" s="10" t="s">
        <v>4223</v>
      </c>
      <c r="O181" s="10"/>
      <c r="P181" s="452">
        <f>P182*M62</f>
        <v>50400</v>
      </c>
      <c r="Q181" s="1350"/>
      <c r="U181" s="2440"/>
      <c r="V181" s="244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7">
        <v>30000</v>
      </c>
      <c r="G182" s="2558"/>
      <c r="H182" s="1"/>
      <c r="I182" s="1" t="s">
        <v>1434</v>
      </c>
      <c r="J182" s="528">
        <f>K182/12/M62</f>
        <v>71.912326388888886</v>
      </c>
      <c r="K182" s="2555">
        <v>82843</v>
      </c>
      <c r="L182" s="2556"/>
      <c r="M182" s="1"/>
      <c r="N182" s="109" t="s">
        <v>4224</v>
      </c>
      <c r="O182" s="1"/>
      <c r="P182" s="2559">
        <v>525</v>
      </c>
      <c r="Q182" s="2560"/>
      <c r="U182" s="2440"/>
      <c r="V182" s="244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7">
        <v>6000</v>
      </c>
      <c r="G183" s="2558"/>
      <c r="H183" s="1"/>
      <c r="I183" s="1" t="s">
        <v>1435</v>
      </c>
      <c r="J183" s="528">
        <f>K183/12/M62</f>
        <v>30.569444444444443</v>
      </c>
      <c r="K183" s="2555">
        <v>35216</v>
      </c>
      <c r="L183" s="2556"/>
      <c r="M183" s="1"/>
      <c r="N183" s="893">
        <f>ROUND(P190/M62,0)</f>
        <v>350</v>
      </c>
      <c r="O183" s="70" t="s">
        <v>3022</v>
      </c>
      <c r="R183" s="892"/>
      <c r="U183" s="2440"/>
      <c r="V183" s="244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7">
        <v>10000</v>
      </c>
      <c r="G184" s="2558"/>
      <c r="H184" s="1"/>
      <c r="I184" s="1" t="s">
        <v>2463</v>
      </c>
      <c r="J184" s="528">
        <f>K184/12/M62</f>
        <v>58.973958333333336</v>
      </c>
      <c r="K184" s="2555">
        <v>67938</v>
      </c>
      <c r="L184" s="2556"/>
      <c r="M184" s="1"/>
      <c r="N184" s="901" t="s">
        <v>2886</v>
      </c>
      <c r="O184" s="902" t="s">
        <v>4014</v>
      </c>
      <c r="P184" s="903" t="s">
        <v>4015</v>
      </c>
      <c r="Q184" s="1210"/>
      <c r="U184" s="2440"/>
      <c r="V184" s="244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5">
        <v>1000</v>
      </c>
      <c r="G185" s="2546"/>
      <c r="H185" s="1"/>
      <c r="I185" s="1" t="s">
        <v>1437</v>
      </c>
      <c r="J185" s="1"/>
      <c r="K185" s="2555">
        <v>8266</v>
      </c>
      <c r="L185" s="2556"/>
      <c r="M185" s="1"/>
      <c r="N185" s="904" t="s">
        <v>41</v>
      </c>
      <c r="O185" s="905"/>
      <c r="P185" s="906"/>
      <c r="Q185" s="905"/>
      <c r="U185" s="2440"/>
      <c r="V185" s="244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5">
        <v>14200</v>
      </c>
      <c r="G186" s="2546"/>
      <c r="H186" s="1"/>
      <c r="I186" s="2548" t="s">
        <v>53</v>
      </c>
      <c r="J186" s="2549"/>
      <c r="K186" s="2553"/>
      <c r="L186" s="2554"/>
      <c r="M186" s="1"/>
      <c r="N186" s="575" t="s">
        <v>4006</v>
      </c>
      <c r="O186" s="1284" t="str">
        <f>CONCATENATE(SUM(JC48:JG48)," units x $",'DCA Underwriting Assumptions'!$Q$53," =")</f>
        <v>96 units x $350 =</v>
      </c>
      <c r="P186" s="907">
        <f>SUM(JC48:JG48)*'DCA Underwriting Assumptions'!$Q$53</f>
        <v>33600</v>
      </c>
      <c r="Q186" s="1284"/>
      <c r="U186" s="2440"/>
      <c r="V186" s="244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5"/>
      <c r="G187" s="2546"/>
      <c r="H187" s="1"/>
      <c r="I187" s="1"/>
      <c r="J187" s="12" t="s">
        <v>197</v>
      </c>
      <c r="K187" s="1560">
        <f>SUM(K182:K186)</f>
        <v>194263</v>
      </c>
      <c r="L187" s="1561"/>
      <c r="M187" s="1"/>
      <c r="N187" s="575" t="s">
        <v>4005</v>
      </c>
      <c r="O187" s="1284" t="str">
        <f>CONCATENATE(SUM(JH48:JL48)," units x $",'DCA Underwriting Assumptions'!$Q$54," =")</f>
        <v>0 units x $250 =</v>
      </c>
      <c r="P187" s="907">
        <f>SUM(JH48:JL48)*'DCA Underwriting Assumptions'!$Q$54</f>
        <v>0</v>
      </c>
      <c r="Q187" s="1284"/>
      <c r="U187" s="2440"/>
      <c r="V187" s="244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5">
        <v>9600</v>
      </c>
      <c r="G188" s="2546"/>
      <c r="H188" s="1"/>
      <c r="I188" s="1"/>
      <c r="J188" s="13"/>
      <c r="K188" s="1"/>
      <c r="L188" s="1"/>
      <c r="M188" s="1"/>
      <c r="N188" s="908" t="s">
        <v>4009</v>
      </c>
      <c r="O188" s="1284" t="str">
        <f>CONCATENATE(SUM(JM48:JQ48)," units x $",'DCA Underwriting Assumptions'!$Q$55," =")</f>
        <v>0 units x $420 =</v>
      </c>
      <c r="P188" s="907">
        <f>SUM(JM48:JQ48)*'DCA Underwriting Assumptions'!$Q$55</f>
        <v>0</v>
      </c>
      <c r="Q188" s="1284"/>
      <c r="U188" s="2440"/>
      <c r="V188" s="244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0" t="s">
        <v>53</v>
      </c>
      <c r="C189" s="2541"/>
      <c r="D189" s="2541"/>
      <c r="E189" s="2542"/>
      <c r="F189" s="2551"/>
      <c r="G189" s="2552"/>
      <c r="H189" s="1"/>
      <c r="I189" s="1"/>
      <c r="J189" s="13"/>
      <c r="K189" s="1"/>
      <c r="L189" s="1"/>
      <c r="M189" s="1"/>
      <c r="N189" s="908" t="s">
        <v>4004</v>
      </c>
      <c r="O189" s="1284" t="str">
        <f>CONCATENATE(M84," units x $",'DCA Underwriting Assumptions'!$Q$55," =")</f>
        <v>0 units x $420 =</v>
      </c>
      <c r="P189" s="907">
        <f>M84*'DCA Underwriting Assumptions'!$Q$55</f>
        <v>0</v>
      </c>
      <c r="Q189" s="1284"/>
      <c r="U189" s="2440"/>
      <c r="V189" s="244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70800</v>
      </c>
      <c r="G190" s="1559"/>
      <c r="H190" s="1"/>
      <c r="I190" s="1"/>
      <c r="J190" s="13"/>
      <c r="K190" s="1"/>
      <c r="L190" s="1"/>
      <c r="M190" s="1"/>
      <c r="N190" s="909" t="s">
        <v>2889</v>
      </c>
      <c r="O190" s="910">
        <f>SUM(JC48:JG48)+SUM(JH48:JL48)+SUM(JM48:JQ48)+M84</f>
        <v>96</v>
      </c>
      <c r="P190" s="911">
        <f>SUM(P186:P189)</f>
        <v>33600</v>
      </c>
      <c r="Q190" s="1284"/>
      <c r="U190" s="2443"/>
      <c r="V190" s="244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621691</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2" t="s">
        <v>4506</v>
      </c>
      <c r="B195" s="2283"/>
      <c r="C195" s="2283"/>
      <c r="D195" s="2283"/>
      <c r="E195" s="2283"/>
      <c r="F195" s="2283"/>
      <c r="G195" s="2283"/>
      <c r="H195" s="2283"/>
      <c r="I195" s="2283"/>
      <c r="J195" s="2284"/>
      <c r="K195" s="2285"/>
      <c r="L195" s="2286"/>
      <c r="M195" s="2286"/>
      <c r="N195" s="2286"/>
      <c r="O195" s="2286"/>
      <c r="P195" s="2287"/>
      <c r="Q195" s="2561"/>
      <c r="U195" s="1445" t="s">
        <v>2854</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ovZb+sXlsaP6FOyjB3ILXwOimoFjk680BnNwfyY7AF3BUNS+/VYeOqIharNlStXapBwxDLXUZbcHqaxzbbjheA==" saltValue="WF+ErDrYyrV28GW1EF12hg=="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2015-056 Lakeview Apartments, Fort Valley, Peach County</v>
      </c>
      <c r="B1" s="2562"/>
      <c r="C1" s="2562"/>
      <c r="D1" s="2562"/>
      <c r="E1" s="2562"/>
      <c r="F1" s="2562"/>
      <c r="G1" s="2562"/>
      <c r="H1" s="2562"/>
      <c r="I1" s="2562"/>
      <c r="J1" s="2562"/>
      <c r="K1" s="1865"/>
      <c r="L1" s="10"/>
      <c r="M1" s="1578" t="str">
        <f>A1</f>
        <v>PART SEVEN - OPERATING PRO FORMA  -  2015-056 Lakeview Apartments, Fort Valley, Peach County</v>
      </c>
      <c r="N1" s="1578"/>
      <c r="O1" s="10"/>
    </row>
    <row r="2" spans="1:15" ht="13.5" customHeight="1">
      <c r="A2" s="570"/>
      <c r="B2" s="1722" t="s">
        <v>4384</v>
      </c>
      <c r="C2" s="1723"/>
      <c r="D2" s="1724"/>
      <c r="E2" s="570"/>
      <c r="F2" s="570"/>
      <c r="G2" s="570"/>
      <c r="H2" s="570"/>
      <c r="I2" s="570"/>
      <c r="J2" s="570"/>
      <c r="K2" s="570"/>
      <c r="M2" s="1579" t="s">
        <v>1938</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4219</v>
      </c>
      <c r="E5" s="1581"/>
      <c r="F5" s="1581"/>
      <c r="G5" s="2563">
        <v>10000</v>
      </c>
      <c r="H5" s="102" t="s">
        <v>2004</v>
      </c>
      <c r="K5" s="107">
        <f>IF(($B$14+$B$15+$B$16+$B$17)=0,"",B28/($B$14+$B$15+$B$16+$B$17))</f>
        <v>-1.2903375279150846E-2</v>
      </c>
      <c r="M5" s="2438"/>
      <c r="N5" s="2439"/>
    </row>
    <row r="6" spans="1:15">
      <c r="A6" s="17" t="s">
        <v>2292</v>
      </c>
      <c r="B6" s="81">
        <v>0.03</v>
      </c>
      <c r="C6" s="17"/>
      <c r="D6" s="1581"/>
      <c r="E6" s="1581"/>
      <c r="F6" s="1581"/>
      <c r="G6" s="17"/>
      <c r="H6" s="17"/>
      <c r="I6" s="17"/>
      <c r="J6" s="17"/>
      <c r="K6" s="17"/>
      <c r="M6" s="2440"/>
      <c r="N6" s="2441"/>
    </row>
    <row r="7" spans="1:15">
      <c r="A7" s="17" t="s">
        <v>2294</v>
      </c>
      <c r="B7" s="81">
        <v>0.03</v>
      </c>
      <c r="C7" s="17"/>
      <c r="D7" s="83" t="s">
        <v>282</v>
      </c>
      <c r="G7" s="85"/>
      <c r="H7" s="102" t="s">
        <v>2488</v>
      </c>
      <c r="K7" s="107">
        <f>IF(($B$14+$B$15+$B$16+$B$17)=0,"",-B20/($B$14+$B$15+$B$16+$B$17))</f>
        <v>8.0500287354038386E-2</v>
      </c>
      <c r="M7" s="2440"/>
      <c r="N7" s="2441"/>
    </row>
    <row r="8" spans="1:15" ht="13.15" customHeight="1">
      <c r="A8" s="17" t="s">
        <v>2293</v>
      </c>
      <c r="B8" s="2564">
        <v>7.0000000000000007E-2</v>
      </c>
      <c r="C8" s="17"/>
      <c r="D8" s="82" t="s">
        <v>2632</v>
      </c>
      <c r="G8" s="2565" t="s">
        <v>3424</v>
      </c>
      <c r="H8" s="181" t="s">
        <v>1518</v>
      </c>
      <c r="K8" s="2566">
        <v>0</v>
      </c>
      <c r="M8" s="2440"/>
      <c r="N8" s="2441"/>
    </row>
    <row r="9" spans="1:15">
      <c r="A9" s="17" t="s">
        <v>1489</v>
      </c>
      <c r="B9" s="81">
        <v>0.02</v>
      </c>
      <c r="D9" s="82" t="s">
        <v>1805</v>
      </c>
      <c r="G9" s="2565" t="s">
        <v>3421</v>
      </c>
      <c r="H9" s="181" t="s">
        <v>2468</v>
      </c>
      <c r="K9" s="2567">
        <v>8.0500000000000002E-2</v>
      </c>
      <c r="M9" s="2443"/>
      <c r="N9" s="2444"/>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2752</v>
      </c>
      <c r="N13" s="1447"/>
    </row>
    <row r="14" spans="1:15" ht="13.15" customHeight="1">
      <c r="A14" s="19" t="s">
        <v>2522</v>
      </c>
      <c r="B14" s="20">
        <f>'Part VI-Revenues &amp; Expenses'!L49</f>
        <v>816984</v>
      </c>
      <c r="C14" s="20">
        <f t="shared" ref="C14:K14" si="1">$B$14*(1+$B$5)^(C13-1)</f>
        <v>833323.68</v>
      </c>
      <c r="D14" s="20">
        <f t="shared" si="1"/>
        <v>849990.15359999996</v>
      </c>
      <c r="E14" s="20">
        <f t="shared" si="1"/>
        <v>866989.956672</v>
      </c>
      <c r="F14" s="20">
        <f t="shared" si="1"/>
        <v>884329.75580544001</v>
      </c>
      <c r="G14" s="20">
        <f t="shared" si="1"/>
        <v>902016.35092154879</v>
      </c>
      <c r="H14" s="20">
        <f t="shared" si="1"/>
        <v>920056.67793997983</v>
      </c>
      <c r="I14" s="20">
        <f t="shared" si="1"/>
        <v>938457.81149877922</v>
      </c>
      <c r="J14" s="20">
        <f t="shared" si="1"/>
        <v>957226.96772875485</v>
      </c>
      <c r="K14" s="21">
        <f t="shared" si="1"/>
        <v>976371.50708332995</v>
      </c>
      <c r="M14" s="2438"/>
      <c r="N14" s="2439"/>
    </row>
    <row r="15" spans="1:15" ht="13.15" customHeight="1">
      <c r="A15" s="22" t="s">
        <v>1066</v>
      </c>
      <c r="B15" s="23">
        <f>MIN(B14*B9,'Part VI-Revenues &amp; Expenses'!H124)</f>
        <v>16339.68</v>
      </c>
      <c r="C15" s="23">
        <f t="shared" ref="C15:K15" si="2">$B$15*(1+$B$5)^(C13-1)</f>
        <v>16666.473600000001</v>
      </c>
      <c r="D15" s="23">
        <f t="shared" si="2"/>
        <v>16999.803071999999</v>
      </c>
      <c r="E15" s="23">
        <f t="shared" si="2"/>
        <v>17339.799133439999</v>
      </c>
      <c r="F15" s="23">
        <f t="shared" si="2"/>
        <v>17686.595116108801</v>
      </c>
      <c r="G15" s="23">
        <f t="shared" si="2"/>
        <v>18040.327018430977</v>
      </c>
      <c r="H15" s="23">
        <f t="shared" si="2"/>
        <v>18401.133558799596</v>
      </c>
      <c r="I15" s="23">
        <f t="shared" si="2"/>
        <v>18769.156229975586</v>
      </c>
      <c r="J15" s="23">
        <f t="shared" si="2"/>
        <v>19144.539354575099</v>
      </c>
      <c r="K15" s="24">
        <f t="shared" si="2"/>
        <v>19527.430141666599</v>
      </c>
      <c r="M15" s="2440"/>
      <c r="N15" s="2441"/>
    </row>
    <row r="16" spans="1:15" ht="13.15" customHeight="1">
      <c r="A16" s="22" t="s">
        <v>2523</v>
      </c>
      <c r="B16" s="23">
        <f t="shared" ref="B16:K16" si="3">-(B14+B15)*$B$8</f>
        <v>-58332.657600000006</v>
      </c>
      <c r="C16" s="23">
        <f t="shared" si="3"/>
        <v>-59499.310752000012</v>
      </c>
      <c r="D16" s="23">
        <f t="shared" si="3"/>
        <v>-60689.296967040005</v>
      </c>
      <c r="E16" s="23">
        <f t="shared" si="3"/>
        <v>-61903.082906380805</v>
      </c>
      <c r="F16" s="23">
        <f t="shared" si="3"/>
        <v>-63141.144564508424</v>
      </c>
      <c r="G16" s="23">
        <f t="shared" si="3"/>
        <v>-64403.967455798585</v>
      </c>
      <c r="H16" s="23">
        <f t="shared" si="3"/>
        <v>-65692.046804914571</v>
      </c>
      <c r="I16" s="23">
        <f t="shared" si="3"/>
        <v>-67005.887741012848</v>
      </c>
      <c r="J16" s="23">
        <f t="shared" si="3"/>
        <v>-68346.005495833102</v>
      </c>
      <c r="K16" s="24">
        <f t="shared" si="3"/>
        <v>-69712.925605749755</v>
      </c>
      <c r="M16" s="2440"/>
      <c r="N16" s="244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0"/>
      <c r="N17" s="244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0"/>
      <c r="N18" s="2441"/>
    </row>
    <row r="19" spans="1:14" ht="13.15" customHeight="1">
      <c r="A19" s="22" t="s">
        <v>645</v>
      </c>
      <c r="B19" s="23">
        <f>-('Part VI-Revenues &amp; Expenses'!P178-'Part VI-Revenues &amp; Expenses'!P172)</f>
        <v>-508904</v>
      </c>
      <c r="C19" s="23">
        <f t="shared" ref="C19:K19" si="4">$B$19*(1+$B$6)^(C13-1)</f>
        <v>-524171.12</v>
      </c>
      <c r="D19" s="23">
        <f t="shared" si="4"/>
        <v>-539896.25359999994</v>
      </c>
      <c r="E19" s="23">
        <f t="shared" si="4"/>
        <v>-556093.14120800002</v>
      </c>
      <c r="F19" s="23">
        <f t="shared" si="4"/>
        <v>-572775.93544423999</v>
      </c>
      <c r="G19" s="23">
        <f t="shared" si="4"/>
        <v>-589959.21350756707</v>
      </c>
      <c r="H19" s="23">
        <f t="shared" si="4"/>
        <v>-607657.9899127942</v>
      </c>
      <c r="I19" s="23">
        <f t="shared" si="4"/>
        <v>-625887.72961017804</v>
      </c>
      <c r="J19" s="23">
        <f t="shared" si="4"/>
        <v>-644664.36149848334</v>
      </c>
      <c r="K19" s="24">
        <f t="shared" si="4"/>
        <v>-664004.29234343779</v>
      </c>
      <c r="M19" s="2440"/>
      <c r="N19" s="244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-62387</v>
      </c>
      <c r="C20" s="23">
        <f>IF(AND('Part VII-Pro Forma'!$G$8="Yes",'Part VII-Pro Forma'!$G$9="Yes"),"Choose One!",IF('Part VII-Pro Forma'!$G$8="Yes",ROUND((-$K$8*(1+'Part VII-Pro Forma'!$B$6)^('Part VII-Pro Forma'!C13-1)),),IF('Part VII-Pro Forma'!$G$9="Yes",ROUND((-(SUM(C14:C17)*'Part VII-Pro Forma'!$K$9)),),"Choose mgt fee")))</f>
        <v>-63635</v>
      </c>
      <c r="D20" s="23">
        <f>IF(AND('Part VII-Pro Forma'!$G$8="Yes",'Part VII-Pro Forma'!$G$9="Yes"),"Choose One!",IF('Part VII-Pro Forma'!$G$8="Yes",ROUND((-$K$8*(1+'Part VII-Pro Forma'!$B$6)^('Part VII-Pro Forma'!D13-1)),),IF('Part VII-Pro Forma'!$G$9="Yes",ROUND((-(SUM(D14:D17)*'Part VII-Pro Forma'!$K$9)),),"Choose mgt fee")))</f>
        <v>-64907</v>
      </c>
      <c r="E20" s="23">
        <f>IF(AND('Part VII-Pro Forma'!$G$8="Yes",'Part VII-Pro Forma'!$G$9="Yes"),"Choose One!",IF('Part VII-Pro Forma'!$G$8="Yes",ROUND((-$K$8*(1+'Part VII-Pro Forma'!$B$6)^('Part VII-Pro Forma'!E13-1)),),IF('Part VII-Pro Forma'!$G$9="Yes",ROUND((-(SUM(E14:E17)*'Part VII-Pro Forma'!$K$9)),),"Choose mgt fee")))</f>
        <v>-66205</v>
      </c>
      <c r="F20" s="23">
        <f>IF(AND('Part VII-Pro Forma'!$G$8="Yes",'Part VII-Pro Forma'!$G$9="Yes"),"Choose One!",IF('Part VII-Pro Forma'!$G$8="Yes",ROUND((-$K$8*(1+'Part VII-Pro Forma'!$B$6)^('Part VII-Pro Forma'!F13-1)),),IF('Part VII-Pro Forma'!$G$9="Yes",ROUND((-(SUM(F14:F17)*'Part VII-Pro Forma'!$K$9)),),"Choose mgt fee")))</f>
        <v>-67529</v>
      </c>
      <c r="G20" s="23">
        <f>IF(AND('Part VII-Pro Forma'!$G$8="Yes",'Part VII-Pro Forma'!$G$9="Yes"),"Choose One!",IF('Part VII-Pro Forma'!$G$8="Yes",ROUND((-$K$8*(1+'Part VII-Pro Forma'!$B$6)^('Part VII-Pro Forma'!G13-1)),),IF('Part VII-Pro Forma'!$G$9="Yes",ROUND((-(SUM(G14:G17)*'Part VII-Pro Forma'!$K$9)),),"Choose mgt fee")))</f>
        <v>-68880</v>
      </c>
      <c r="H20" s="23">
        <f>IF(AND('Part VII-Pro Forma'!$G$8="Yes",'Part VII-Pro Forma'!$G$9="Yes"),"Choose One!",IF('Part VII-Pro Forma'!$G$8="Yes",ROUND((-$K$8*(1+'Part VII-Pro Forma'!$B$6)^('Part VII-Pro Forma'!H13-1)),),IF('Part VII-Pro Forma'!$G$9="Yes",ROUND((-(SUM(H14:H17)*'Part VII-Pro Forma'!$K$9)),),"Choose mgt fee")))</f>
        <v>-70258</v>
      </c>
      <c r="I20" s="23">
        <f>IF(AND('Part VII-Pro Forma'!$G$8="Yes",'Part VII-Pro Forma'!$G$9="Yes"),"Choose One!",IF('Part VII-Pro Forma'!$G$8="Yes",ROUND((-$K$8*(1+'Part VII-Pro Forma'!$B$6)^('Part VII-Pro Forma'!I13-1)),),IF('Part VII-Pro Forma'!$G$9="Yes",ROUND((-(SUM(I14:I17)*'Part VII-Pro Forma'!$K$9)),),"Choose mgt fee")))</f>
        <v>-71663</v>
      </c>
      <c r="J20" s="23">
        <f>IF(AND('Part VII-Pro Forma'!$G$8="Yes",'Part VII-Pro Forma'!$G$9="Yes"),"Choose One!",IF('Part VII-Pro Forma'!$G$8="Yes",ROUND((-$K$8*(1+'Part VII-Pro Forma'!$B$6)^('Part VII-Pro Forma'!J13-1)),),IF('Part VII-Pro Forma'!$G$9="Yes",ROUND((-(SUM(J14:J17)*'Part VII-Pro Forma'!$K$9)),),"Choose mgt fee")))</f>
        <v>-73096</v>
      </c>
      <c r="K20" s="23">
        <f>IF(AND('Part VII-Pro Forma'!$G$8="Yes",'Part VII-Pro Forma'!$G$9="Yes"),"Choose One!",IF('Part VII-Pro Forma'!$G$8="Yes",ROUND((-$K$8*(1+'Part VII-Pro Forma'!$B$6)^('Part VII-Pro Forma'!K13-1)),),IF('Part VII-Pro Forma'!$G$9="Yes",ROUND((-(SUM(K14:K17)*'Part VII-Pro Forma'!$K$9)),),"Choose mgt fee")))</f>
        <v>-74558</v>
      </c>
      <c r="M20" s="2440"/>
      <c r="N20" s="2441"/>
    </row>
    <row r="21" spans="1:14" ht="13.15" customHeight="1">
      <c r="A21" s="22" t="s">
        <v>1260</v>
      </c>
      <c r="B21" s="23">
        <f>-('Part VI-Revenues &amp; Expenses'!P181)</f>
        <v>-50400</v>
      </c>
      <c r="C21" s="23">
        <f t="shared" ref="C21:K21" si="5">$B$21*(1+$B$7)^(C13-1)</f>
        <v>-51912</v>
      </c>
      <c r="D21" s="23">
        <f t="shared" si="5"/>
        <v>-53469.36</v>
      </c>
      <c r="E21" s="23">
        <f t="shared" si="5"/>
        <v>-55073.440799999997</v>
      </c>
      <c r="F21" s="23">
        <f t="shared" si="5"/>
        <v>-56725.644023999994</v>
      </c>
      <c r="G21" s="23">
        <f t="shared" si="5"/>
        <v>-58427.413344719993</v>
      </c>
      <c r="H21" s="23">
        <f t="shared" si="5"/>
        <v>-60180.235745061596</v>
      </c>
      <c r="I21" s="23">
        <f t="shared" si="5"/>
        <v>-61985.642817413449</v>
      </c>
      <c r="J21" s="23">
        <f t="shared" si="5"/>
        <v>-63845.212101935846</v>
      </c>
      <c r="K21" s="24">
        <f t="shared" si="5"/>
        <v>-65760.568464993921</v>
      </c>
      <c r="M21" s="2440"/>
      <c r="N21" s="2441"/>
    </row>
    <row r="22" spans="1:14" ht="13.15" customHeight="1">
      <c r="A22" s="22" t="s">
        <v>1261</v>
      </c>
      <c r="B22" s="23">
        <f t="shared" ref="B22:K22" si="6">SUM(B14:B21)</f>
        <v>153300.02240000002</v>
      </c>
      <c r="C22" s="23">
        <f t="shared" si="6"/>
        <v>150772.72284800012</v>
      </c>
      <c r="D22" s="23">
        <f t="shared" si="6"/>
        <v>148028.04610496003</v>
      </c>
      <c r="E22" s="23">
        <f t="shared" si="6"/>
        <v>145055.09089105926</v>
      </c>
      <c r="F22" s="23">
        <f t="shared" si="6"/>
        <v>141844.62688880035</v>
      </c>
      <c r="G22" s="23">
        <f t="shared" si="6"/>
        <v>138386.083631894</v>
      </c>
      <c r="H22" s="23">
        <f t="shared" si="6"/>
        <v>134669.53903600905</v>
      </c>
      <c r="I22" s="23">
        <f t="shared" si="6"/>
        <v>130684.70756015052</v>
      </c>
      <c r="J22" s="23">
        <f t="shared" si="6"/>
        <v>126419.92798707765</v>
      </c>
      <c r="K22" s="24">
        <f t="shared" si="6"/>
        <v>121863.15081081509</v>
      </c>
      <c r="M22" s="2440"/>
      <c r="N22" s="2441"/>
    </row>
    <row r="23" spans="1:14" ht="13.15" customHeight="1">
      <c r="A23" s="471" t="s">
        <v>1668</v>
      </c>
      <c r="B23" s="2568">
        <f>IF('Part III-Sources of Funds'!$N$36="", 0,-'Part III-Sources of Funds'!$N$36)</f>
        <v>0</v>
      </c>
      <c r="C23" s="2568">
        <f>IF('Part III-Sources of Funds'!$N$36="", 0,-'Part III-Sources of Funds'!$N$36)</f>
        <v>0</v>
      </c>
      <c r="D23" s="2568">
        <f>IF('Part III-Sources of Funds'!$N$36="", 0,-'Part III-Sources of Funds'!$N$36)</f>
        <v>0</v>
      </c>
      <c r="E23" s="2568">
        <f>IF('Part III-Sources of Funds'!$N$36="", 0,-'Part III-Sources of Funds'!$N$36)</f>
        <v>0</v>
      </c>
      <c r="F23" s="2568">
        <f>IF('Part III-Sources of Funds'!$N$36="", 0,-'Part III-Sources of Funds'!$N$36)</f>
        <v>0</v>
      </c>
      <c r="G23" s="2568">
        <f>IF('Part III-Sources of Funds'!$N$36="", 0,-'Part III-Sources of Funds'!$N$36)</f>
        <v>0</v>
      </c>
      <c r="H23" s="2568">
        <f>IF('Part III-Sources of Funds'!$N$36="", 0,-'Part III-Sources of Funds'!$N$36)</f>
        <v>0</v>
      </c>
      <c r="I23" s="2568">
        <f>IF('Part III-Sources of Funds'!$N$36="", 0,-'Part III-Sources of Funds'!$N$36)</f>
        <v>0</v>
      </c>
      <c r="J23" s="2568">
        <f>IF('Part III-Sources of Funds'!$N$36="", 0,-'Part III-Sources of Funds'!$N$36)</f>
        <v>0</v>
      </c>
      <c r="K23" s="2568">
        <f>IF('Part III-Sources of Funds'!$N$36="", 0,-'Part III-Sources of Funds'!$N$36)</f>
        <v>0</v>
      </c>
      <c r="M23" s="2440"/>
      <c r="N23" s="2441"/>
    </row>
    <row r="24" spans="1:14" ht="13.15" customHeight="1">
      <c r="A24" s="471" t="s">
        <v>1669</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40"/>
      <c r="N24" s="2441"/>
    </row>
    <row r="25" spans="1:14" ht="13.15" customHeight="1">
      <c r="A25" s="471" t="s">
        <v>1670</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40"/>
      <c r="N25" s="2441"/>
    </row>
    <row r="26" spans="1:14" ht="13.15" customHeight="1">
      <c r="A26" s="22" t="s">
        <v>824</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40"/>
      <c r="N26" s="2441"/>
    </row>
    <row r="27" spans="1:14" ht="13.15" customHeight="1">
      <c r="A27" s="22" t="s">
        <v>804</v>
      </c>
      <c r="B27" s="2570"/>
      <c r="C27" s="2570"/>
      <c r="D27" s="2570"/>
      <c r="E27" s="2570"/>
      <c r="F27" s="2570"/>
      <c r="G27" s="2570"/>
      <c r="H27" s="2570"/>
      <c r="I27" s="2570"/>
      <c r="J27" s="2570"/>
      <c r="K27" s="2570"/>
      <c r="M27" s="2440"/>
      <c r="N27" s="2441"/>
    </row>
    <row r="28" spans="1:14" ht="13.15" customHeight="1">
      <c r="A28" s="22" t="s">
        <v>1219</v>
      </c>
      <c r="B28" s="2569">
        <f>-$G$5</f>
        <v>-10000</v>
      </c>
      <c r="C28" s="2569">
        <f>+B28*1.03</f>
        <v>-10300</v>
      </c>
      <c r="D28" s="2569">
        <f t="shared" ref="D28:K28" si="7">+C28*1.03</f>
        <v>-10609</v>
      </c>
      <c r="E28" s="2569">
        <f t="shared" si="7"/>
        <v>-10927.27</v>
      </c>
      <c r="F28" s="2569">
        <f t="shared" si="7"/>
        <v>-11255.088100000001</v>
      </c>
      <c r="G28" s="2569">
        <f t="shared" si="7"/>
        <v>-11592.740743</v>
      </c>
      <c r="H28" s="2569">
        <f t="shared" si="7"/>
        <v>-11940.52296529</v>
      </c>
      <c r="I28" s="2569">
        <f t="shared" si="7"/>
        <v>-12298.7386542487</v>
      </c>
      <c r="J28" s="2569">
        <f t="shared" si="7"/>
        <v>-12667.700813876161</v>
      </c>
      <c r="K28" s="2569">
        <f t="shared" si="7"/>
        <v>-13047.731838292446</v>
      </c>
      <c r="M28" s="2440"/>
      <c r="N28" s="2441"/>
    </row>
    <row r="29" spans="1:14" ht="13.15" customHeight="1">
      <c r="A29" s="22" t="s">
        <v>1262</v>
      </c>
      <c r="B29" s="2571">
        <f>-SUM(B22:B28)</f>
        <v>-143300.02240000002</v>
      </c>
      <c r="C29" s="2571">
        <f>-MIN(SUM(C22:C28),B40)</f>
        <v>-140472.72284800012</v>
      </c>
      <c r="D29" s="2571">
        <f t="shared" ref="D29:K29" si="8">-MIN(SUM(D22:D28),C40)</f>
        <v>-137419.04610496003</v>
      </c>
      <c r="E29" s="2571">
        <f t="shared" si="8"/>
        <v>-134127.82089105927</v>
      </c>
      <c r="F29" s="2571">
        <f t="shared" si="8"/>
        <v>-130589.53878880036</v>
      </c>
      <c r="G29" s="2571">
        <f t="shared" si="8"/>
        <v>-97221.848967180209</v>
      </c>
      <c r="H29" s="2571">
        <f t="shared" si="8"/>
        <v>0</v>
      </c>
      <c r="I29" s="2571">
        <f t="shared" si="8"/>
        <v>0</v>
      </c>
      <c r="J29" s="2571">
        <f t="shared" si="8"/>
        <v>0</v>
      </c>
      <c r="K29" s="2571">
        <f t="shared" si="8"/>
        <v>0</v>
      </c>
      <c r="M29" s="2440"/>
      <c r="N29" s="2441"/>
    </row>
    <row r="30" spans="1:14" ht="13.15" customHeight="1">
      <c r="A30" s="22" t="s">
        <v>1220</v>
      </c>
      <c r="B30" s="23">
        <f t="shared" ref="B30:K30" si="9">SUM(B22:B29)</f>
        <v>0</v>
      </c>
      <c r="C30" s="23">
        <f t="shared" si="9"/>
        <v>0</v>
      </c>
      <c r="D30" s="23">
        <f t="shared" si="9"/>
        <v>0</v>
      </c>
      <c r="E30" s="23">
        <f t="shared" si="9"/>
        <v>0</v>
      </c>
      <c r="F30" s="23">
        <f t="shared" si="9"/>
        <v>0</v>
      </c>
      <c r="G30" s="23">
        <f t="shared" si="9"/>
        <v>29571.493921713787</v>
      </c>
      <c r="H30" s="23">
        <f t="shared" si="9"/>
        <v>122729.01607071905</v>
      </c>
      <c r="I30" s="23">
        <f t="shared" si="9"/>
        <v>118385.96890590183</v>
      </c>
      <c r="J30" s="23">
        <f t="shared" si="9"/>
        <v>113752.22717320149</v>
      </c>
      <c r="K30" s="24">
        <f t="shared" si="9"/>
        <v>108815.41897252265</v>
      </c>
      <c r="M30" s="2440"/>
      <c r="N30" s="2441"/>
    </row>
    <row r="31" spans="1:14" ht="13.15" customHeight="1">
      <c r="A31" s="22" t="str">
        <f>IF('Part III-Sources of Funds'!$E$36 = "Neither", "", "DCR Mortgage A")</f>
        <v>DCR Mortgage A</v>
      </c>
      <c r="B31" s="25" t="str">
        <f>IF(B23=0,"",-B22/B23)</f>
        <v/>
      </c>
      <c r="C31" s="25" t="str">
        <f t="shared" ref="C31:K31" si="10">IF(C23=0,"",-C22/C23)</f>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M31" s="2440"/>
      <c r="N31" s="2441"/>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440"/>
      <c r="N32" s="2441"/>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440"/>
      <c r="N33" s="2441"/>
    </row>
    <row r="34" spans="1:14" ht="13.15" customHeight="1">
      <c r="A34" s="22" t="s">
        <v>825</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440"/>
      <c r="N34" s="2441"/>
    </row>
    <row r="35" spans="1:14" ht="13.15" customHeight="1">
      <c r="A35" s="22" t="s">
        <v>811</v>
      </c>
      <c r="B35" s="296">
        <f>IF(OR(B20="Choose mgt fee",B20="Choose One!"),"",(B14+B15+B16+B17+B18) / -(B19+B20+B21))</f>
        <v>1.2465855584205014</v>
      </c>
      <c r="C35" s="296">
        <f t="shared" ref="C35:K35" si="14">IF(OR(C20="Choose mgt fee",C20="Choose One!"),"",(C14+C15+C16+C17+C18) / -(C19+C20+C21))</f>
        <v>1.2356861844838789</v>
      </c>
      <c r="D35" s="296">
        <f t="shared" si="14"/>
        <v>1.2248734689043428</v>
      </c>
      <c r="E35" s="296">
        <f t="shared" si="14"/>
        <v>1.2141440455193855</v>
      </c>
      <c r="F35" s="296">
        <f t="shared" si="14"/>
        <v>1.2034984275682892</v>
      </c>
      <c r="G35" s="296">
        <f t="shared" si="14"/>
        <v>1.1929353443352007</v>
      </c>
      <c r="H35" s="296">
        <f t="shared" si="14"/>
        <v>1.182455260377439</v>
      </c>
      <c r="I35" s="296">
        <f t="shared" si="14"/>
        <v>1.172058524521298</v>
      </c>
      <c r="J35" s="296">
        <f t="shared" si="14"/>
        <v>1.1617438926448949</v>
      </c>
      <c r="K35" s="297">
        <f t="shared" si="14"/>
        <v>1.1515102414076972</v>
      </c>
      <c r="M35" s="2440"/>
      <c r="N35" s="2441"/>
    </row>
    <row r="36" spans="1:14" ht="13.15" customHeight="1">
      <c r="A36" s="471" t="s">
        <v>2745</v>
      </c>
      <c r="B36" s="2572" t="str">
        <f>IF('Part III-Sources of Funds'!$I$36="","",-FV('Part III-Sources of Funds'!$K$36/12,12,B23/12,'Part III-Sources of Funds'!$I$36))</f>
        <v/>
      </c>
      <c r="C36" s="2572" t="str">
        <f>IF('Part III-Sources of Funds'!$I$36="","",-FV('Part III-Sources of Funds'!$K$36/12,12,C23/12,B36))</f>
        <v/>
      </c>
      <c r="D36" s="2572" t="str">
        <f>IF('Part III-Sources of Funds'!$I$36="","",-FV('Part III-Sources of Funds'!$K$36/12,12,D23/12,C36))</f>
        <v/>
      </c>
      <c r="E36" s="2572" t="str">
        <f>IF('Part III-Sources of Funds'!$I$36="","",-FV('Part III-Sources of Funds'!$K$36/12,12,E23/12,D36))</f>
        <v/>
      </c>
      <c r="F36" s="2572" t="str">
        <f>IF('Part III-Sources of Funds'!$I$36="","",-FV('Part III-Sources of Funds'!$K$36/12,12,F23/12,E36))</f>
        <v/>
      </c>
      <c r="G36" s="2572" t="str">
        <f>IF('Part III-Sources of Funds'!$I$36="","",-FV('Part III-Sources of Funds'!$K$36/12,12,G23/12,F36))</f>
        <v/>
      </c>
      <c r="H36" s="2572" t="str">
        <f>IF('Part III-Sources of Funds'!$I$36="","",-FV('Part III-Sources of Funds'!$K$36/12,12,H23/12,G36))</f>
        <v/>
      </c>
      <c r="I36" s="2572" t="str">
        <f>IF('Part III-Sources of Funds'!$I$36="","",-FV('Part III-Sources of Funds'!$K$36/12,12,I23/12,H36))</f>
        <v/>
      </c>
      <c r="J36" s="2572" t="str">
        <f>IF('Part III-Sources of Funds'!$I$36="","",-FV('Part III-Sources of Funds'!$K$36/12,12,J23/12,I36))</f>
        <v/>
      </c>
      <c r="K36" s="2572" t="str">
        <f>IF('Part III-Sources of Funds'!$I$36="","",-FV('Part III-Sources of Funds'!$K$36/12,12,K23/12,J36))</f>
        <v/>
      </c>
      <c r="M36" s="2440"/>
      <c r="N36" s="2441"/>
    </row>
    <row r="37" spans="1:14" ht="13.15" customHeight="1">
      <c r="A37" s="471" t="s">
        <v>2746</v>
      </c>
      <c r="B37" s="2569" t="str">
        <f>IF('Part III-Sources of Funds'!$I$37="","",-FV('Part III-Sources of Funds'!$K$37/12,12,B24/12,'Part III-Sources of Funds'!$I$37))</f>
        <v/>
      </c>
      <c r="C37" s="2569" t="str">
        <f>IF('Part III-Sources of Funds'!$I$37="","",-FV('Part III-Sources of Funds'!$K$37/12,12,C24/12,B37))</f>
        <v/>
      </c>
      <c r="D37" s="2569" t="str">
        <f>IF('Part III-Sources of Funds'!$I$37="","",-FV('Part III-Sources of Funds'!$K$37/12,12,D24/12,C37))</f>
        <v/>
      </c>
      <c r="E37" s="2569" t="str">
        <f>IF('Part III-Sources of Funds'!$I$37="","",-FV('Part III-Sources of Funds'!$K$37/12,12,E24/12,D37))</f>
        <v/>
      </c>
      <c r="F37" s="2569" t="str">
        <f>IF('Part III-Sources of Funds'!$I$37="","",-FV('Part III-Sources of Funds'!$K$37/12,12,F24/12,E37))</f>
        <v/>
      </c>
      <c r="G37" s="2569" t="str">
        <f>IF('Part III-Sources of Funds'!$I$37="","",-FV('Part III-Sources of Funds'!$K$37/12,12,G24/12,F37))</f>
        <v/>
      </c>
      <c r="H37" s="2569" t="str">
        <f>IF('Part III-Sources of Funds'!$I$37="","",-FV('Part III-Sources of Funds'!$K$37/12,12,H24/12,G37))</f>
        <v/>
      </c>
      <c r="I37" s="2569" t="str">
        <f>IF('Part III-Sources of Funds'!$I$37="","",-FV('Part III-Sources of Funds'!$K$37/12,12,I24/12,H37))</f>
        <v/>
      </c>
      <c r="J37" s="2569" t="str">
        <f>IF('Part III-Sources of Funds'!$I$37="","",-FV('Part III-Sources of Funds'!$K$37/12,12,J24/12,I37))</f>
        <v/>
      </c>
      <c r="K37" s="2569" t="str">
        <f>IF('Part III-Sources of Funds'!$I$37="","",-FV('Part III-Sources of Funds'!$K$37/12,12,K24/12,J37))</f>
        <v/>
      </c>
      <c r="M37" s="2440"/>
      <c r="N37" s="2441"/>
    </row>
    <row r="38" spans="1:14" ht="13.15" customHeight="1">
      <c r="A38" s="471" t="s">
        <v>2747</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40"/>
      <c r="N38" s="2441"/>
    </row>
    <row r="39" spans="1:14" ht="13.15" customHeight="1">
      <c r="A39" s="22" t="s">
        <v>826</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40"/>
      <c r="N39" s="2441"/>
    </row>
    <row r="40" spans="1:14" ht="13.15" customHeight="1">
      <c r="A40" s="27" t="s">
        <v>1297</v>
      </c>
      <c r="B40" s="2571">
        <f>IF('Part III-Sources of Funds'!$I$41="","",-FV('Part III-Sources of Funds'!$K$41/12,12,B29/12,'Part III-Sources of Funds'!$I$41))</f>
        <v>639830.97759999998</v>
      </c>
      <c r="C40" s="2571">
        <f>IF('Part III-Sources of Funds'!$I$41="","",-FV('Part III-Sources of Funds'!$K$41/12,12,C29/12,B40))</f>
        <v>499358.25475199986</v>
      </c>
      <c r="D40" s="2571">
        <f>IF('Part III-Sources of Funds'!$I$41="","",-FV('Part III-Sources of Funds'!$K$41/12,12,D29/12,C40))</f>
        <v>361939.20864703984</v>
      </c>
      <c r="E40" s="2571">
        <f>IF('Part III-Sources of Funds'!$I$41="","",-FV('Part III-Sources of Funds'!$K$41/12,12,E29/12,D40))</f>
        <v>227811.38775598057</v>
      </c>
      <c r="F40" s="2571">
        <f>IF('Part III-Sources of Funds'!$I$41="","",-FV('Part III-Sources of Funds'!$K$41/12,12,F29/12,E40))</f>
        <v>97221.848967180209</v>
      </c>
      <c r="G40" s="2571">
        <f>IF('Part III-Sources of Funds'!$I$41="","",-FV('Part III-Sources of Funds'!$K$41/12,12,G29/12,F40))</f>
        <v>0</v>
      </c>
      <c r="H40" s="2571">
        <f>IF('Part III-Sources of Funds'!$I$41="","",-FV('Part III-Sources of Funds'!$K$41/12,12,H29/12,G40))</f>
        <v>0</v>
      </c>
      <c r="I40" s="2571">
        <f>IF('Part III-Sources of Funds'!$I$41="","",-FV('Part III-Sources of Funds'!$K$41/12,12,I29/12,H40))</f>
        <v>0</v>
      </c>
      <c r="J40" s="2571">
        <f>IF('Part III-Sources of Funds'!$I$41="","",-FV('Part III-Sources of Funds'!$K$41/12,12,J29/12,I40))</f>
        <v>0</v>
      </c>
      <c r="K40" s="2571">
        <f>IF('Part III-Sources of Funds'!$I$41="","",-FV('Part III-Sources of Funds'!$K$41/12,12,K29/12,J40))</f>
        <v>0</v>
      </c>
      <c r="M40" s="2443"/>
      <c r="N40" s="2444"/>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447" t="s">
        <v>2750</v>
      </c>
      <c r="N42" s="1447"/>
    </row>
    <row r="43" spans="1:14" ht="13.15" customHeight="1">
      <c r="A43" s="19" t="s">
        <v>2522</v>
      </c>
      <c r="B43" s="20">
        <f t="shared" ref="B43:K43" si="16">$B$14*(1+$B$5)^(B42-1)</f>
        <v>995898.93722499663</v>
      </c>
      <c r="C43" s="20">
        <f t="shared" si="16"/>
        <v>1015816.9159694964</v>
      </c>
      <c r="D43" s="20">
        <f t="shared" si="16"/>
        <v>1036133.2542888864</v>
      </c>
      <c r="E43" s="20">
        <f t="shared" si="16"/>
        <v>1056855.9193746641</v>
      </c>
      <c r="F43" s="20">
        <f t="shared" si="16"/>
        <v>1077993.0377621576</v>
      </c>
      <c r="G43" s="20">
        <f t="shared" si="16"/>
        <v>1099552.8985174005</v>
      </c>
      <c r="H43" s="20">
        <f t="shared" si="16"/>
        <v>1121543.9564877485</v>
      </c>
      <c r="I43" s="20">
        <f t="shared" si="16"/>
        <v>1143974.8356175036</v>
      </c>
      <c r="J43" s="20">
        <f t="shared" si="16"/>
        <v>1166854.3323298537</v>
      </c>
      <c r="K43" s="21">
        <f t="shared" si="16"/>
        <v>1190191.4189764506</v>
      </c>
      <c r="M43" s="2438"/>
      <c r="N43" s="2439"/>
    </row>
    <row r="44" spans="1:14" ht="13.15" customHeight="1">
      <c r="A44" s="22" t="s">
        <v>1066</v>
      </c>
      <c r="B44" s="23">
        <f t="shared" ref="B44:K44" si="17">$B$15*(1+$B$5)^(B42-1)</f>
        <v>19917.978744499935</v>
      </c>
      <c r="C44" s="23">
        <f t="shared" si="17"/>
        <v>20316.338319389928</v>
      </c>
      <c r="D44" s="23">
        <f t="shared" si="17"/>
        <v>20722.665085777731</v>
      </c>
      <c r="E44" s="23">
        <f t="shared" si="17"/>
        <v>21137.118387493283</v>
      </c>
      <c r="F44" s="23">
        <f t="shared" si="17"/>
        <v>21559.860755243149</v>
      </c>
      <c r="G44" s="23">
        <f t="shared" si="17"/>
        <v>21991.057970348007</v>
      </c>
      <c r="H44" s="23">
        <f t="shared" si="17"/>
        <v>22430.879129754972</v>
      </c>
      <c r="I44" s="23">
        <f t="shared" si="17"/>
        <v>22879.496712350072</v>
      </c>
      <c r="J44" s="23">
        <f t="shared" si="17"/>
        <v>23337.086646597072</v>
      </c>
      <c r="K44" s="24">
        <f t="shared" si="17"/>
        <v>23803.828379529012</v>
      </c>
      <c r="M44" s="2440"/>
      <c r="N44" s="2441"/>
    </row>
    <row r="45" spans="1:14" ht="13.15" customHeight="1">
      <c r="A45" s="22" t="s">
        <v>2523</v>
      </c>
      <c r="B45" s="23">
        <f t="shared" ref="B45:K45" si="18">-(B43+B44)*$B$8</f>
        <v>-71107.184117864774</v>
      </c>
      <c r="C45" s="23">
        <f t="shared" si="18"/>
        <v>-72529.327800222047</v>
      </c>
      <c r="D45" s="23">
        <f t="shared" si="18"/>
        <v>-73979.914356226494</v>
      </c>
      <c r="E45" s="23">
        <f t="shared" si="18"/>
        <v>-75459.51264335103</v>
      </c>
      <c r="F45" s="23">
        <f t="shared" si="18"/>
        <v>-76968.702896218063</v>
      </c>
      <c r="G45" s="23">
        <f t="shared" si="18"/>
        <v>-78508.076954142409</v>
      </c>
      <c r="H45" s="23">
        <f t="shared" si="18"/>
        <v>-80078.238493225261</v>
      </c>
      <c r="I45" s="23">
        <f t="shared" si="18"/>
        <v>-81679.803263089765</v>
      </c>
      <c r="J45" s="23">
        <f t="shared" si="18"/>
        <v>-83313.399328351559</v>
      </c>
      <c r="K45" s="24">
        <f t="shared" si="18"/>
        <v>-84979.667314918581</v>
      </c>
      <c r="M45" s="2440"/>
      <c r="N45" s="244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0"/>
      <c r="N46" s="244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0"/>
      <c r="N47" s="2441"/>
    </row>
    <row r="48" spans="1:14" ht="13.15" customHeight="1">
      <c r="A48" s="22" t="s">
        <v>645</v>
      </c>
      <c r="B48" s="23">
        <f t="shared" ref="B48:K48" si="19">$B$19*(1+$B$6)^(B42-1)</f>
        <v>-683924.421113741</v>
      </c>
      <c r="C48" s="23">
        <f t="shared" si="19"/>
        <v>-704442.15374715324</v>
      </c>
      <c r="D48" s="23">
        <f t="shared" si="19"/>
        <v>-725575.41835956764</v>
      </c>
      <c r="E48" s="23">
        <f t="shared" si="19"/>
        <v>-747342.68091035471</v>
      </c>
      <c r="F48" s="23">
        <f t="shared" si="19"/>
        <v>-769762.96133766545</v>
      </c>
      <c r="G48" s="23">
        <f t="shared" si="19"/>
        <v>-792855.85017779539</v>
      </c>
      <c r="H48" s="23">
        <f t="shared" si="19"/>
        <v>-816641.52568312909</v>
      </c>
      <c r="I48" s="23">
        <f t="shared" si="19"/>
        <v>-841140.77145362296</v>
      </c>
      <c r="J48" s="23">
        <f t="shared" si="19"/>
        <v>-866374.99459723174</v>
      </c>
      <c r="K48" s="24">
        <f t="shared" si="19"/>
        <v>-892366.24443514866</v>
      </c>
      <c r="M48" s="2440"/>
      <c r="N48" s="244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-76049</v>
      </c>
      <c r="C49" s="23">
        <f>IF(AND('Part VII-Pro Forma'!$G$8="Yes",'Part VII-Pro Forma'!$G$9="Yes"),"Choose One!",IF('Part VII-Pro Forma'!$G$8="Yes",ROUND((-$K$8*(1+'Part VII-Pro Forma'!$B$6)^('Part VII-Pro Forma'!C42-1)),),IF('Part VII-Pro Forma'!$G$9="Yes",ROUND((-(SUM(C43:C46)*'Part VII-Pro Forma'!$K$9)),),"Choose mgt fee")))</f>
        <v>-77570</v>
      </c>
      <c r="D49" s="23">
        <f>IF(AND('Part VII-Pro Forma'!$G$8="Yes",'Part VII-Pro Forma'!$G$9="Yes"),"Choose One!",IF('Part VII-Pro Forma'!$G$8="Yes",ROUND((-$K$8*(1+'Part VII-Pro Forma'!$B$6)^('Part VII-Pro Forma'!D42-1)),),IF('Part VII-Pro Forma'!$G$9="Yes",ROUND((-(SUM(D43:D46)*'Part VII-Pro Forma'!$K$9)),),"Choose mgt fee")))</f>
        <v>-79122</v>
      </c>
      <c r="E49" s="23">
        <f>IF(AND('Part VII-Pro Forma'!$G$8="Yes",'Part VII-Pro Forma'!$G$9="Yes"),"Choose One!",IF('Part VII-Pro Forma'!$G$8="Yes",ROUND((-$K$8*(1+'Part VII-Pro Forma'!$B$6)^('Part VII-Pro Forma'!E42-1)),),IF('Part VII-Pro Forma'!$G$9="Yes",ROUND((-(SUM(E43:E46)*'Part VII-Pro Forma'!$K$9)),),"Choose mgt fee")))</f>
        <v>-80704</v>
      </c>
      <c r="F49" s="23">
        <f>IF(AND('Part VII-Pro Forma'!$G$8="Yes",'Part VII-Pro Forma'!$G$9="Yes"),"Choose One!",IF('Part VII-Pro Forma'!$G$8="Yes",ROUND((-$K$8*(1+'Part VII-Pro Forma'!$B$6)^('Part VII-Pro Forma'!F42-1)),),IF('Part VII-Pro Forma'!$G$9="Yes",ROUND((-(SUM(F43:F46)*'Part VII-Pro Forma'!$K$9)),),"Choose mgt fee")))</f>
        <v>-82318</v>
      </c>
      <c r="G49" s="23">
        <f>IF(AND('Part VII-Pro Forma'!$G$8="Yes",'Part VII-Pro Forma'!$G$9="Yes"),"Choose One!",IF('Part VII-Pro Forma'!$G$8="Yes",ROUND((-$K$8*(1+'Part VII-Pro Forma'!$B$6)^('Part VII-Pro Forma'!G42-1)),),IF('Part VII-Pro Forma'!$G$9="Yes",ROUND((-(SUM(G43:G46)*'Part VII-Pro Forma'!$K$9)),),"Choose mgt fee")))</f>
        <v>-83964</v>
      </c>
      <c r="H49" s="23">
        <f>IF(AND('Part VII-Pro Forma'!$G$8="Yes",'Part VII-Pro Forma'!$G$9="Yes"),"Choose One!",IF('Part VII-Pro Forma'!$G$8="Yes",ROUND((-$K$8*(1+'Part VII-Pro Forma'!$B$6)^('Part VII-Pro Forma'!H42-1)),),IF('Part VII-Pro Forma'!$G$9="Yes",ROUND((-(SUM(H43:H46)*'Part VII-Pro Forma'!$K$9)),),"Choose mgt fee")))</f>
        <v>-85644</v>
      </c>
      <c r="I49" s="23">
        <f>IF(AND('Part VII-Pro Forma'!$G$8="Yes",'Part VII-Pro Forma'!$G$9="Yes"),"Choose One!",IF('Part VII-Pro Forma'!$G$8="Yes",ROUND((-$K$8*(1+'Part VII-Pro Forma'!$B$6)^('Part VII-Pro Forma'!I42-1)),),IF('Part VII-Pro Forma'!$G$9="Yes",ROUND((-(SUM(I43:I46)*'Part VII-Pro Forma'!$K$9)),),"Choose mgt fee")))</f>
        <v>-87357</v>
      </c>
      <c r="J49" s="23">
        <f>IF(AND('Part VII-Pro Forma'!$G$8="Yes",'Part VII-Pro Forma'!$G$9="Yes"),"Choose One!",IF('Part VII-Pro Forma'!$G$8="Yes",ROUND((-$K$8*(1+'Part VII-Pro Forma'!$B$6)^('Part VII-Pro Forma'!J42-1)),),IF('Part VII-Pro Forma'!$G$9="Yes",ROUND((-(SUM(J43:J46)*'Part VII-Pro Forma'!$K$9)),),"Choose mgt fee")))</f>
        <v>-89104</v>
      </c>
      <c r="K49" s="23">
        <f>IF(AND('Part VII-Pro Forma'!$G$8="Yes",'Part VII-Pro Forma'!$G$9="Yes"),"Choose One!",IF('Part VII-Pro Forma'!$G$8="Yes",ROUND((-$K$8*(1+'Part VII-Pro Forma'!$B$6)^('Part VII-Pro Forma'!K42-1)),),IF('Part VII-Pro Forma'!$G$9="Yes",ROUND((-(SUM(K43:K46)*'Part VII-Pro Forma'!$K$9)),),"Choose mgt fee")))</f>
        <v>-90886</v>
      </c>
      <c r="M49" s="2440"/>
      <c r="N49" s="2441"/>
    </row>
    <row r="50" spans="1:14" ht="13.15" customHeight="1">
      <c r="A50" s="22" t="s">
        <v>1260</v>
      </c>
      <c r="B50" s="23">
        <f t="shared" ref="B50:K50" si="20">$B$21*(1+$B$7)^(B42-1)</f>
        <v>-67733.385518943731</v>
      </c>
      <c r="C50" s="23">
        <f t="shared" si="20"/>
        <v>-69765.387084512055</v>
      </c>
      <c r="D50" s="23">
        <f t="shared" si="20"/>
        <v>-71858.348697047404</v>
      </c>
      <c r="E50" s="23">
        <f t="shared" si="20"/>
        <v>-74014.099157958815</v>
      </c>
      <c r="F50" s="23">
        <f t="shared" si="20"/>
        <v>-76234.522132697588</v>
      </c>
      <c r="G50" s="23">
        <f t="shared" si="20"/>
        <v>-78521.55779667852</v>
      </c>
      <c r="H50" s="23">
        <f t="shared" si="20"/>
        <v>-80877.204530578863</v>
      </c>
      <c r="I50" s="23">
        <f t="shared" si="20"/>
        <v>-83303.520666496232</v>
      </c>
      <c r="J50" s="23">
        <f t="shared" si="20"/>
        <v>-85802.626286491126</v>
      </c>
      <c r="K50" s="24">
        <f t="shared" si="20"/>
        <v>-88376.705075085847</v>
      </c>
      <c r="M50" s="2440"/>
      <c r="N50" s="2441"/>
    </row>
    <row r="51" spans="1:14" ht="13.15" customHeight="1">
      <c r="A51" s="22" t="s">
        <v>1261</v>
      </c>
      <c r="B51" s="23">
        <f t="shared" ref="B51:K51" si="21">SUM(B43:B50)</f>
        <v>117002.92521894704</v>
      </c>
      <c r="C51" s="23">
        <f t="shared" si="21"/>
        <v>111826.38565699894</v>
      </c>
      <c r="D51" s="23">
        <f t="shared" si="21"/>
        <v>106320.23796182258</v>
      </c>
      <c r="E51" s="23">
        <f t="shared" si="21"/>
        <v>100472.74505049287</v>
      </c>
      <c r="F51" s="23">
        <f t="shared" si="21"/>
        <v>94268.712150819643</v>
      </c>
      <c r="G51" s="23">
        <f t="shared" si="21"/>
        <v>87694.471559132202</v>
      </c>
      <c r="H51" s="23">
        <f t="shared" si="21"/>
        <v>80733.866910570359</v>
      </c>
      <c r="I51" s="23">
        <f t="shared" si="21"/>
        <v>73373.236946644625</v>
      </c>
      <c r="J51" s="23">
        <f t="shared" si="21"/>
        <v>65596.398764376456</v>
      </c>
      <c r="K51" s="24">
        <f t="shared" si="21"/>
        <v>57386.630530826646</v>
      </c>
      <c r="M51" s="2440"/>
      <c r="N51" s="2441"/>
    </row>
    <row r="52" spans="1:14" ht="13.15" customHeight="1">
      <c r="A52" s="22" t="str">
        <f>$A23</f>
        <v>Mortgage A</v>
      </c>
      <c r="B52" s="2568">
        <f>IF('Part III-Sources of Funds'!$N$36="", 0,-'Part III-Sources of Funds'!$N$36)</f>
        <v>0</v>
      </c>
      <c r="C52" s="2568">
        <f>IF('Part III-Sources of Funds'!$N$36="", 0,-'Part III-Sources of Funds'!$N$36)</f>
        <v>0</v>
      </c>
      <c r="D52" s="2568">
        <f>IF('Part III-Sources of Funds'!$N$36="", 0,-'Part III-Sources of Funds'!$N$36)</f>
        <v>0</v>
      </c>
      <c r="E52" s="2568">
        <f>IF('Part III-Sources of Funds'!$N$36="", 0,-'Part III-Sources of Funds'!$N$36)</f>
        <v>0</v>
      </c>
      <c r="F52" s="2568">
        <f>IF('Part III-Sources of Funds'!$N$36="", 0,-'Part III-Sources of Funds'!$N$36)</f>
        <v>0</v>
      </c>
      <c r="G52" s="2568">
        <f>IF('Part III-Sources of Funds'!$N$36="", 0,-'Part III-Sources of Funds'!$N$36)</f>
        <v>0</v>
      </c>
      <c r="H52" s="2568">
        <f>IF('Part III-Sources of Funds'!$N$36="", 0,-'Part III-Sources of Funds'!$N$36)</f>
        <v>0</v>
      </c>
      <c r="I52" s="2568">
        <f>IF('Part III-Sources of Funds'!$N$36="", 0,-'Part III-Sources of Funds'!$N$36)</f>
        <v>0</v>
      </c>
      <c r="J52" s="2568">
        <f>IF('Part III-Sources of Funds'!$N$36="", 0,-'Part III-Sources of Funds'!$N$36)</f>
        <v>0</v>
      </c>
      <c r="K52" s="2568">
        <f>IF('Part III-Sources of Funds'!$N$36="", 0,-'Part III-Sources of Funds'!$N$36)</f>
        <v>0</v>
      </c>
      <c r="M52" s="2440"/>
      <c r="N52" s="2441"/>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40"/>
      <c r="N53" s="2441"/>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40"/>
      <c r="N54" s="2441"/>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40"/>
      <c r="N55" s="2441"/>
    </row>
    <row r="56" spans="1:14" ht="13.15" customHeight="1">
      <c r="A56" s="22" t="s">
        <v>804</v>
      </c>
      <c r="B56" s="2570"/>
      <c r="C56" s="2570"/>
      <c r="D56" s="2570"/>
      <c r="E56" s="2570"/>
      <c r="F56" s="2570"/>
      <c r="G56" s="2570"/>
      <c r="H56" s="2570"/>
      <c r="I56" s="2570"/>
      <c r="J56" s="2570"/>
      <c r="K56" s="2570"/>
      <c r="M56" s="2440"/>
      <c r="N56" s="2441"/>
    </row>
    <row r="57" spans="1:14" ht="13.15" customHeight="1">
      <c r="A57" s="22" t="s">
        <v>1219</v>
      </c>
      <c r="B57" s="2569">
        <f>+K28*1.03</f>
        <v>-13439.163793441219</v>
      </c>
      <c r="C57" s="2569">
        <f>+B57*1.03</f>
        <v>-13842.338707244457</v>
      </c>
      <c r="D57" s="2569">
        <f t="shared" ref="D57:F57" si="22">+C57*1.03</f>
        <v>-14257.60886846179</v>
      </c>
      <c r="E57" s="2569">
        <f t="shared" si="22"/>
        <v>-14685.337134515645</v>
      </c>
      <c r="F57" s="2569">
        <f t="shared" si="22"/>
        <v>-15125.897248551115</v>
      </c>
      <c r="G57" s="2569">
        <v>0</v>
      </c>
      <c r="H57" s="2569">
        <f t="shared" ref="H57:K57" si="23">+G57</f>
        <v>0</v>
      </c>
      <c r="I57" s="2569">
        <f t="shared" si="23"/>
        <v>0</v>
      </c>
      <c r="J57" s="2569">
        <f t="shared" si="23"/>
        <v>0</v>
      </c>
      <c r="K57" s="2569">
        <f t="shared" si="23"/>
        <v>0</v>
      </c>
      <c r="M57" s="2440"/>
      <c r="N57" s="2441"/>
    </row>
    <row r="58" spans="1:14" ht="13.15" customHeight="1">
      <c r="A58" s="22" t="s">
        <v>1262</v>
      </c>
      <c r="B58" s="2571">
        <v>0</v>
      </c>
      <c r="C58" s="2571">
        <v>0</v>
      </c>
      <c r="D58" s="2571">
        <v>0</v>
      </c>
      <c r="E58" s="2571">
        <v>0</v>
      </c>
      <c r="F58" s="2571">
        <v>0</v>
      </c>
      <c r="G58" s="2571">
        <v>0</v>
      </c>
      <c r="H58" s="2571">
        <v>0</v>
      </c>
      <c r="I58" s="2571">
        <v>0</v>
      </c>
      <c r="J58" s="2571">
        <v>0</v>
      </c>
      <c r="K58" s="2571">
        <v>0</v>
      </c>
      <c r="M58" s="2440"/>
      <c r="N58" s="2441"/>
    </row>
    <row r="59" spans="1:14" ht="13.15" customHeight="1">
      <c r="A59" s="22" t="s">
        <v>1220</v>
      </c>
      <c r="B59" s="23">
        <f t="shared" ref="B59:K59" si="24">SUM(B51:B58)</f>
        <v>103563.76142550583</v>
      </c>
      <c r="C59" s="23">
        <f t="shared" si="24"/>
        <v>97984.046949754484</v>
      </c>
      <c r="D59" s="23">
        <f t="shared" si="24"/>
        <v>92062.629093360796</v>
      </c>
      <c r="E59" s="23">
        <f t="shared" si="24"/>
        <v>85787.407915977223</v>
      </c>
      <c r="F59" s="23">
        <f t="shared" si="24"/>
        <v>79142.814902268525</v>
      </c>
      <c r="G59" s="23">
        <f t="shared" si="24"/>
        <v>87694.471559132202</v>
      </c>
      <c r="H59" s="23">
        <f t="shared" si="24"/>
        <v>80733.866910570359</v>
      </c>
      <c r="I59" s="23">
        <f t="shared" si="24"/>
        <v>73373.236946644625</v>
      </c>
      <c r="J59" s="23">
        <f t="shared" si="24"/>
        <v>65596.398764376456</v>
      </c>
      <c r="K59" s="21">
        <f t="shared" si="24"/>
        <v>57386.630530826646</v>
      </c>
      <c r="M59" s="2440"/>
      <c r="N59" s="2441"/>
    </row>
    <row r="60" spans="1:14" ht="13.15" customHeight="1">
      <c r="A60" s="22" t="str">
        <f>$A31</f>
        <v>DCR Mortgage A</v>
      </c>
      <c r="B60" s="25" t="str">
        <f>IF(B52=0,"",-B51/B52)</f>
        <v/>
      </c>
      <c r="C60" s="25" t="str">
        <f t="shared" ref="C60:K60" si="25">IF(C52=0,"",-C51/C52)</f>
        <v/>
      </c>
      <c r="D60" s="25" t="str">
        <f t="shared" si="25"/>
        <v/>
      </c>
      <c r="E60" s="25" t="str">
        <f t="shared" si="25"/>
        <v/>
      </c>
      <c r="F60" s="25" t="str">
        <f t="shared" si="25"/>
        <v/>
      </c>
      <c r="G60" s="25" t="str">
        <f t="shared" si="25"/>
        <v/>
      </c>
      <c r="H60" s="25" t="str">
        <f t="shared" si="25"/>
        <v/>
      </c>
      <c r="I60" s="25" t="str">
        <f t="shared" si="25"/>
        <v/>
      </c>
      <c r="J60" s="25" t="str">
        <f t="shared" si="25"/>
        <v/>
      </c>
      <c r="K60" s="26" t="str">
        <f t="shared" si="25"/>
        <v/>
      </c>
      <c r="M60" s="2440"/>
      <c r="N60" s="2441"/>
    </row>
    <row r="61" spans="1:14" ht="13.15" customHeight="1">
      <c r="A61" s="22" t="str">
        <f>$A32</f>
        <v>DCR Mortgage B</v>
      </c>
      <c r="B61" s="25" t="str">
        <f>IF(OR(B53=0,AND(B53=0,B52=0)),"",-B51/(B52+B53))</f>
        <v/>
      </c>
      <c r="C61" s="25" t="str">
        <f t="shared" ref="C61:K61" si="26">IF(OR(C53=0,AND(C53=0,C52=0)),"",-C51/(C52+C53))</f>
        <v/>
      </c>
      <c r="D61" s="25" t="str">
        <f t="shared" si="26"/>
        <v/>
      </c>
      <c r="E61" s="25" t="str">
        <f t="shared" si="26"/>
        <v/>
      </c>
      <c r="F61" s="25" t="str">
        <f t="shared" si="26"/>
        <v/>
      </c>
      <c r="G61" s="25" t="str">
        <f t="shared" si="26"/>
        <v/>
      </c>
      <c r="H61" s="25" t="str">
        <f t="shared" si="26"/>
        <v/>
      </c>
      <c r="I61" s="25" t="str">
        <f t="shared" si="26"/>
        <v/>
      </c>
      <c r="J61" s="25" t="str">
        <f t="shared" si="26"/>
        <v/>
      </c>
      <c r="K61" s="26" t="str">
        <f t="shared" si="26"/>
        <v/>
      </c>
      <c r="M61" s="2440"/>
      <c r="N61" s="2441"/>
    </row>
    <row r="62" spans="1:14" ht="13.15" customHeight="1">
      <c r="A62" s="22" t="str">
        <f>$A33</f>
        <v>DCR Mortgage C</v>
      </c>
      <c r="B62" s="25" t="str">
        <f>IF(OR(B54=0,AND(B54=0,B53=0,B52=0)),"",-B51/(B52+B53+B54))</f>
        <v/>
      </c>
      <c r="C62" s="25" t="str">
        <f t="shared" ref="C62:K62" si="27">IF(OR(C54=0,AND(C54=0,C53=0,C52=0)),"",-C51/(C52+C53+C54))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440"/>
      <c r="N62" s="2441"/>
    </row>
    <row r="63" spans="1:14" ht="13.15" customHeight="1">
      <c r="A63" s="22" t="str">
        <f>$A34</f>
        <v>DCR Other Source</v>
      </c>
      <c r="B63" s="25" t="str">
        <f>IF(OR(B55=0,AND(B52=0,B53=0,B54=0,B55=0)),"",-B51/(B52+B53+B54+B55))</f>
        <v/>
      </c>
      <c r="C63" s="25" t="str">
        <f t="shared" ref="C63:K63" si="28">IF(OR(C55=0,AND(C52=0,C53=0,C54=0,C55=0)),"",-C51/(C52+C53+C54+C55))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440"/>
      <c r="N63" s="2441"/>
    </row>
    <row r="64" spans="1:14" ht="13.15" customHeight="1">
      <c r="A64" s="22" t="s">
        <v>811</v>
      </c>
      <c r="B64" s="296">
        <f>IF(OR(B49="Choose mgt fee",B49="Choose One!"),"",(B43+B44+B45+B46+B47) / -(B48+B49+B50))</f>
        <v>1.1413579352995098</v>
      </c>
      <c r="C64" s="296">
        <f t="shared" ref="C64:K64" si="29">IF(OR(C49="Choose mgt fee",C49="Choose One!"),"",(C43+C44+C45+C46+C47) / -(C48+C49+C50))</f>
        <v>1.1312859054111863</v>
      </c>
      <c r="D64" s="296">
        <f t="shared" si="29"/>
        <v>1.1212931817433991</v>
      </c>
      <c r="E64" s="296">
        <f t="shared" si="29"/>
        <v>1.1113813473221661</v>
      </c>
      <c r="F64" s="296">
        <f t="shared" si="29"/>
        <v>1.1015481415848098</v>
      </c>
      <c r="G64" s="296">
        <f t="shared" si="29"/>
        <v>1.0917938559211655</v>
      </c>
      <c r="H64" s="296">
        <f t="shared" si="29"/>
        <v>1.0821164843108133</v>
      </c>
      <c r="I64" s="296">
        <f t="shared" si="29"/>
        <v>1.0725174374831039</v>
      </c>
      <c r="J64" s="296">
        <f t="shared" si="29"/>
        <v>1.06299582884091</v>
      </c>
      <c r="K64" s="297">
        <f t="shared" si="29"/>
        <v>1.0535508401084668</v>
      </c>
      <c r="M64" s="2440"/>
      <c r="N64" s="2441"/>
    </row>
    <row r="65" spans="1:14" ht="13.15" customHeight="1">
      <c r="A65" s="471" t="s">
        <v>2745</v>
      </c>
      <c r="B65" s="2572" t="str">
        <f>IF('Part III-Sources of Funds'!$I$36="","",-FV('Part III-Sources of Funds'!$K$36/12,12,B52/12,K36))</f>
        <v/>
      </c>
      <c r="C65" s="2572" t="str">
        <f>IF('Part III-Sources of Funds'!$I$36="","",-FV('Part III-Sources of Funds'!$K$36/12,12,C52/12,B65))</f>
        <v/>
      </c>
      <c r="D65" s="2572" t="str">
        <f>IF('Part III-Sources of Funds'!$I$36="","",-FV('Part III-Sources of Funds'!$K$36/12,12,D52/12,C65))</f>
        <v/>
      </c>
      <c r="E65" s="2572" t="str">
        <f>IF('Part III-Sources of Funds'!$I$36="","",-FV('Part III-Sources of Funds'!$K$36/12,12,E52/12,D65))</f>
        <v/>
      </c>
      <c r="F65" s="2572" t="str">
        <f>IF('Part III-Sources of Funds'!$I$36="","",-FV('Part III-Sources of Funds'!$K$36/12,12,F52/12,E65))</f>
        <v/>
      </c>
      <c r="G65" s="2572" t="str">
        <f>IF('Part III-Sources of Funds'!$I$36="","",-FV('Part III-Sources of Funds'!$K$36/12,12,G52/12,F65))</f>
        <v/>
      </c>
      <c r="H65" s="2572" t="str">
        <f>IF('Part III-Sources of Funds'!$I$36="","",-FV('Part III-Sources of Funds'!$K$36/12,12,H52/12,G65))</f>
        <v/>
      </c>
      <c r="I65" s="2572" t="str">
        <f>IF('Part III-Sources of Funds'!$I$36="","",-FV('Part III-Sources of Funds'!$K$36/12,12,I52/12,H65))</f>
        <v/>
      </c>
      <c r="J65" s="2572" t="str">
        <f>IF('Part III-Sources of Funds'!$I$36="","",-FV('Part III-Sources of Funds'!$K$36/12,12,J52/12,I65))</f>
        <v/>
      </c>
      <c r="K65" s="2572" t="str">
        <f>IF('Part III-Sources of Funds'!$I$36="","",-FV('Part III-Sources of Funds'!$K$36/12,12,K52/12,J65))</f>
        <v/>
      </c>
      <c r="M65" s="2440"/>
      <c r="N65" s="2441"/>
    </row>
    <row r="66" spans="1:14" ht="13.15" customHeight="1">
      <c r="A66" s="471" t="s">
        <v>2746</v>
      </c>
      <c r="B66" s="2569" t="str">
        <f>IF('Part III-Sources of Funds'!$I$37="","",-FV('Part III-Sources of Funds'!$K$37/12,12,B53/12,K37))</f>
        <v/>
      </c>
      <c r="C66" s="2569" t="str">
        <f>IF('Part III-Sources of Funds'!$I$37="","",-FV('Part III-Sources of Funds'!$K$37/12,12,C53/12,B66))</f>
        <v/>
      </c>
      <c r="D66" s="2569" t="str">
        <f>IF('Part III-Sources of Funds'!$I$37="","",-FV('Part III-Sources of Funds'!$K$37/12,12,D53/12,C66))</f>
        <v/>
      </c>
      <c r="E66" s="2569" t="str">
        <f>IF('Part III-Sources of Funds'!$I$37="","",-FV('Part III-Sources of Funds'!$K$37/12,12,E53/12,D66))</f>
        <v/>
      </c>
      <c r="F66" s="2569" t="str">
        <f>IF('Part III-Sources of Funds'!$I$37="","",-FV('Part III-Sources of Funds'!$K$37/12,12,F53/12,E66))</f>
        <v/>
      </c>
      <c r="G66" s="2569" t="str">
        <f>IF('Part III-Sources of Funds'!$I$37="","",-FV('Part III-Sources of Funds'!$K$37/12,12,G53/12,F66))</f>
        <v/>
      </c>
      <c r="H66" s="2569" t="str">
        <f>IF('Part III-Sources of Funds'!$I$37="","",-FV('Part III-Sources of Funds'!$K$37/12,12,H53/12,G66))</f>
        <v/>
      </c>
      <c r="I66" s="2569" t="str">
        <f>IF('Part III-Sources of Funds'!$I$37="","",-FV('Part III-Sources of Funds'!$K$37/12,12,I53/12,H66))</f>
        <v/>
      </c>
      <c r="J66" s="2569" t="str">
        <f>IF('Part III-Sources of Funds'!$I$37="","",-FV('Part III-Sources of Funds'!$K$37/12,12,J53/12,I66))</f>
        <v/>
      </c>
      <c r="K66" s="2569" t="str">
        <f>IF('Part III-Sources of Funds'!$I$37="","",-FV('Part III-Sources of Funds'!$K$37/12,12,K53/12,J66))</f>
        <v/>
      </c>
      <c r="M66" s="2440"/>
      <c r="N66" s="2441"/>
    </row>
    <row r="67" spans="1:14" ht="13.15" customHeight="1">
      <c r="A67" s="471" t="s">
        <v>2747</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40"/>
      <c r="N67" s="2441"/>
    </row>
    <row r="68" spans="1:14" ht="13.15" customHeight="1">
      <c r="A68" s="22" t="s">
        <v>826</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40"/>
      <c r="N68" s="2441"/>
    </row>
    <row r="69" spans="1:14" ht="13.15" customHeight="1">
      <c r="A69" s="27" t="s">
        <v>1297</v>
      </c>
      <c r="B69" s="2571">
        <f>IF('Part III-Sources of Funds'!$I$41="","",-FV('Part III-Sources of Funds'!$K$41/12,12,B58/12,K40))</f>
        <v>0</v>
      </c>
      <c r="C69" s="2571">
        <f>IF('Part III-Sources of Funds'!$I$41="","",-FV('Part III-Sources of Funds'!$K$41/12,12,C58/12,B69))</f>
        <v>0</v>
      </c>
      <c r="D69" s="2571">
        <f>IF('Part III-Sources of Funds'!$I$41="","",-FV('Part III-Sources of Funds'!$K$41/12,12,D58/12,C69))</f>
        <v>0</v>
      </c>
      <c r="E69" s="2571">
        <f>IF('Part III-Sources of Funds'!$I$41="","",-FV('Part III-Sources of Funds'!$K$41/12,12,E58/12,D69))</f>
        <v>0</v>
      </c>
      <c r="F69" s="2571">
        <f>IF('Part III-Sources of Funds'!$I$41="","",-FV('Part III-Sources of Funds'!$K$41/12,12,F58/12,E69))</f>
        <v>0</v>
      </c>
      <c r="G69" s="2571">
        <f>IF('Part III-Sources of Funds'!$I$41="","",-FV('Part III-Sources of Funds'!$K$41/12,12,G58/12,F69))</f>
        <v>0</v>
      </c>
      <c r="H69" s="2571">
        <f>IF('Part III-Sources of Funds'!$I$41="","",-FV('Part III-Sources of Funds'!$K$41/12,12,H58/12,G69))</f>
        <v>0</v>
      </c>
      <c r="I69" s="2571">
        <f>IF('Part III-Sources of Funds'!$I$41="","",-FV('Part III-Sources of Funds'!$K$41/12,12,I58/12,H69))</f>
        <v>0</v>
      </c>
      <c r="J69" s="2571">
        <f>IF('Part III-Sources of Funds'!$I$41="","",-FV('Part III-Sources of Funds'!$K$41/12,12,J58/12,I69))</f>
        <v>0</v>
      </c>
      <c r="K69" s="2571">
        <f>IF('Part III-Sources of Funds'!$I$41="","",-FV('Part III-Sources of Funds'!$K$41/12,12,K58/12,J69))</f>
        <v>0</v>
      </c>
      <c r="M69" s="2443"/>
      <c r="N69" s="2444"/>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30">B71+1</f>
        <v>22</v>
      </c>
      <c r="D71" s="16">
        <f t="shared" si="30"/>
        <v>23</v>
      </c>
      <c r="E71" s="16">
        <f t="shared" si="30"/>
        <v>24</v>
      </c>
      <c r="F71" s="16">
        <f t="shared" si="30"/>
        <v>25</v>
      </c>
      <c r="G71" s="16">
        <f t="shared" si="30"/>
        <v>26</v>
      </c>
      <c r="H71" s="16">
        <f t="shared" si="30"/>
        <v>27</v>
      </c>
      <c r="I71" s="16">
        <f t="shared" si="30"/>
        <v>28</v>
      </c>
      <c r="J71" s="16">
        <f t="shared" si="30"/>
        <v>29</v>
      </c>
      <c r="K71" s="16">
        <f t="shared" si="30"/>
        <v>30</v>
      </c>
      <c r="M71" s="1447" t="s">
        <v>2751</v>
      </c>
      <c r="N71" s="1447"/>
    </row>
    <row r="72" spans="1:14" ht="13.15" customHeight="1">
      <c r="A72" s="19" t="s">
        <v>2522</v>
      </c>
      <c r="B72" s="20">
        <f t="shared" ref="B72:K72" si="31">$B$14*(1+$B$5)^(B71-1)</f>
        <v>1213995.2473559799</v>
      </c>
      <c r="C72" s="20">
        <f t="shared" si="31"/>
        <v>1238275.1523030992</v>
      </c>
      <c r="D72" s="20">
        <f t="shared" si="31"/>
        <v>1263040.6553491612</v>
      </c>
      <c r="E72" s="20">
        <f t="shared" si="31"/>
        <v>1288301.4684561442</v>
      </c>
      <c r="F72" s="20">
        <f t="shared" si="31"/>
        <v>1314067.4978252673</v>
      </c>
      <c r="G72" s="20">
        <f t="shared" si="31"/>
        <v>1340348.8477817725</v>
      </c>
      <c r="H72" s="20">
        <f t="shared" si="31"/>
        <v>1367155.8247374082</v>
      </c>
      <c r="I72" s="20">
        <f t="shared" si="31"/>
        <v>1394498.941232156</v>
      </c>
      <c r="J72" s="20">
        <f t="shared" si="31"/>
        <v>1422388.9200567994</v>
      </c>
      <c r="K72" s="21">
        <f t="shared" si="31"/>
        <v>1450836.6984579354</v>
      </c>
      <c r="M72" s="2438"/>
      <c r="N72" s="2439"/>
    </row>
    <row r="73" spans="1:14" ht="13.15" customHeight="1">
      <c r="A73" s="22" t="s">
        <v>1066</v>
      </c>
      <c r="B73" s="23">
        <f t="shared" ref="B73:K73" si="32">$B$15*(1+$B$5)^(B71-1)</f>
        <v>24279.904947119594</v>
      </c>
      <c r="C73" s="23">
        <f t="shared" si="32"/>
        <v>24765.503046061986</v>
      </c>
      <c r="D73" s="23">
        <f t="shared" si="32"/>
        <v>25260.813106983227</v>
      </c>
      <c r="E73" s="23">
        <f t="shared" si="32"/>
        <v>25766.029369122887</v>
      </c>
      <c r="F73" s="23">
        <f t="shared" si="32"/>
        <v>26281.349956505346</v>
      </c>
      <c r="G73" s="23">
        <f t="shared" si="32"/>
        <v>26806.976955635451</v>
      </c>
      <c r="H73" s="23">
        <f t="shared" si="32"/>
        <v>27343.116494748163</v>
      </c>
      <c r="I73" s="23">
        <f t="shared" si="32"/>
        <v>27889.978824643124</v>
      </c>
      <c r="J73" s="23">
        <f t="shared" si="32"/>
        <v>28447.778401135991</v>
      </c>
      <c r="K73" s="24">
        <f t="shared" si="32"/>
        <v>29016.733969158708</v>
      </c>
      <c r="M73" s="2440"/>
      <c r="N73" s="2441"/>
    </row>
    <row r="74" spans="1:14" ht="13.15" customHeight="1">
      <c r="A74" s="22" t="s">
        <v>2523</v>
      </c>
      <c r="B74" s="23">
        <f t="shared" ref="B74:K74" si="33">-(B72+B73)*$B$8</f>
        <v>-86679.260661216962</v>
      </c>
      <c r="C74" s="23">
        <f t="shared" si="33"/>
        <v>-88412.845874441293</v>
      </c>
      <c r="D74" s="23">
        <f t="shared" si="33"/>
        <v>-90181.102791930127</v>
      </c>
      <c r="E74" s="23">
        <f t="shared" si="33"/>
        <v>-91984.724847768695</v>
      </c>
      <c r="F74" s="23">
        <f t="shared" si="33"/>
        <v>-93824.419344724083</v>
      </c>
      <c r="G74" s="23">
        <f t="shared" si="33"/>
        <v>-95700.907731618572</v>
      </c>
      <c r="H74" s="23">
        <f t="shared" si="33"/>
        <v>-97614.92588625096</v>
      </c>
      <c r="I74" s="23">
        <f t="shared" si="33"/>
        <v>-99567.224403975953</v>
      </c>
      <c r="J74" s="23">
        <f t="shared" si="33"/>
        <v>-101558.56889205548</v>
      </c>
      <c r="K74" s="24">
        <f t="shared" si="33"/>
        <v>-103589.74026989659</v>
      </c>
      <c r="M74" s="2440"/>
      <c r="N74" s="244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0"/>
      <c r="N75" s="244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0"/>
      <c r="N76" s="2441"/>
    </row>
    <row r="77" spans="1:14" ht="13.15" customHeight="1">
      <c r="A77" s="22" t="s">
        <v>645</v>
      </c>
      <c r="B77" s="23">
        <f t="shared" ref="B77:K77" si="34">$B$19*(1+$B$6)^(B71-1)</f>
        <v>-919137.23176820308</v>
      </c>
      <c r="C77" s="23">
        <f t="shared" si="34"/>
        <v>-946711.34872124903</v>
      </c>
      <c r="D77" s="23">
        <f t="shared" si="34"/>
        <v>-975112.68918288662</v>
      </c>
      <c r="E77" s="23">
        <f t="shared" si="34"/>
        <v>-1004366.0698583733</v>
      </c>
      <c r="F77" s="23">
        <f t="shared" si="34"/>
        <v>-1034497.0519541244</v>
      </c>
      <c r="G77" s="23">
        <f t="shared" si="34"/>
        <v>-1065531.963512748</v>
      </c>
      <c r="H77" s="23">
        <f t="shared" si="34"/>
        <v>-1097497.9224181306</v>
      </c>
      <c r="I77" s="23">
        <f t="shared" si="34"/>
        <v>-1130422.8600906744</v>
      </c>
      <c r="J77" s="23">
        <f t="shared" si="34"/>
        <v>-1164335.5458933946</v>
      </c>
      <c r="K77" s="24">
        <f t="shared" si="34"/>
        <v>-1199265.6122701964</v>
      </c>
      <c r="M77" s="2440"/>
      <c r="N77" s="244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-92703</v>
      </c>
      <c r="C78" s="23">
        <f>IF(AND('Part VII-Pro Forma'!$G$8="Yes",'Part VII-Pro Forma'!$G$9="Yes"),"Choose One!",IF('Part VII-Pro Forma'!$G$8="Yes",ROUND((-$K$8*(1+'Part VII-Pro Forma'!$B$6)^('Part VII-Pro Forma'!C71-1)),),IF('Part VII-Pro Forma'!$G$9="Yes",ROUND((-(SUM(C72:C75)*'Part VII-Pro Forma'!$K$9)),),"Choose mgt fee")))</f>
        <v>-94558</v>
      </c>
      <c r="D78" s="23">
        <f>IF(AND('Part VII-Pro Forma'!$G$8="Yes",'Part VII-Pro Forma'!$G$9="Yes"),"Choose One!",IF('Part VII-Pro Forma'!$G$8="Yes",ROUND((-$K$8*(1+'Part VII-Pro Forma'!$B$6)^('Part VII-Pro Forma'!D71-1)),),IF('Part VII-Pro Forma'!$G$9="Yes",ROUND((-(SUM(D72:D75)*'Part VII-Pro Forma'!$K$9)),),"Choose mgt fee")))</f>
        <v>-96449</v>
      </c>
      <c r="E78" s="23">
        <f>IF(AND('Part VII-Pro Forma'!$G$8="Yes",'Part VII-Pro Forma'!$G$9="Yes"),"Choose One!",IF('Part VII-Pro Forma'!$G$8="Yes",ROUND((-$K$8*(1+'Part VII-Pro Forma'!$B$6)^('Part VII-Pro Forma'!E71-1)),),IF('Part VII-Pro Forma'!$G$9="Yes",ROUND((-(SUM(E72:E75)*'Part VII-Pro Forma'!$K$9)),),"Choose mgt fee")))</f>
        <v>-98378</v>
      </c>
      <c r="F78" s="23">
        <f>IF(AND('Part VII-Pro Forma'!$G$8="Yes",'Part VII-Pro Forma'!$G$9="Yes"),"Choose One!",IF('Part VII-Pro Forma'!$G$8="Yes",ROUND((-$K$8*(1+'Part VII-Pro Forma'!$B$6)^('Part VII-Pro Forma'!F71-1)),),IF('Part VII-Pro Forma'!$G$9="Yes",ROUND((-(SUM(F72:F75)*'Part VII-Pro Forma'!$K$9)),),"Choose mgt fee")))</f>
        <v>-100345</v>
      </c>
      <c r="G78" s="23">
        <f>IF(AND('Part VII-Pro Forma'!$G$8="Yes",'Part VII-Pro Forma'!$G$9="Yes"),"Choose One!",IF('Part VII-Pro Forma'!$G$8="Yes",ROUND((-$K$8*(1+'Part VII-Pro Forma'!$B$6)^('Part VII-Pro Forma'!G71-1)),),IF('Part VII-Pro Forma'!$G$9="Yes",ROUND((-(SUM(G72:G75)*'Part VII-Pro Forma'!$K$9)),),"Choose mgt fee")))</f>
        <v>-102352</v>
      </c>
      <c r="H78" s="23">
        <f>IF(AND('Part VII-Pro Forma'!$G$8="Yes",'Part VII-Pro Forma'!$G$9="Yes"),"Choose One!",IF('Part VII-Pro Forma'!$G$8="Yes",ROUND((-$K$8*(1+'Part VII-Pro Forma'!$B$6)^('Part VII-Pro Forma'!H71-1)),),IF('Part VII-Pro Forma'!$G$9="Yes",ROUND((-(SUM(H72:H75)*'Part VII-Pro Forma'!$K$9)),),"Choose mgt fee")))</f>
        <v>-104399</v>
      </c>
      <c r="I78" s="23">
        <f>IF(AND('Part VII-Pro Forma'!$G$8="Yes",'Part VII-Pro Forma'!$G$9="Yes"),"Choose One!",IF('Part VII-Pro Forma'!$G$8="Yes",ROUND((-$K$8*(1+'Part VII-Pro Forma'!$B$6)^('Part VII-Pro Forma'!I71-1)),),IF('Part VII-Pro Forma'!$G$9="Yes",ROUND((-(SUM(I72:I75)*'Part VII-Pro Forma'!$K$9)),),"Choose mgt fee")))</f>
        <v>-106487</v>
      </c>
      <c r="J78" s="23">
        <f>IF(AND('Part VII-Pro Forma'!$G$8="Yes",'Part VII-Pro Forma'!$G$9="Yes"),"Choose One!",IF('Part VII-Pro Forma'!$G$8="Yes",ROUND((-$K$8*(1+'Part VII-Pro Forma'!$B$6)^('Part VII-Pro Forma'!J71-1)),),IF('Part VII-Pro Forma'!$G$9="Yes",ROUND((-(SUM(J72:J75)*'Part VII-Pro Forma'!$K$9)),),"Choose mgt fee")))</f>
        <v>-108617</v>
      </c>
      <c r="K78" s="23">
        <f>IF(AND('Part VII-Pro Forma'!$G$8="Yes",'Part VII-Pro Forma'!$G$9="Yes"),"Choose One!",IF('Part VII-Pro Forma'!$G$8="Yes",ROUND((-$K$8*(1+'Part VII-Pro Forma'!$B$6)^('Part VII-Pro Forma'!K71-1)),),IF('Part VII-Pro Forma'!$G$9="Yes",ROUND((-(SUM(K72:K75)*'Part VII-Pro Forma'!$K$9)),),"Choose mgt fee")))</f>
        <v>-110789</v>
      </c>
      <c r="M78" s="2440"/>
      <c r="N78" s="2441"/>
    </row>
    <row r="79" spans="1:14" ht="13.15" customHeight="1">
      <c r="A79" s="22" t="s">
        <v>1260</v>
      </c>
      <c r="B79" s="23">
        <f t="shared" ref="B79:K79" si="35">$B$21*(1+$B$7)^(B71-1)</f>
        <v>-91028.006227338425</v>
      </c>
      <c r="C79" s="23">
        <f t="shared" si="35"/>
        <v>-93758.846414158572</v>
      </c>
      <c r="D79" s="23">
        <f t="shared" si="35"/>
        <v>-96571.611806583329</v>
      </c>
      <c r="E79" s="23">
        <f t="shared" si="35"/>
        <v>-99468.760160780846</v>
      </c>
      <c r="F79" s="23">
        <f t="shared" si="35"/>
        <v>-102452.82296560425</v>
      </c>
      <c r="G79" s="23">
        <f t="shared" si="35"/>
        <v>-105526.40765457238</v>
      </c>
      <c r="H79" s="23">
        <f t="shared" si="35"/>
        <v>-108692.19988420956</v>
      </c>
      <c r="I79" s="23">
        <f t="shared" si="35"/>
        <v>-111952.96588073584</v>
      </c>
      <c r="J79" s="23">
        <f t="shared" si="35"/>
        <v>-115311.55485715791</v>
      </c>
      <c r="K79" s="24">
        <f t="shared" si="35"/>
        <v>-118770.90150287264</v>
      </c>
      <c r="M79" s="2440"/>
      <c r="N79" s="2441"/>
    </row>
    <row r="80" spans="1:14" ht="13.15" customHeight="1">
      <c r="A80" s="22" t="s">
        <v>1261</v>
      </c>
      <c r="B80" s="23">
        <f t="shared" ref="B80:K80" si="36">SUM(B72:B79)</f>
        <v>48727.653646340972</v>
      </c>
      <c r="C80" s="23">
        <f t="shared" si="36"/>
        <v>39599.61433931232</v>
      </c>
      <c r="D80" s="23">
        <f t="shared" si="36"/>
        <v>29987.064674744412</v>
      </c>
      <c r="E80" s="23">
        <f t="shared" si="36"/>
        <v>19869.942958344254</v>
      </c>
      <c r="F80" s="23">
        <f t="shared" si="36"/>
        <v>9229.5535173197277</v>
      </c>
      <c r="G80" s="23">
        <f t="shared" si="36"/>
        <v>-1955.4541615309281</v>
      </c>
      <c r="H80" s="23">
        <f t="shared" si="36"/>
        <v>-13705.106956434684</v>
      </c>
      <c r="I80" s="23">
        <f t="shared" si="36"/>
        <v>-26041.130318587006</v>
      </c>
      <c r="J80" s="23">
        <f t="shared" si="36"/>
        <v>-38985.971184672599</v>
      </c>
      <c r="K80" s="24">
        <f t="shared" si="36"/>
        <v>-52561.821615871566</v>
      </c>
      <c r="M80" s="2440"/>
      <c r="N80" s="2441"/>
    </row>
    <row r="81" spans="1:14" ht="13.15" customHeight="1">
      <c r="A81" s="22" t="str">
        <f>$A52</f>
        <v>Mortgage A</v>
      </c>
      <c r="B81" s="2568">
        <f>IF('Part III-Sources of Funds'!$N$36="", 0,-'Part III-Sources of Funds'!$N$36)</f>
        <v>0</v>
      </c>
      <c r="C81" s="2568">
        <f>IF('Part III-Sources of Funds'!$N$36="", 0,-'Part III-Sources of Funds'!$N$36)</f>
        <v>0</v>
      </c>
      <c r="D81" s="2568">
        <f>IF('Part III-Sources of Funds'!$N$36="", 0,-'Part III-Sources of Funds'!$N$36)</f>
        <v>0</v>
      </c>
      <c r="E81" s="2568">
        <f>IF('Part III-Sources of Funds'!$N$36="", 0,-'Part III-Sources of Funds'!$N$36)</f>
        <v>0</v>
      </c>
      <c r="F81" s="2568">
        <f>IF('Part III-Sources of Funds'!$N$36="", 0,-'Part III-Sources of Funds'!$N$36)</f>
        <v>0</v>
      </c>
      <c r="G81" s="2568">
        <f>IF('Part III-Sources of Funds'!$N$36="", 0,-'Part III-Sources of Funds'!$N$36)</f>
        <v>0</v>
      </c>
      <c r="H81" s="2568">
        <f>IF('Part III-Sources of Funds'!$N$36="", 0,-'Part III-Sources of Funds'!$N$36)</f>
        <v>0</v>
      </c>
      <c r="I81" s="2568">
        <f>IF('Part III-Sources of Funds'!$N$36="", 0,-'Part III-Sources of Funds'!$N$36)</f>
        <v>0</v>
      </c>
      <c r="J81" s="2568">
        <f>IF('Part III-Sources of Funds'!$N$36="", 0,-'Part III-Sources of Funds'!$N$36)</f>
        <v>0</v>
      </c>
      <c r="K81" s="2568">
        <f>IF('Part III-Sources of Funds'!$N$36="", 0,-'Part III-Sources of Funds'!$N$36)</f>
        <v>0</v>
      </c>
      <c r="M81" s="2440"/>
      <c r="N81" s="2441"/>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40"/>
      <c r="N82" s="2441"/>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40"/>
      <c r="N83" s="2441"/>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40"/>
      <c r="N84" s="2441"/>
    </row>
    <row r="85" spans="1:14" ht="13.15" customHeight="1">
      <c r="A85" s="22" t="s">
        <v>804</v>
      </c>
      <c r="B85" s="2570"/>
      <c r="C85" s="2570"/>
      <c r="D85" s="2570"/>
      <c r="E85" s="2570"/>
      <c r="F85" s="2570"/>
      <c r="G85" s="2570"/>
      <c r="H85" s="2570"/>
      <c r="I85" s="2570"/>
      <c r="J85" s="2570"/>
      <c r="K85" s="2570"/>
      <c r="M85" s="2440"/>
      <c r="N85" s="2441"/>
    </row>
    <row r="86" spans="1:14" ht="13.15" customHeight="1">
      <c r="A86" s="22" t="s">
        <v>1219</v>
      </c>
      <c r="B86" s="2569">
        <v>0</v>
      </c>
      <c r="C86" s="2569">
        <f t="shared" ref="C86:K86" si="37">+B86</f>
        <v>0</v>
      </c>
      <c r="D86" s="2569">
        <f t="shared" si="37"/>
        <v>0</v>
      </c>
      <c r="E86" s="2569">
        <f t="shared" si="37"/>
        <v>0</v>
      </c>
      <c r="F86" s="2569">
        <f t="shared" si="37"/>
        <v>0</v>
      </c>
      <c r="G86" s="2569">
        <f t="shared" si="37"/>
        <v>0</v>
      </c>
      <c r="H86" s="2569">
        <f t="shared" si="37"/>
        <v>0</v>
      </c>
      <c r="I86" s="2569">
        <f t="shared" si="37"/>
        <v>0</v>
      </c>
      <c r="J86" s="2569">
        <f t="shared" si="37"/>
        <v>0</v>
      </c>
      <c r="K86" s="2569">
        <f t="shared" si="37"/>
        <v>0</v>
      </c>
      <c r="M86" s="2440"/>
      <c r="N86" s="2441"/>
    </row>
    <row r="87" spans="1:14" ht="13.15" customHeight="1">
      <c r="A87" s="22" t="s">
        <v>1262</v>
      </c>
      <c r="B87" s="2571">
        <v>0</v>
      </c>
      <c r="C87" s="2571">
        <v>0</v>
      </c>
      <c r="D87" s="2571">
        <v>0</v>
      </c>
      <c r="E87" s="2571">
        <v>0</v>
      </c>
      <c r="F87" s="2571">
        <v>0</v>
      </c>
      <c r="G87" s="2571">
        <v>0</v>
      </c>
      <c r="H87" s="2571">
        <v>0</v>
      </c>
      <c r="I87" s="2571">
        <v>0</v>
      </c>
      <c r="J87" s="2571">
        <v>0</v>
      </c>
      <c r="K87" s="2571">
        <v>0</v>
      </c>
      <c r="M87" s="2440"/>
      <c r="N87" s="2441"/>
    </row>
    <row r="88" spans="1:14" ht="13.15" customHeight="1">
      <c r="A88" s="22" t="s">
        <v>1220</v>
      </c>
      <c r="B88" s="23">
        <f t="shared" ref="B88:K88" si="38">SUM(B80:B87)</f>
        <v>48727.653646340972</v>
      </c>
      <c r="C88" s="23">
        <f t="shared" si="38"/>
        <v>39599.61433931232</v>
      </c>
      <c r="D88" s="23">
        <f t="shared" si="38"/>
        <v>29987.064674744412</v>
      </c>
      <c r="E88" s="23">
        <f t="shared" si="38"/>
        <v>19869.942958344254</v>
      </c>
      <c r="F88" s="23">
        <f t="shared" si="38"/>
        <v>9229.5535173197277</v>
      </c>
      <c r="G88" s="23">
        <f t="shared" si="38"/>
        <v>-1955.4541615309281</v>
      </c>
      <c r="H88" s="23">
        <f t="shared" si="38"/>
        <v>-13705.106956434684</v>
      </c>
      <c r="I88" s="23">
        <f t="shared" si="38"/>
        <v>-26041.130318587006</v>
      </c>
      <c r="J88" s="23">
        <f t="shared" si="38"/>
        <v>-38985.971184672599</v>
      </c>
      <c r="K88" s="21">
        <f t="shared" si="38"/>
        <v>-52561.821615871566</v>
      </c>
      <c r="M88" s="2440"/>
      <c r="N88" s="2441"/>
    </row>
    <row r="89" spans="1:14" ht="13.15" customHeight="1">
      <c r="A89" s="22" t="str">
        <f>$A60</f>
        <v>DCR Mortgage A</v>
      </c>
      <c r="B89" s="25" t="str">
        <f>IF(B81=0,"",-B80/B81)</f>
        <v/>
      </c>
      <c r="C89" s="25" t="str">
        <f t="shared" ref="C89:K89" si="39">IF(C81=0,"",-C80/C81)</f>
        <v/>
      </c>
      <c r="D89" s="25" t="str">
        <f t="shared" si="39"/>
        <v/>
      </c>
      <c r="E89" s="25" t="str">
        <f t="shared" si="39"/>
        <v/>
      </c>
      <c r="F89" s="25" t="str">
        <f t="shared" si="39"/>
        <v/>
      </c>
      <c r="G89" s="25" t="str">
        <f t="shared" si="39"/>
        <v/>
      </c>
      <c r="H89" s="25" t="str">
        <f t="shared" si="39"/>
        <v/>
      </c>
      <c r="I89" s="25" t="str">
        <f t="shared" si="39"/>
        <v/>
      </c>
      <c r="J89" s="25" t="str">
        <f t="shared" si="39"/>
        <v/>
      </c>
      <c r="K89" s="26" t="str">
        <f t="shared" si="39"/>
        <v/>
      </c>
      <c r="M89" s="2440"/>
      <c r="N89" s="2441"/>
    </row>
    <row r="90" spans="1:14" ht="13.15" customHeight="1">
      <c r="A90" s="22" t="str">
        <f>$A61</f>
        <v>DCR Mortgage B</v>
      </c>
      <c r="B90" s="25" t="str">
        <f>IF(OR(B82=0,AND(B82=0,B81=0)),"",-B80/(B81+B82))</f>
        <v/>
      </c>
      <c r="C90" s="25" t="str">
        <f t="shared" ref="C90:K90" si="40">IF(OR(C82=0,AND(C82=0,C81=0)),"",-C80/(C81+C82))</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M90" s="2440"/>
      <c r="N90" s="2441"/>
    </row>
    <row r="91" spans="1:14" ht="13.15" customHeight="1">
      <c r="A91" s="22" t="str">
        <f>$A62</f>
        <v>DCR Mortgage C</v>
      </c>
      <c r="B91" s="25" t="str">
        <f>IF(OR(B83=0,AND(B83=0,B82=0,B81=0)),"",-B80/(B81+B82+B83))</f>
        <v/>
      </c>
      <c r="C91" s="25" t="str">
        <f t="shared" ref="C91:K91" si="41">IF(OR(C83=0,AND(C83=0,C82=0,C81=0)),"",-C80/(C81+C82+C83))</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M91" s="2440"/>
      <c r="N91" s="2441"/>
    </row>
    <row r="92" spans="1:14" ht="13.15" customHeight="1">
      <c r="A92" s="22" t="str">
        <f>$A63</f>
        <v>DCR Other Source</v>
      </c>
      <c r="B92" s="25" t="str">
        <f>IF(OR(B84=0,AND(B81=0,B82=0,B83=0,B84=0)),"",-B80/(B81+B82+B83+B84))</f>
        <v/>
      </c>
      <c r="C92" s="25" t="str">
        <f t="shared" ref="C92:K92" si="42">IF(OR(C84=0,AND(C81=0,C82=0,C83=0,C84=0)),"",-C80/(C81+C82+C83+C84))</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M92" s="2440"/>
      <c r="N92" s="2441"/>
    </row>
    <row r="93" spans="1:14" ht="13.15" customHeight="1">
      <c r="A93" s="22" t="s">
        <v>811</v>
      </c>
      <c r="B93" s="296">
        <f>IF(OR(B78="Choose mgt fee",B78="Choose One!"),"",(B72+B73+B74+B75+B76) / -(B77+B78+B79))</f>
        <v>1.0441826611444567</v>
      </c>
      <c r="C93" s="296">
        <f t="shared" ref="C93:K93" si="43">IF(OR(C78="Choose mgt fee",C78="Choose One!"),"",(C72+C73+C74+C75+C76) / -(C77+C78+C79))</f>
        <v>1.0348886613645647</v>
      </c>
      <c r="D93" s="296">
        <f t="shared" si="43"/>
        <v>1.0256709269818296</v>
      </c>
      <c r="E93" s="296">
        <f t="shared" si="43"/>
        <v>1.0165278081070122</v>
      </c>
      <c r="F93" s="296">
        <f t="shared" si="43"/>
        <v>1.0074594615272439</v>
      </c>
      <c r="G93" s="296">
        <f t="shared" si="43"/>
        <v>0.99846439591995917</v>
      </c>
      <c r="H93" s="296">
        <f t="shared" si="43"/>
        <v>0.98954278902272697</v>
      </c>
      <c r="I93" s="296">
        <f t="shared" si="43"/>
        <v>0.98069401141674073</v>
      </c>
      <c r="J93" s="296">
        <f t="shared" si="43"/>
        <v>0.97191746789130751</v>
      </c>
      <c r="K93" s="297">
        <f t="shared" si="43"/>
        <v>0.96321326774388805</v>
      </c>
      <c r="M93" s="2440"/>
      <c r="N93" s="2441"/>
    </row>
    <row r="94" spans="1:14" ht="13.15" customHeight="1">
      <c r="A94" s="471" t="s">
        <v>2745</v>
      </c>
      <c r="B94" s="2572" t="str">
        <f>IF('Part III-Sources of Funds'!$I$36="","",-FV('Part III-Sources of Funds'!$K$36/12,12,B81/12,K65))</f>
        <v/>
      </c>
      <c r="C94" s="2572" t="str">
        <f>IF('Part III-Sources of Funds'!$I$36="","",-FV('Part III-Sources of Funds'!$K$36/12,12,C81/12,B94))</f>
        <v/>
      </c>
      <c r="D94" s="2572" t="str">
        <f>IF('Part III-Sources of Funds'!$I$36="","",-FV('Part III-Sources of Funds'!$K$36/12,12,D81/12,C94))</f>
        <v/>
      </c>
      <c r="E94" s="2572" t="str">
        <f>IF('Part III-Sources of Funds'!$I$36="","",-FV('Part III-Sources of Funds'!$K$36/12,12,E81/12,D94))</f>
        <v/>
      </c>
      <c r="F94" s="2572" t="str">
        <f>IF('Part III-Sources of Funds'!$I$36="","",-FV('Part III-Sources of Funds'!$K$36/12,12,F81/12,E94))</f>
        <v/>
      </c>
      <c r="G94" s="2572" t="str">
        <f>IF('Part III-Sources of Funds'!$I$36="","",-FV('Part III-Sources of Funds'!$K$36/12,12,G81/12,F94))</f>
        <v/>
      </c>
      <c r="H94" s="2572" t="str">
        <f>IF('Part III-Sources of Funds'!$I$36="","",-FV('Part III-Sources of Funds'!$K$36/12,12,H81/12,G94))</f>
        <v/>
      </c>
      <c r="I94" s="2572" t="str">
        <f>IF('Part III-Sources of Funds'!$I$36="","",-FV('Part III-Sources of Funds'!$K$36/12,12,I81/12,H94))</f>
        <v/>
      </c>
      <c r="J94" s="2572" t="str">
        <f>IF('Part III-Sources of Funds'!$I$36="","",-FV('Part III-Sources of Funds'!$K$36/12,12,J81/12,I94))</f>
        <v/>
      </c>
      <c r="K94" s="2572" t="str">
        <f>IF('Part III-Sources of Funds'!$I$36="","",-FV('Part III-Sources of Funds'!$K$36/12,12,K81/12,J94))</f>
        <v/>
      </c>
      <c r="M94" s="2440"/>
      <c r="N94" s="2441"/>
    </row>
    <row r="95" spans="1:14" ht="13.15" customHeight="1">
      <c r="A95" s="471" t="s">
        <v>2746</v>
      </c>
      <c r="B95" s="2569" t="str">
        <f>IF('Part III-Sources of Funds'!$I$37="","",-FV('Part III-Sources of Funds'!$K$37/12,12,B82/12,K66))</f>
        <v/>
      </c>
      <c r="C95" s="2569" t="str">
        <f>IF('Part III-Sources of Funds'!$I$37="","",-FV('Part III-Sources of Funds'!$K$37/12,12,C82/12,B95))</f>
        <v/>
      </c>
      <c r="D95" s="2569" t="str">
        <f>IF('Part III-Sources of Funds'!$I$37="","",-FV('Part III-Sources of Funds'!$K$37/12,12,D82/12,C95))</f>
        <v/>
      </c>
      <c r="E95" s="2569" t="str">
        <f>IF('Part III-Sources of Funds'!$I$37="","",-FV('Part III-Sources of Funds'!$K$37/12,12,E82/12,D95))</f>
        <v/>
      </c>
      <c r="F95" s="2569" t="str">
        <f>IF('Part III-Sources of Funds'!$I$37="","",-FV('Part III-Sources of Funds'!$K$37/12,12,F82/12,E95))</f>
        <v/>
      </c>
      <c r="G95" s="2569" t="str">
        <f>IF('Part III-Sources of Funds'!$I$37="","",-FV('Part III-Sources of Funds'!$K$37/12,12,G82/12,F95))</f>
        <v/>
      </c>
      <c r="H95" s="2569" t="str">
        <f>IF('Part III-Sources of Funds'!$I$37="","",-FV('Part III-Sources of Funds'!$K$37/12,12,H82/12,G95))</f>
        <v/>
      </c>
      <c r="I95" s="2569" t="str">
        <f>IF('Part III-Sources of Funds'!$I$37="","",-FV('Part III-Sources of Funds'!$K$37/12,12,I82/12,H95))</f>
        <v/>
      </c>
      <c r="J95" s="2569" t="str">
        <f>IF('Part III-Sources of Funds'!$I$37="","",-FV('Part III-Sources of Funds'!$K$37/12,12,J82/12,I95))</f>
        <v/>
      </c>
      <c r="K95" s="2569" t="str">
        <f>IF('Part III-Sources of Funds'!$I$37="","",-FV('Part III-Sources of Funds'!$K$37/12,12,K82/12,J95))</f>
        <v/>
      </c>
      <c r="M95" s="2440"/>
      <c r="N95" s="2441"/>
    </row>
    <row r="96" spans="1:14" ht="13.15" customHeight="1">
      <c r="A96" s="471" t="s">
        <v>2747</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40"/>
      <c r="N96" s="2441"/>
    </row>
    <row r="97" spans="1:14" ht="13.15" customHeight="1">
      <c r="A97" s="22" t="s">
        <v>826</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40"/>
      <c r="N97" s="2441"/>
    </row>
    <row r="98" spans="1:14" ht="13.15" customHeight="1">
      <c r="A98" s="27" t="s">
        <v>1297</v>
      </c>
      <c r="B98" s="2571">
        <f>IF('Part III-Sources of Funds'!$I$41="","",-FV('Part III-Sources of Funds'!$K$41/12,12,B87/12,K69))</f>
        <v>0</v>
      </c>
      <c r="C98" s="2571">
        <f>IF('Part III-Sources of Funds'!$I$41="","",-FV('Part III-Sources of Funds'!$K$41/12,12,C87/12,B98))</f>
        <v>0</v>
      </c>
      <c r="D98" s="2571">
        <f>IF('Part III-Sources of Funds'!$I$41="","",-FV('Part III-Sources of Funds'!$K$41/12,12,D87/12,C98))</f>
        <v>0</v>
      </c>
      <c r="E98" s="2571">
        <f>IF('Part III-Sources of Funds'!$I$41="","",-FV('Part III-Sources of Funds'!$K$41/12,12,E87/12,D98))</f>
        <v>0</v>
      </c>
      <c r="F98" s="2571">
        <f>IF('Part III-Sources of Funds'!$I$41="","",-FV('Part III-Sources of Funds'!$K$41/12,12,F87/12,E98))</f>
        <v>0</v>
      </c>
      <c r="G98" s="2571">
        <f>IF('Part III-Sources of Funds'!$I$41="","",-FV('Part III-Sources of Funds'!$K$41/12,12,G87/12,F98))</f>
        <v>0</v>
      </c>
      <c r="H98" s="2571">
        <f>IF('Part III-Sources of Funds'!$I$41="","",-FV('Part III-Sources of Funds'!$K$41/12,12,H87/12,G98))</f>
        <v>0</v>
      </c>
      <c r="I98" s="2571">
        <f>IF('Part III-Sources of Funds'!$I$41="","",-FV('Part III-Sources of Funds'!$K$41/12,12,I87/12,H98))</f>
        <v>0</v>
      </c>
      <c r="J98" s="2571">
        <f>IF('Part III-Sources of Funds'!$I$41="","",-FV('Part III-Sources of Funds'!$K$41/12,12,J87/12,I98))</f>
        <v>0</v>
      </c>
      <c r="K98" s="2571">
        <f>IF('Part III-Sources of Funds'!$I$41="","",-FV('Part III-Sources of Funds'!$K$41/12,12,K87/12,J98))</f>
        <v>0</v>
      </c>
      <c r="M98" s="2443"/>
      <c r="N98" s="2444"/>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7" t="s">
        <v>2751</v>
      </c>
      <c r="N100" s="1447"/>
    </row>
    <row r="101" spans="1:14" ht="13.15" customHeight="1">
      <c r="A101" s="19" t="s">
        <v>2522</v>
      </c>
      <c r="B101" s="20">
        <f>$B$14*(1+$B$5)^(B100-1)</f>
        <v>1479853.4324270941</v>
      </c>
      <c r="C101" s="20">
        <f>$B$14*(1+$B$5)^(C100-1)</f>
        <v>1509450.5010756357</v>
      </c>
      <c r="D101" s="20">
        <f>$B$14*(1+$B$5)^(D100-1)</f>
        <v>1539639.5110971488</v>
      </c>
      <c r="E101" s="20">
        <f>$B$14*(1+$B$5)^(E100-1)</f>
        <v>1570432.3013190918</v>
      </c>
      <c r="F101" s="899">
        <f>$B$14*(1+$B$5)^(F100-1)</f>
        <v>1601840.9473454736</v>
      </c>
      <c r="G101" s="18"/>
      <c r="H101" s="18"/>
      <c r="I101" s="18"/>
      <c r="J101" s="18"/>
      <c r="K101" s="18"/>
      <c r="M101" s="2438"/>
      <c r="N101" s="2439"/>
    </row>
    <row r="102" spans="1:14" ht="13.15" customHeight="1">
      <c r="A102" s="22" t="s">
        <v>1066</v>
      </c>
      <c r="B102" s="23">
        <f>$B$15*(1+$B$5)^(B100-1)</f>
        <v>29597.068648541885</v>
      </c>
      <c r="C102" s="23">
        <f>$B$15*(1+$B$5)^(C100-1)</f>
        <v>30189.010021512713</v>
      </c>
      <c r="D102" s="23">
        <f>$B$15*(1+$B$5)^(D100-1)</f>
        <v>30792.790221942974</v>
      </c>
      <c r="E102" s="23">
        <f>$B$15*(1+$B$5)^(E100-1)</f>
        <v>31408.646026381837</v>
      </c>
      <c r="F102" s="24">
        <f>$B$15*(1+$B$5)^(F100-1)</f>
        <v>32036.818946909469</v>
      </c>
      <c r="G102" s="18"/>
      <c r="H102" s="18"/>
      <c r="I102" s="18"/>
      <c r="J102" s="18"/>
      <c r="K102" s="18"/>
      <c r="M102" s="2440"/>
      <c r="N102" s="2441"/>
    </row>
    <row r="103" spans="1:14" ht="13.15" customHeight="1">
      <c r="A103" s="22" t="s">
        <v>2523</v>
      </c>
      <c r="B103" s="23">
        <f>-(B101+B102)*$B$8</f>
        <v>-105661.53507529452</v>
      </c>
      <c r="C103" s="23">
        <f>-(C101+C102)*$B$8</f>
        <v>-107774.76577680038</v>
      </c>
      <c r="D103" s="23">
        <f>-(D101+D102)*$B$8</f>
        <v>-109930.26109233644</v>
      </c>
      <c r="E103" s="23">
        <f>-(E101+E102)*$B$8</f>
        <v>-112128.86631418316</v>
      </c>
      <c r="F103" s="24">
        <f>-(F101+F102)*$B$8</f>
        <v>-114371.44364046682</v>
      </c>
      <c r="G103" s="18"/>
      <c r="H103" s="18"/>
      <c r="I103" s="18"/>
      <c r="J103" s="18"/>
      <c r="K103" s="18"/>
      <c r="M103" s="2440"/>
      <c r="N103" s="244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0"/>
      <c r="N104" s="244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0"/>
      <c r="N105" s="2441"/>
    </row>
    <row r="106" spans="1:14" ht="13.15" customHeight="1">
      <c r="A106" s="22" t="s">
        <v>645</v>
      </c>
      <c r="B106" s="23">
        <f>$B$19*(1+$B$6)^(B100-1)</f>
        <v>-1235243.5806383023</v>
      </c>
      <c r="C106" s="23">
        <f>$B$19*(1+$B$6)^(C100-1)</f>
        <v>-1272300.8880574515</v>
      </c>
      <c r="D106" s="23">
        <f>$B$19*(1+$B$6)^(D100-1)</f>
        <v>-1310469.9146991749</v>
      </c>
      <c r="E106" s="23">
        <f>$B$19*(1+$B$6)^(E100-1)</f>
        <v>-1349784.0121401502</v>
      </c>
      <c r="F106" s="24">
        <f>$B$19*(1+$B$6)^(F100-1)</f>
        <v>-1390277.5325043544</v>
      </c>
      <c r="G106" s="18"/>
      <c r="H106" s="18"/>
      <c r="I106" s="18"/>
      <c r="J106" s="18"/>
      <c r="K106" s="18"/>
      <c r="M106" s="2440"/>
      <c r="N106" s="244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-113005</v>
      </c>
      <c r="C107" s="23">
        <f>IF(AND('Part VII-Pro Forma'!$G$8="Yes",'Part VII-Pro Forma'!$G$9="Yes"),"Choose One!",IF('Part VII-Pro Forma'!$G$8="Yes",ROUND((-$K$8*(1+'Part VII-Pro Forma'!$B$6)^('Part VII-Pro Forma'!C100-1)),),IF('Part VII-Pro Forma'!$G$9="Yes",ROUND((-(SUM(C101:C104)*'Part VII-Pro Forma'!$K$9)),),"Choose mgt fee")))</f>
        <v>-115265</v>
      </c>
      <c r="D107" s="23">
        <f>IF(AND('Part VII-Pro Forma'!$G$8="Yes",'Part VII-Pro Forma'!$G$9="Yes"),"Choose One!",IF('Part VII-Pro Forma'!$G$8="Yes",ROUND((-$K$8*(1+'Part VII-Pro Forma'!$B$6)^('Part VII-Pro Forma'!D100-1)),),IF('Part VII-Pro Forma'!$G$9="Yes",ROUND((-(SUM(D101:D104)*'Part VII-Pro Forma'!$K$9)),),"Choose mgt fee")))</f>
        <v>-117570</v>
      </c>
      <c r="E107" s="23">
        <f>IF(AND('Part VII-Pro Forma'!$G$8="Yes",'Part VII-Pro Forma'!$G$9="Yes"),"Choose One!",IF('Part VII-Pro Forma'!$G$8="Yes",ROUND((-$K$8*(1+'Part VII-Pro Forma'!$B$6)^('Part VII-Pro Forma'!E100-1)),),IF('Part VII-Pro Forma'!$G$9="Yes",ROUND((-(SUM(E101:E104)*'Part VII-Pro Forma'!$K$9)),),"Choose mgt fee")))</f>
        <v>-119922</v>
      </c>
      <c r="F107" s="24">
        <f>IF(AND('Part VII-Pro Forma'!$G$8="Yes",'Part VII-Pro Forma'!$G$9="Yes"),"Choose One!",IF('Part VII-Pro Forma'!$G$8="Yes",ROUND((-$K$8*(1+'Part VII-Pro Forma'!$B$6)^('Part VII-Pro Forma'!F100-1)),),IF('Part VII-Pro Forma'!$G$9="Yes",ROUND((-(SUM(F101:F104)*'Part VII-Pro Forma'!$K$9)),),"Choose mgt fee")))</f>
        <v>-122320</v>
      </c>
      <c r="G107" s="18"/>
      <c r="H107" s="18"/>
      <c r="I107" s="18"/>
      <c r="J107" s="18"/>
      <c r="K107" s="18"/>
      <c r="M107" s="2440"/>
      <c r="N107" s="2441"/>
    </row>
    <row r="108" spans="1:14" ht="13.15" customHeight="1">
      <c r="A108" s="22" t="s">
        <v>1260</v>
      </c>
      <c r="B108" s="23">
        <f>$B$21*(1+$B$7)^(B100-1)</f>
        <v>-122334.02854795882</v>
      </c>
      <c r="C108" s="23">
        <f>$B$21*(1+$B$7)^(C100-1)</f>
        <v>-126004.04940439761</v>
      </c>
      <c r="D108" s="23">
        <f>$B$21*(1+$B$7)^(D100-1)</f>
        <v>-129784.17088652951</v>
      </c>
      <c r="E108" s="23">
        <f>$B$21*(1+$B$7)^(E100-1)</f>
        <v>-133677.69601312539</v>
      </c>
      <c r="F108" s="24">
        <f>$B$21*(1+$B$7)^(F100-1)</f>
        <v>-137688.02689351913</v>
      </c>
      <c r="G108" s="18"/>
      <c r="H108" s="18"/>
      <c r="I108" s="18"/>
      <c r="J108" s="18"/>
      <c r="K108" s="18"/>
      <c r="M108" s="2440"/>
      <c r="N108" s="2441"/>
    </row>
    <row r="109" spans="1:14" ht="13.15" customHeight="1">
      <c r="A109" s="22" t="s">
        <v>1261</v>
      </c>
      <c r="B109" s="23">
        <f>SUM(B101:B108)</f>
        <v>-66793.643185919733</v>
      </c>
      <c r="C109" s="23">
        <f>SUM(C101:C108)</f>
        <v>-81705.192141501233</v>
      </c>
      <c r="D109" s="23">
        <f>SUM(D101:D108)</f>
        <v>-97322.045358949006</v>
      </c>
      <c r="E109" s="23">
        <f>SUM(E101:E108)</f>
        <v>-113671.62712198522</v>
      </c>
      <c r="F109" s="24">
        <f>SUM(F101:F108)</f>
        <v>-130779.23674595731</v>
      </c>
      <c r="G109" s="18"/>
      <c r="H109" s="18"/>
      <c r="I109" s="18"/>
      <c r="J109" s="18"/>
      <c r="K109" s="18"/>
      <c r="M109" s="2440"/>
      <c r="N109" s="2441"/>
    </row>
    <row r="110" spans="1:14" ht="13.15" customHeight="1">
      <c r="A110" s="22" t="str">
        <f>$A81</f>
        <v>Mortgage A</v>
      </c>
      <c r="B110" s="2568">
        <f>IF('Part III-Sources of Funds'!$N$36="", 0,-'Part III-Sources of Funds'!$N$36)</f>
        <v>0</v>
      </c>
      <c r="C110" s="2568">
        <f>IF('Part III-Sources of Funds'!$N$36="", 0,-'Part III-Sources of Funds'!$N$36)</f>
        <v>0</v>
      </c>
      <c r="D110" s="2568">
        <f>IF('Part III-Sources of Funds'!$N$36="", 0,-'Part III-Sources of Funds'!$N$36)</f>
        <v>0</v>
      </c>
      <c r="E110" s="2568">
        <f>IF('Part III-Sources of Funds'!$N$36="", 0,-'Part III-Sources of Funds'!$N$36)</f>
        <v>0</v>
      </c>
      <c r="F110" s="2568">
        <f>IF('Part III-Sources of Funds'!$N$36="", 0,-'Part III-Sources of Funds'!$N$36)</f>
        <v>0</v>
      </c>
      <c r="G110" s="18"/>
      <c r="H110" s="18"/>
      <c r="I110" s="18"/>
      <c r="J110" s="18"/>
      <c r="K110" s="18"/>
      <c r="M110" s="2440"/>
      <c r="N110" s="2441"/>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40"/>
      <c r="N111" s="2441"/>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40"/>
      <c r="N112" s="2441"/>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40"/>
      <c r="N113" s="2441"/>
    </row>
    <row r="114" spans="1:14" ht="13.15" customHeight="1">
      <c r="A114" s="22" t="s">
        <v>804</v>
      </c>
      <c r="B114" s="2570"/>
      <c r="C114" s="2570"/>
      <c r="D114" s="2570"/>
      <c r="E114" s="2570"/>
      <c r="F114" s="2570"/>
      <c r="G114" s="18"/>
      <c r="H114" s="18"/>
      <c r="I114" s="18"/>
      <c r="J114" s="18"/>
      <c r="K114" s="18"/>
      <c r="M114" s="2440"/>
      <c r="N114" s="2441"/>
    </row>
    <row r="115" spans="1:14" ht="13.15" customHeight="1">
      <c r="A115" s="22" t="s">
        <v>1219</v>
      </c>
      <c r="B115" s="2569">
        <f>+K86</f>
        <v>0</v>
      </c>
      <c r="C115" s="2569">
        <f>+B115</f>
        <v>0</v>
      </c>
      <c r="D115" s="2569">
        <f>+C115</f>
        <v>0</v>
      </c>
      <c r="E115" s="2569">
        <f>+D115</f>
        <v>0</v>
      </c>
      <c r="F115" s="2569">
        <f>+E115</f>
        <v>0</v>
      </c>
      <c r="G115" s="18"/>
      <c r="H115" s="18"/>
      <c r="I115" s="18"/>
      <c r="J115" s="18"/>
      <c r="K115" s="18"/>
      <c r="M115" s="2440"/>
      <c r="N115" s="2441"/>
    </row>
    <row r="116" spans="1:14" ht="13.15" customHeight="1">
      <c r="A116" s="22" t="s">
        <v>1262</v>
      </c>
      <c r="B116" s="2571">
        <f>IF('Part III-Sources of Funds'!$N$41="", 0,-'Part III-Sources of Funds'!$N$41)</f>
        <v>0</v>
      </c>
      <c r="C116" s="2571">
        <f>IF('Part III-Sources of Funds'!$N$41="", 0,-'Part III-Sources of Funds'!$N$41)</f>
        <v>0</v>
      </c>
      <c r="D116" s="2571">
        <f>IF('Part III-Sources of Funds'!$N$41="", 0,-'Part III-Sources of Funds'!$N$41)</f>
        <v>0</v>
      </c>
      <c r="E116" s="2571">
        <f>IF('Part III-Sources of Funds'!$N$41="", 0,-'Part III-Sources of Funds'!$N$41)</f>
        <v>0</v>
      </c>
      <c r="F116" s="2571">
        <f>IF('Part III-Sources of Funds'!$N$41="", 0,-'Part III-Sources of Funds'!$N$41)</f>
        <v>0</v>
      </c>
      <c r="G116" s="18"/>
      <c r="H116" s="18"/>
      <c r="I116" s="18"/>
      <c r="J116" s="18"/>
      <c r="K116" s="18"/>
      <c r="M116" s="2440"/>
      <c r="N116" s="2441"/>
    </row>
    <row r="117" spans="1:14" ht="13.15" customHeight="1">
      <c r="A117" s="22" t="s">
        <v>1220</v>
      </c>
      <c r="B117" s="23">
        <f>SUM(B109:B116)</f>
        <v>-66793.643185919733</v>
      </c>
      <c r="C117" s="23">
        <f>SUM(C109:C116)</f>
        <v>-81705.192141501233</v>
      </c>
      <c r="D117" s="23">
        <f>SUM(D109:D116)</f>
        <v>-97322.045358949006</v>
      </c>
      <c r="E117" s="23">
        <f>SUM(E109:E116)</f>
        <v>-113671.62712198522</v>
      </c>
      <c r="F117" s="24">
        <f>SUM(F109:F116)</f>
        <v>-130779.23674595731</v>
      </c>
      <c r="G117" s="18"/>
      <c r="H117" s="18"/>
      <c r="I117" s="18"/>
      <c r="J117" s="18"/>
      <c r="K117" s="18"/>
      <c r="M117" s="2440"/>
      <c r="N117" s="2441"/>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0"/>
      <c r="N118" s="244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0"/>
      <c r="N119" s="244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0"/>
      <c r="N120" s="244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0"/>
      <c r="N121" s="2441"/>
    </row>
    <row r="122" spans="1:14" ht="13.15" customHeight="1">
      <c r="A122" s="22" t="s">
        <v>811</v>
      </c>
      <c r="B122" s="296">
        <f>IF(OR(B107="Choose mgt fee",B107="Choose One!"),"",(B101+B102+B103+B104+B105) / -(B106+B107+B108))</f>
        <v>0.95458014886842735</v>
      </c>
      <c r="C122" s="296">
        <f>IF(OR(C107="Choose mgt fee",C107="Choose One!"),"",(C101+C102+C103+C104+C105) / -(C106+C107+C108))</f>
        <v>0.94601822478152864</v>
      </c>
      <c r="D122" s="296">
        <f>IF(OR(D107="Choose mgt fee",D107="Choose One!"),"",(D101+D102+D103+D104+D105) / -(D106+D107+D108))</f>
        <v>0.93752693499898077</v>
      </c>
      <c r="E122" s="296">
        <f>IF(OR(E107="Choose mgt fee",E107="Choose One!"),"",(E101+E102+E103+E104+E105) / -(E106+E107+E108))</f>
        <v>0.92910516269813637</v>
      </c>
      <c r="F122" s="900">
        <f>IF(OR(F107="Choose mgt fee",F107="Choose One!"),"",(F101+F102+F103+F104+F105) / -(F106+F107+F108))</f>
        <v>0.920753571403925</v>
      </c>
      <c r="G122" s="18"/>
      <c r="H122" s="18"/>
      <c r="I122" s="18"/>
      <c r="J122" s="18"/>
      <c r="K122" s="18"/>
      <c r="M122" s="2440"/>
      <c r="N122" s="2441"/>
    </row>
    <row r="123" spans="1:14" ht="13.15" customHeight="1">
      <c r="A123" s="471" t="s">
        <v>2745</v>
      </c>
      <c r="B123" s="2572" t="str">
        <f>IF('Part III-Sources of Funds'!$I$36="","",-FV('Part III-Sources of Funds'!$K$36/12,12,B110/12,K94))</f>
        <v/>
      </c>
      <c r="C123" s="2572" t="str">
        <f>IF('Part III-Sources of Funds'!$I$36="","",-FV('Part III-Sources of Funds'!$K$36/12,12,C110/12,B123))</f>
        <v/>
      </c>
      <c r="D123" s="2572" t="str">
        <f>IF('Part III-Sources of Funds'!$I$36="","",-FV('Part III-Sources of Funds'!$K$36/12,12,D110/12,C123))</f>
        <v/>
      </c>
      <c r="E123" s="2572" t="str">
        <f>IF('Part III-Sources of Funds'!$I$36="","",-FV('Part III-Sources of Funds'!$K$36/12,12,E110/12,D123))</f>
        <v/>
      </c>
      <c r="F123" s="2572" t="str">
        <f>IF('Part III-Sources of Funds'!$I$36="","",-FV('Part III-Sources of Funds'!$K$36/12,12,F110/12,E123))</f>
        <v/>
      </c>
      <c r="G123" s="18"/>
      <c r="H123" s="18"/>
      <c r="I123" s="18"/>
      <c r="J123" s="18"/>
      <c r="K123" s="18"/>
      <c r="M123" s="2440"/>
      <c r="N123" s="2441"/>
    </row>
    <row r="124" spans="1:14" ht="13.15" customHeight="1">
      <c r="A124" s="471" t="s">
        <v>2746</v>
      </c>
      <c r="B124" s="2569" t="str">
        <f>IF('Part III-Sources of Funds'!$I$37="","",-FV('Part III-Sources of Funds'!$K$37/12,12,B111/12,K95))</f>
        <v/>
      </c>
      <c r="C124" s="2569" t="str">
        <f>IF('Part III-Sources of Funds'!$I$37="","",-FV('Part III-Sources of Funds'!$K$37/12,12,C111/12,B124))</f>
        <v/>
      </c>
      <c r="D124" s="2569" t="str">
        <f>IF('Part III-Sources of Funds'!$I$37="","",-FV('Part III-Sources of Funds'!$K$37/12,12,D111/12,C124))</f>
        <v/>
      </c>
      <c r="E124" s="2569" t="str">
        <f>IF('Part III-Sources of Funds'!$I$37="","",-FV('Part III-Sources of Funds'!$K$37/12,12,E111/12,D124))</f>
        <v/>
      </c>
      <c r="F124" s="2569" t="str">
        <f>IF('Part III-Sources of Funds'!$I$37="","",-FV('Part III-Sources of Funds'!$K$37/12,12,F111/12,E124))</f>
        <v/>
      </c>
      <c r="G124" s="18"/>
      <c r="H124" s="18"/>
      <c r="I124" s="18"/>
      <c r="J124" s="18"/>
      <c r="K124" s="18"/>
      <c r="M124" s="2440"/>
      <c r="N124" s="2441"/>
    </row>
    <row r="125" spans="1:14" ht="13.15" customHeight="1">
      <c r="A125" s="471" t="s">
        <v>2747</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40"/>
      <c r="N125" s="2441"/>
    </row>
    <row r="126" spans="1:14" ht="13.15" customHeight="1">
      <c r="A126" s="22" t="s">
        <v>826</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40"/>
      <c r="N126" s="2441"/>
    </row>
    <row r="127" spans="1:14" ht="13.15" customHeight="1">
      <c r="A127" s="27" t="s">
        <v>1297</v>
      </c>
      <c r="B127" s="2571">
        <f>IF('Part III-Sources of Funds'!$I$41="","",-FV('Part III-Sources of Funds'!$K$41/12,12,B116/12,K98))</f>
        <v>0</v>
      </c>
      <c r="C127" s="2571">
        <f>IF('Part III-Sources of Funds'!$I$41="","",-FV('Part III-Sources of Funds'!$K$41/12,12,C116/12,B127))</f>
        <v>0</v>
      </c>
      <c r="D127" s="2571">
        <f>IF('Part III-Sources of Funds'!$I$41="","",-FV('Part III-Sources of Funds'!$K$41/12,12,D116/12,C127))</f>
        <v>0</v>
      </c>
      <c r="E127" s="2571">
        <f>IF('Part III-Sources of Funds'!$I$41="","",-FV('Part III-Sources of Funds'!$K$41/12,12,E116/12,D127))</f>
        <v>0</v>
      </c>
      <c r="F127" s="2571">
        <f>IF('Part III-Sources of Funds'!$I$41="","",-FV('Part III-Sources of Funds'!$K$41/12,12,F116/12,E127))</f>
        <v>0</v>
      </c>
      <c r="G127" s="18"/>
      <c r="H127" s="18"/>
      <c r="I127" s="18"/>
      <c r="J127" s="18"/>
      <c r="K127" s="18"/>
      <c r="M127" s="2443"/>
      <c r="N127" s="2444"/>
    </row>
    <row r="128" spans="1:14" ht="4.1500000000000004" customHeight="1"/>
    <row r="129" spans="1:14" ht="12" customHeight="1">
      <c r="A129" s="14" t="s">
        <v>598</v>
      </c>
      <c r="B129" s="14"/>
      <c r="G129" s="14" t="s">
        <v>1081</v>
      </c>
    </row>
    <row r="130" spans="1:14" ht="12" customHeight="1">
      <c r="B130" s="30"/>
    </row>
    <row r="131" spans="1:14" ht="210" customHeight="1">
      <c r="A131" s="2282" t="s">
        <v>4507</v>
      </c>
      <c r="B131" s="2573"/>
      <c r="C131" s="2573"/>
      <c r="D131" s="2573"/>
      <c r="E131" s="2573"/>
      <c r="F131" s="2574"/>
      <c r="G131" s="2575"/>
      <c r="H131" s="2576"/>
      <c r="I131" s="2576"/>
      <c r="J131" s="2576"/>
      <c r="K131" s="2577"/>
      <c r="M131" s="1445" t="s">
        <v>2854</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3gSAJkqqeJwd6jfzqh5Utnpy4UAUcNj/Z4Dbbt1/RN0tXK9N/bQlfhXCWTnsq3o4HIiXFcjY2nnIoc/KBsVDcw==" saltValue="457na06ys0GdDLvV8yS8K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2015-056 Lakeview Apartments, Fort Valley, Peach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4384</v>
      </c>
      <c r="L6" s="1723"/>
      <c r="M6" s="1724"/>
      <c r="N6" s="1238"/>
      <c r="P6" s="2578"/>
      <c r="Q6" s="2579"/>
    </row>
    <row r="7" spans="1:32" ht="12.6" customHeight="1">
      <c r="A7" s="138" t="s">
        <v>4035</v>
      </c>
      <c r="C7" s="139"/>
      <c r="D7" s="139"/>
      <c r="J7" s="1238"/>
      <c r="K7" s="1238"/>
      <c r="L7" s="1238"/>
      <c r="M7" s="1238"/>
      <c r="N7" s="1238"/>
    </row>
    <row r="8" spans="1:32" ht="24.6" customHeight="1">
      <c r="A8" s="2580" t="s">
        <v>1479</v>
      </c>
      <c r="B8" s="2581"/>
      <c r="C8" s="2581"/>
      <c r="D8" s="2581"/>
      <c r="E8" s="2581"/>
      <c r="F8" s="2581"/>
      <c r="G8" s="2581"/>
      <c r="H8" s="2581"/>
      <c r="I8" s="2581"/>
      <c r="J8" s="2581"/>
      <c r="K8" s="2581"/>
      <c r="L8" s="2581"/>
      <c r="M8" s="2581"/>
      <c r="N8" s="2581"/>
      <c r="O8" s="2581"/>
      <c r="P8" s="2581"/>
      <c r="Q8" s="2582"/>
      <c r="R8" s="1582" t="s">
        <v>2130</v>
      </c>
      <c r="S8" s="1351"/>
    </row>
    <row r="9" spans="1:32" ht="24.6" customHeight="1">
      <c r="A9" s="2583" t="s">
        <v>235</v>
      </c>
      <c r="B9" s="2584"/>
      <c r="C9" s="2584"/>
      <c r="D9" s="2584"/>
      <c r="E9" s="2584"/>
      <c r="F9" s="2584"/>
      <c r="G9" s="2584"/>
      <c r="H9" s="2584"/>
      <c r="I9" s="2584"/>
      <c r="J9" s="2584"/>
      <c r="K9" s="2584"/>
      <c r="L9" s="2584"/>
      <c r="M9" s="2584"/>
      <c r="N9" s="2584"/>
      <c r="O9" s="2584"/>
      <c r="P9" s="2584"/>
      <c r="Q9" s="2585"/>
      <c r="R9" s="1582"/>
      <c r="S9" s="1351"/>
    </row>
    <row r="10" spans="1:32" ht="24.6" customHeight="1">
      <c r="A10" s="2583" t="s">
        <v>1475</v>
      </c>
      <c r="B10" s="2584"/>
      <c r="C10" s="2584"/>
      <c r="D10" s="2584"/>
      <c r="E10" s="2584"/>
      <c r="F10" s="2584"/>
      <c r="G10" s="2584"/>
      <c r="H10" s="2584"/>
      <c r="I10" s="2584"/>
      <c r="J10" s="2584"/>
      <c r="K10" s="2584"/>
      <c r="L10" s="2584"/>
      <c r="M10" s="2584"/>
      <c r="N10" s="2584"/>
      <c r="O10" s="2584"/>
      <c r="P10" s="2584"/>
      <c r="Q10" s="2585"/>
      <c r="R10" s="1582"/>
      <c r="S10" s="1351"/>
    </row>
    <row r="11" spans="1:32" ht="24.6" customHeight="1">
      <c r="A11" s="2583" t="s">
        <v>1476</v>
      </c>
      <c r="B11" s="2584"/>
      <c r="C11" s="2584"/>
      <c r="D11" s="2584"/>
      <c r="E11" s="2584"/>
      <c r="F11" s="2584"/>
      <c r="G11" s="2584"/>
      <c r="H11" s="2584"/>
      <c r="I11" s="2584"/>
      <c r="J11" s="2584"/>
      <c r="K11" s="2584"/>
      <c r="L11" s="2584"/>
      <c r="M11" s="2584"/>
      <c r="N11" s="2584"/>
      <c r="O11" s="2584"/>
      <c r="P11" s="2584"/>
      <c r="Q11" s="2585"/>
      <c r="R11" s="1582"/>
      <c r="S11" s="1351"/>
    </row>
    <row r="12" spans="1:32" ht="24" customHeight="1">
      <c r="A12" s="2583" t="s">
        <v>1477</v>
      </c>
      <c r="B12" s="2584"/>
      <c r="C12" s="2584"/>
      <c r="D12" s="2584"/>
      <c r="E12" s="2584"/>
      <c r="F12" s="2584"/>
      <c r="G12" s="2584"/>
      <c r="H12" s="2584"/>
      <c r="I12" s="2584"/>
      <c r="J12" s="2584"/>
      <c r="K12" s="2584"/>
      <c r="L12" s="2584"/>
      <c r="M12" s="2584"/>
      <c r="N12" s="2584"/>
      <c r="O12" s="2584"/>
      <c r="P12" s="2584"/>
      <c r="Q12" s="2585"/>
      <c r="R12" s="1211"/>
      <c r="S12" s="1211"/>
    </row>
    <row r="13" spans="1:32" ht="11.25" customHeight="1">
      <c r="A13" s="2583" t="s">
        <v>1478</v>
      </c>
      <c r="B13" s="2584"/>
      <c r="C13" s="2584"/>
      <c r="D13" s="2584"/>
      <c r="E13" s="2584"/>
      <c r="F13" s="2584"/>
      <c r="G13" s="2584"/>
      <c r="H13" s="2584"/>
      <c r="I13" s="2584"/>
      <c r="J13" s="2584"/>
      <c r="K13" s="2584"/>
      <c r="L13" s="2584"/>
      <c r="M13" s="2584"/>
      <c r="N13" s="2584"/>
      <c r="O13" s="2584"/>
      <c r="P13" s="2584"/>
      <c r="Q13" s="2585"/>
      <c r="R13" s="1211"/>
      <c r="S13" s="1211"/>
    </row>
    <row r="14" spans="1:32" ht="11.25" customHeight="1">
      <c r="A14" s="2583" t="s">
        <v>1480</v>
      </c>
      <c r="B14" s="2584"/>
      <c r="C14" s="2584"/>
      <c r="D14" s="2584"/>
      <c r="E14" s="2584"/>
      <c r="F14" s="2584"/>
      <c r="G14" s="2584"/>
      <c r="H14" s="2584"/>
      <c r="I14" s="2584"/>
      <c r="J14" s="2584"/>
      <c r="K14" s="2584"/>
      <c r="L14" s="2584"/>
      <c r="M14" s="2584"/>
      <c r="N14" s="2584"/>
      <c r="O14" s="2584"/>
      <c r="P14" s="2584"/>
      <c r="Q14" s="2585"/>
    </row>
    <row r="15" spans="1:32" ht="11.25" customHeight="1">
      <c r="A15" s="2583" t="s">
        <v>2117</v>
      </c>
      <c r="B15" s="2584"/>
      <c r="C15" s="2584"/>
      <c r="D15" s="2584"/>
      <c r="E15" s="2584"/>
      <c r="F15" s="2584"/>
      <c r="G15" s="2584"/>
      <c r="H15" s="2584"/>
      <c r="I15" s="2584"/>
      <c r="J15" s="2584"/>
      <c r="K15" s="2584"/>
      <c r="L15" s="2584"/>
      <c r="M15" s="2584"/>
      <c r="N15" s="2584"/>
      <c r="O15" s="2584"/>
      <c r="P15" s="2584"/>
      <c r="Q15" s="2585"/>
      <c r="R15" s="1582" t="s">
        <v>2130</v>
      </c>
      <c r="S15" s="1583"/>
    </row>
    <row r="16" spans="1:32" ht="11.25" customHeight="1">
      <c r="A16" s="2583" t="s">
        <v>2118</v>
      </c>
      <c r="B16" s="2584"/>
      <c r="C16" s="2584"/>
      <c r="D16" s="2584"/>
      <c r="E16" s="2584"/>
      <c r="F16" s="2584"/>
      <c r="G16" s="2584"/>
      <c r="H16" s="2584"/>
      <c r="I16" s="2584"/>
      <c r="J16" s="2584"/>
      <c r="K16" s="2584"/>
      <c r="L16" s="2584"/>
      <c r="M16" s="2584"/>
      <c r="N16" s="2584"/>
      <c r="O16" s="2584"/>
      <c r="P16" s="2584"/>
      <c r="Q16" s="2585"/>
      <c r="R16" s="1582"/>
      <c r="S16" s="1583"/>
    </row>
    <row r="17" spans="1:19" ht="11.25" customHeight="1">
      <c r="A17" s="2583" t="s">
        <v>2119</v>
      </c>
      <c r="B17" s="2584"/>
      <c r="C17" s="2584"/>
      <c r="D17" s="2584"/>
      <c r="E17" s="2584"/>
      <c r="F17" s="2584"/>
      <c r="G17" s="2584"/>
      <c r="H17" s="2584"/>
      <c r="I17" s="2584"/>
      <c r="J17" s="2584"/>
      <c r="K17" s="2584"/>
      <c r="L17" s="2584"/>
      <c r="M17" s="2584"/>
      <c r="N17" s="2584"/>
      <c r="O17" s="2584"/>
      <c r="P17" s="2584"/>
      <c r="Q17" s="2585"/>
      <c r="R17" s="1582"/>
      <c r="S17" s="1583"/>
    </row>
    <row r="18" spans="1:19" ht="11.25" customHeight="1">
      <c r="A18" s="2583" t="s">
        <v>2120</v>
      </c>
      <c r="B18" s="2584"/>
      <c r="C18" s="2584"/>
      <c r="D18" s="2584"/>
      <c r="E18" s="2584"/>
      <c r="F18" s="2584"/>
      <c r="G18" s="2584"/>
      <c r="H18" s="2584"/>
      <c r="I18" s="2584"/>
      <c r="J18" s="2584"/>
      <c r="K18" s="2584"/>
      <c r="L18" s="2584"/>
      <c r="M18" s="2584"/>
      <c r="N18" s="2584"/>
      <c r="O18" s="2584"/>
      <c r="P18" s="2584"/>
      <c r="Q18" s="2585"/>
      <c r="R18" s="1582"/>
      <c r="S18" s="1583"/>
    </row>
    <row r="19" spans="1:19" ht="11.25" customHeight="1">
      <c r="A19" s="2583" t="s">
        <v>2121</v>
      </c>
      <c r="B19" s="2584"/>
      <c r="C19" s="2584"/>
      <c r="D19" s="2584"/>
      <c r="E19" s="2584"/>
      <c r="F19" s="2584"/>
      <c r="G19" s="2584"/>
      <c r="H19" s="2584"/>
      <c r="I19" s="2584"/>
      <c r="J19" s="2584"/>
      <c r="K19" s="2584"/>
      <c r="L19" s="2584"/>
      <c r="M19" s="2584"/>
      <c r="N19" s="2584"/>
      <c r="O19" s="2584"/>
      <c r="P19" s="2584"/>
      <c r="Q19" s="2585"/>
      <c r="R19" s="1582"/>
      <c r="S19" s="1583"/>
    </row>
    <row r="20" spans="1:19" ht="11.25" customHeight="1">
      <c r="A20" s="2583" t="s">
        <v>2122</v>
      </c>
      <c r="B20" s="2584"/>
      <c r="C20" s="2584"/>
      <c r="D20" s="2584"/>
      <c r="E20" s="2584"/>
      <c r="F20" s="2584"/>
      <c r="G20" s="2584"/>
      <c r="H20" s="2584"/>
      <c r="I20" s="2584"/>
      <c r="J20" s="2584"/>
      <c r="K20" s="2584"/>
      <c r="L20" s="2584"/>
      <c r="M20" s="2584"/>
      <c r="N20" s="2584"/>
      <c r="O20" s="2584"/>
      <c r="P20" s="2584"/>
      <c r="Q20" s="2585"/>
      <c r="R20" s="1582"/>
      <c r="S20" s="1583"/>
    </row>
    <row r="21" spans="1:19" ht="11.25" customHeight="1">
      <c r="A21" s="2583" t="s">
        <v>2123</v>
      </c>
      <c r="B21" s="2584"/>
      <c r="C21" s="2584"/>
      <c r="D21" s="2584"/>
      <c r="E21" s="2584"/>
      <c r="F21" s="2584"/>
      <c r="G21" s="2584"/>
      <c r="H21" s="2584"/>
      <c r="I21" s="2584"/>
      <c r="J21" s="2584"/>
      <c r="K21" s="2584"/>
      <c r="L21" s="2584"/>
      <c r="M21" s="2584"/>
      <c r="N21" s="2584"/>
      <c r="O21" s="2584"/>
      <c r="P21" s="2584"/>
      <c r="Q21" s="2585"/>
    </row>
    <row r="22" spans="1:19" ht="11.25" customHeight="1">
      <c r="A22" s="2583" t="s">
        <v>2124</v>
      </c>
      <c r="B22" s="2584"/>
      <c r="C22" s="2584"/>
      <c r="D22" s="2584"/>
      <c r="E22" s="2584"/>
      <c r="F22" s="2584"/>
      <c r="G22" s="2584"/>
      <c r="H22" s="2584"/>
      <c r="I22" s="2584"/>
      <c r="J22" s="2584"/>
      <c r="K22" s="2584"/>
      <c r="L22" s="2584"/>
      <c r="M22" s="2584"/>
      <c r="N22" s="2584"/>
      <c r="O22" s="2584"/>
      <c r="P22" s="2584"/>
      <c r="Q22" s="2585"/>
      <c r="R22" s="1582" t="s">
        <v>2130</v>
      </c>
      <c r="S22" s="1583"/>
    </row>
    <row r="23" spans="1:19" ht="11.25" customHeight="1">
      <c r="A23" s="2583" t="s">
        <v>2125</v>
      </c>
      <c r="B23" s="2584"/>
      <c r="C23" s="2584"/>
      <c r="D23" s="2584"/>
      <c r="E23" s="2584"/>
      <c r="F23" s="2584"/>
      <c r="G23" s="2584"/>
      <c r="H23" s="2584"/>
      <c r="I23" s="2584"/>
      <c r="J23" s="2584"/>
      <c r="K23" s="2584"/>
      <c r="L23" s="2584"/>
      <c r="M23" s="2584"/>
      <c r="N23" s="2584"/>
      <c r="O23" s="2584"/>
      <c r="P23" s="2584"/>
      <c r="Q23" s="2585"/>
      <c r="R23" s="1582"/>
      <c r="S23" s="1583"/>
    </row>
    <row r="24" spans="1:19" ht="11.25" customHeight="1">
      <c r="A24" s="2583" t="s">
        <v>2126</v>
      </c>
      <c r="B24" s="2584"/>
      <c r="C24" s="2584"/>
      <c r="D24" s="2584"/>
      <c r="E24" s="2584"/>
      <c r="F24" s="2584"/>
      <c r="G24" s="2584"/>
      <c r="H24" s="2584"/>
      <c r="I24" s="2584"/>
      <c r="J24" s="2584"/>
      <c r="K24" s="2584"/>
      <c r="L24" s="2584"/>
      <c r="M24" s="2584"/>
      <c r="N24" s="2584"/>
      <c r="O24" s="2584"/>
      <c r="P24" s="2584"/>
      <c r="Q24" s="2585"/>
      <c r="R24" s="1582"/>
      <c r="S24" s="1583"/>
    </row>
    <row r="25" spans="1:19" ht="11.25" customHeight="1">
      <c r="A25" s="2583" t="s">
        <v>2127</v>
      </c>
      <c r="B25" s="2584"/>
      <c r="C25" s="2584"/>
      <c r="D25" s="2584"/>
      <c r="E25" s="2584"/>
      <c r="F25" s="2584"/>
      <c r="G25" s="2584"/>
      <c r="H25" s="2584"/>
      <c r="I25" s="2584"/>
      <c r="J25" s="2584"/>
      <c r="K25" s="2584"/>
      <c r="L25" s="2584"/>
      <c r="M25" s="2584"/>
      <c r="N25" s="2584"/>
      <c r="O25" s="2584"/>
      <c r="P25" s="2584"/>
      <c r="Q25" s="2585"/>
      <c r="R25" s="1582"/>
      <c r="S25" s="1583"/>
    </row>
    <row r="26" spans="1:19" ht="11.25" customHeight="1">
      <c r="A26" s="2583" t="s">
        <v>2128</v>
      </c>
      <c r="B26" s="2584"/>
      <c r="C26" s="2584"/>
      <c r="D26" s="2584"/>
      <c r="E26" s="2584"/>
      <c r="F26" s="2584"/>
      <c r="G26" s="2584"/>
      <c r="H26" s="2584"/>
      <c r="I26" s="2584"/>
      <c r="J26" s="2584"/>
      <c r="K26" s="2584"/>
      <c r="L26" s="2584"/>
      <c r="M26" s="2584"/>
      <c r="N26" s="2584"/>
      <c r="O26" s="2584"/>
      <c r="P26" s="2584"/>
      <c r="Q26" s="2585"/>
      <c r="R26" s="1582"/>
      <c r="S26" s="1583"/>
    </row>
    <row r="27" spans="1:19" ht="11.25" customHeight="1">
      <c r="A27" s="2586" t="s">
        <v>2129</v>
      </c>
      <c r="B27" s="2587"/>
      <c r="C27" s="2587"/>
      <c r="D27" s="2587"/>
      <c r="E27" s="2587"/>
      <c r="F27" s="2587"/>
      <c r="G27" s="2587"/>
      <c r="H27" s="2587"/>
      <c r="I27" s="2587"/>
      <c r="J27" s="2587"/>
      <c r="K27" s="2587"/>
      <c r="L27" s="2587"/>
      <c r="M27" s="2587"/>
      <c r="N27" s="2587"/>
      <c r="O27" s="2587"/>
      <c r="P27" s="2587"/>
      <c r="Q27" s="2588"/>
      <c r="R27" s="1582"/>
      <c r="S27" s="1583"/>
    </row>
    <row r="28" spans="1:19" ht="6" customHeight="1"/>
    <row r="29" spans="1:19" ht="13.9" customHeight="1">
      <c r="A29" s="140">
        <v>1</v>
      </c>
      <c r="B29" s="141" t="s">
        <v>2789</v>
      </c>
      <c r="C29" s="142"/>
      <c r="D29" s="91"/>
      <c r="E29" s="91"/>
      <c r="F29" s="91"/>
      <c r="G29" s="91"/>
      <c r="I29" s="787"/>
      <c r="J29" s="787"/>
      <c r="K29" s="787"/>
      <c r="L29" s="1238"/>
      <c r="M29" s="1238"/>
      <c r="O29" s="143" t="s">
        <v>1961</v>
      </c>
      <c r="P29" s="1640"/>
      <c r="Q29" s="1672"/>
    </row>
    <row r="30" spans="1:19" ht="3" customHeight="1"/>
    <row r="31" spans="1:19" ht="12" customHeight="1">
      <c r="B31" s="154" t="s">
        <v>2081</v>
      </c>
      <c r="C31" s="53" t="s">
        <v>3807</v>
      </c>
      <c r="E31" s="1275"/>
      <c r="F31" s="1275"/>
      <c r="G31" s="1275"/>
      <c r="H31" s="1275"/>
      <c r="I31" s="42"/>
      <c r="J31" s="32"/>
      <c r="K31" s="42"/>
      <c r="L31" s="32"/>
      <c r="M31" s="32"/>
      <c r="O31" s="69" t="s">
        <v>625</v>
      </c>
      <c r="P31" s="1287" t="s">
        <v>3424</v>
      </c>
      <c r="Q31" s="2589"/>
    </row>
    <row r="32" spans="1:19" ht="12" customHeight="1">
      <c r="B32" s="47" t="s">
        <v>2084</v>
      </c>
      <c r="C32" s="53" t="s">
        <v>756</v>
      </c>
      <c r="E32" s="1275"/>
      <c r="F32" s="1275"/>
      <c r="G32" s="1275"/>
      <c r="H32" s="1275"/>
      <c r="J32" s="1692" t="s">
        <v>2259</v>
      </c>
      <c r="K32" s="1693"/>
      <c r="L32" s="1693"/>
      <c r="M32" s="1693"/>
      <c r="N32" s="1694"/>
      <c r="O32" s="69"/>
      <c r="P32" s="69"/>
      <c r="Q32" s="69"/>
    </row>
    <row r="33" spans="1:295" ht="11.25" customHeight="1">
      <c r="B33" s="70" t="s">
        <v>1959</v>
      </c>
      <c r="C33" s="70"/>
      <c r="D33" s="70"/>
      <c r="E33" s="70"/>
      <c r="F33" s="70"/>
      <c r="G33" s="787"/>
      <c r="H33" s="787"/>
      <c r="I33" s="787"/>
      <c r="J33" s="787"/>
      <c r="K33" s="1238"/>
      <c r="L33" s="1238"/>
      <c r="M33" s="1238"/>
      <c r="N33" s="1238"/>
      <c r="O33" s="1238"/>
      <c r="P33" s="1274"/>
      <c r="S33" s="173"/>
      <c r="T33" s="173"/>
    </row>
    <row r="34" spans="1:295" ht="36" customHeight="1">
      <c r="A34" s="1596" t="s">
        <v>4534</v>
      </c>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2883</v>
      </c>
      <c r="C38" s="4"/>
      <c r="D38" s="4"/>
      <c r="E38" s="1244"/>
      <c r="G38" s="860"/>
      <c r="H38" s="860"/>
      <c r="I38" s="860"/>
      <c r="J38" s="42"/>
      <c r="L38" s="861"/>
      <c r="M38" s="861"/>
      <c r="N38" s="861"/>
      <c r="O38" s="143" t="s">
        <v>1961</v>
      </c>
      <c r="P38" s="1640"/>
      <c r="Q38" s="1672"/>
    </row>
    <row r="39" spans="1:295" ht="11.25" customHeight="1">
      <c r="A39" s="1703" t="s">
        <v>4039</v>
      </c>
      <c r="B39" s="1703"/>
      <c r="C39" s="1703"/>
      <c r="D39" s="1703"/>
      <c r="E39" s="1703"/>
      <c r="F39" s="1703"/>
      <c r="G39" s="1736" t="s">
        <v>2887</v>
      </c>
      <c r="H39" s="1737"/>
      <c r="I39" s="876"/>
      <c r="J39" s="42"/>
      <c r="K39" s="1602" t="s">
        <v>4037</v>
      </c>
      <c r="L39" s="1603"/>
      <c r="M39" s="1603"/>
      <c r="N39" s="1604"/>
    </row>
    <row r="40" spans="1:295" ht="11.25" customHeight="1">
      <c r="A40" s="1703"/>
      <c r="B40" s="1703"/>
      <c r="C40" s="1703"/>
      <c r="D40" s="1703"/>
      <c r="E40" s="1703"/>
      <c r="F40" s="1703"/>
      <c r="G40" s="1734" t="s">
        <v>359</v>
      </c>
      <c r="H40" s="1735"/>
      <c r="I40" s="876"/>
      <c r="J40" s="42"/>
      <c r="K40" s="1599" t="s">
        <v>4038</v>
      </c>
      <c r="L40" s="1600"/>
      <c r="M40" s="1600"/>
      <c r="N40" s="1601"/>
      <c r="P40" s="615" t="s">
        <v>2921</v>
      </c>
      <c r="Q40" s="1287" t="s">
        <v>3421</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2886</v>
      </c>
      <c r="E42" s="35"/>
      <c r="F42" s="878" t="s">
        <v>4041</v>
      </c>
      <c r="G42" s="1725" t="s">
        <v>4040</v>
      </c>
      <c r="H42" s="1725"/>
      <c r="I42" s="1725"/>
      <c r="J42" s="35"/>
      <c r="K42" s="878" t="s">
        <v>4041</v>
      </c>
      <c r="L42" s="1725" t="s">
        <v>4040</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3814</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704" t="s">
        <v>3816</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3809</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729" t="s">
        <v>3827</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611">
        <f>'Part IV-Uses of Funds'!$G$130</f>
        <v>15780131</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727" t="s">
        <v>4042</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7" t="s">
        <v>592</v>
      </c>
      <c r="E57" s="1188">
        <v>0</v>
      </c>
      <c r="F57" s="1189">
        <f>'Part VI-Revenues &amp; Expenses'!H$108</f>
        <v>10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10 units = </v>
      </c>
      <c r="I57" s="1191">
        <f>F57*G57</f>
        <v>889480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615" t="s">
        <v>3071</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14</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14 units = </v>
      </c>
      <c r="I58" s="1191">
        <f>F58*G58</f>
        <v>1719522</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34</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34 units = </v>
      </c>
      <c r="I59" s="1191">
        <f>F59*G59</f>
        <v>5294446</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26</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26 units = </v>
      </c>
      <c r="I60" s="1191">
        <f>F60*G60</f>
        <v>5284344</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16227932</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12</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12 units = </v>
      </c>
      <c r="I61" s="1191">
        <f>F61*G61</f>
        <v>3040140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96</v>
      </c>
      <c r="G62" s="879"/>
      <c r="H62" s="849"/>
      <c r="I62" s="850">
        <f>SUM(I57:I61)</f>
        <v>16227932</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18" t="s">
        <v>2917</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96</v>
      </c>
      <c r="G71" s="370"/>
      <c r="H71" s="859"/>
      <c r="I71" s="858">
        <f>I48+I55+I62+I69</f>
        <v>16227932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8"/>
      <c r="M72" s="1238"/>
      <c r="N72" s="1238"/>
      <c r="O72" s="1238"/>
      <c r="P72" s="1238"/>
      <c r="Q72" s="1274"/>
    </row>
    <row r="73" spans="1:295" ht="10.5" customHeight="1">
      <c r="A73" s="1596" t="s">
        <v>4436</v>
      </c>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591" t="str">
        <f>'Part I-Project Information'!$H$67</f>
        <v>Family</v>
      </c>
      <c r="L75" s="2592"/>
      <c r="M75" s="2593"/>
      <c r="O75" s="143" t="s">
        <v>1961</v>
      </c>
      <c r="P75" s="1640"/>
      <c r="Q75" s="1672"/>
    </row>
    <row r="76" spans="1:295" ht="10.5" customHeight="1">
      <c r="B76" s="101" t="s">
        <v>1959</v>
      </c>
      <c r="D76" s="101"/>
      <c r="E76" s="101"/>
      <c r="F76" s="101"/>
      <c r="G76" s="101"/>
      <c r="H76" s="40"/>
      <c r="I76" s="787"/>
      <c r="J76" s="787"/>
      <c r="K76" s="149" t="s">
        <v>1960</v>
      </c>
      <c r="L76" s="1238"/>
      <c r="M76" s="1238"/>
      <c r="N76" s="1238"/>
      <c r="O76" s="1238"/>
      <c r="P76" s="1238"/>
      <c r="Q76" s="1274"/>
    </row>
    <row r="77" spans="1:295" ht="10.5" customHeight="1">
      <c r="A77" s="1596" t="s">
        <v>4535</v>
      </c>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2790</v>
      </c>
      <c r="C79" s="121"/>
      <c r="D79" s="1244"/>
      <c r="E79" s="1244"/>
      <c r="F79" s="1244"/>
      <c r="G79" s="1244"/>
      <c r="H79" s="1244"/>
      <c r="I79" s="1244"/>
      <c r="J79" s="1244"/>
      <c r="K79" s="1244"/>
      <c r="L79" s="1244"/>
      <c r="M79" s="1244"/>
      <c r="O79" s="143" t="s">
        <v>1961</v>
      </c>
      <c r="P79" s="1640"/>
      <c r="Q79" s="1672"/>
    </row>
    <row r="80" spans="1:295" ht="1.5" customHeight="1"/>
    <row r="81" spans="1:31" ht="10.5" customHeight="1">
      <c r="B81" s="914" t="s">
        <v>2081</v>
      </c>
      <c r="C81" s="1552" t="s">
        <v>3828</v>
      </c>
      <c r="D81" s="1695"/>
      <c r="E81" s="1695"/>
      <c r="F81" s="1695"/>
      <c r="G81" s="1695"/>
      <c r="H81" s="1695"/>
      <c r="I81" s="1695"/>
      <c r="J81" s="1695"/>
      <c r="K81" s="1695"/>
      <c r="L81" s="1695"/>
      <c r="M81" s="1695"/>
      <c r="O81" s="155"/>
      <c r="P81" s="1287" t="s">
        <v>4424</v>
      </c>
    </row>
    <row r="82" spans="1:31" ht="10.5" customHeight="1">
      <c r="B82" s="121" t="s">
        <v>2084</v>
      </c>
      <c r="C82" s="1275" t="s">
        <v>2894</v>
      </c>
      <c r="D82" s="1275"/>
      <c r="E82" s="1275"/>
      <c r="F82" s="1275"/>
      <c r="G82" s="1275"/>
      <c r="H82" s="1275"/>
      <c r="I82" s="1275"/>
      <c r="J82" s="1275"/>
      <c r="K82" s="1275"/>
      <c r="L82" s="1275"/>
      <c r="M82" s="1275"/>
      <c r="O82" s="1275"/>
      <c r="P82" s="1275"/>
      <c r="Q82" s="1275"/>
    </row>
    <row r="83" spans="1:31" ht="10.9" customHeight="1">
      <c r="A83" s="156"/>
      <c r="B83" s="69" t="s">
        <v>1825</v>
      </c>
      <c r="C83" s="1275" t="s">
        <v>4226</v>
      </c>
      <c r="E83" s="1239"/>
      <c r="F83" s="1239"/>
      <c r="G83" s="1239"/>
      <c r="H83" s="32"/>
      <c r="I83" s="36" t="s">
        <v>2875</v>
      </c>
      <c r="J83" s="1590" t="s">
        <v>4483</v>
      </c>
      <c r="K83" s="1591"/>
      <c r="L83" s="1591"/>
      <c r="M83" s="1591"/>
      <c r="N83" s="1591"/>
      <c r="O83" s="1591"/>
      <c r="P83" s="1591"/>
      <c r="Q83" s="1592"/>
    </row>
    <row r="84" spans="1:31" ht="10.9" customHeight="1">
      <c r="A84" s="156"/>
      <c r="B84" s="69" t="s">
        <v>1826</v>
      </c>
      <c r="C84" s="1275" t="s">
        <v>1899</v>
      </c>
      <c r="E84" s="1239"/>
      <c r="F84" s="1239"/>
      <c r="G84" s="1239"/>
      <c r="H84" s="32"/>
      <c r="I84" s="36" t="s">
        <v>2875</v>
      </c>
      <c r="J84" s="1587"/>
      <c r="K84" s="1588"/>
      <c r="L84" s="1588"/>
      <c r="M84" s="1588"/>
      <c r="N84" s="1588"/>
      <c r="O84" s="1588"/>
      <c r="P84" s="1588"/>
      <c r="Q84" s="1589"/>
    </row>
    <row r="85" spans="1:31" ht="10.9" customHeight="1">
      <c r="A85" s="156"/>
      <c r="B85" s="69" t="s">
        <v>1827</v>
      </c>
      <c r="C85" s="1275" t="s">
        <v>3829</v>
      </c>
      <c r="E85" s="1239"/>
      <c r="F85" s="1239"/>
      <c r="G85" s="1239"/>
      <c r="H85" s="32"/>
      <c r="I85" s="36" t="s">
        <v>2875</v>
      </c>
      <c r="J85" s="1587"/>
      <c r="K85" s="1588"/>
      <c r="L85" s="1588"/>
      <c r="M85" s="1588"/>
      <c r="N85" s="1588"/>
      <c r="O85" s="1588"/>
      <c r="P85" s="1588"/>
      <c r="Q85" s="1589"/>
    </row>
    <row r="86" spans="1:31" ht="10.9" customHeight="1">
      <c r="A86" s="156"/>
      <c r="B86" s="531" t="s">
        <v>2477</v>
      </c>
      <c r="C86" s="1275" t="s">
        <v>3830</v>
      </c>
      <c r="E86" s="1239"/>
      <c r="I86" s="36" t="s">
        <v>2875</v>
      </c>
      <c r="J86" s="1584"/>
      <c r="K86" s="1585"/>
      <c r="L86" s="1585"/>
      <c r="M86" s="1585"/>
      <c r="N86" s="1585"/>
      <c r="O86" s="1585"/>
      <c r="P86" s="1585"/>
      <c r="Q86" s="1586"/>
    </row>
    <row r="87" spans="1:31" ht="10.9" customHeight="1">
      <c r="A87" s="156"/>
      <c r="B87" s="121" t="s">
        <v>789</v>
      </c>
      <c r="C87" s="40" t="s">
        <v>4366</v>
      </c>
      <c r="D87" s="1275"/>
      <c r="E87" s="1239"/>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593"/>
      <c r="M88" s="1594"/>
      <c r="N88" s="1594"/>
      <c r="O88" s="1594"/>
      <c r="P88" s="1595"/>
      <c r="Q88" s="2594"/>
    </row>
    <row r="89" spans="1:31" ht="10.5" customHeight="1">
      <c r="B89" s="101" t="s">
        <v>1959</v>
      </c>
      <c r="D89" s="101"/>
      <c r="E89" s="101"/>
      <c r="F89" s="101"/>
      <c r="G89" s="101"/>
      <c r="H89" s="40"/>
      <c r="I89" s="787"/>
      <c r="J89" s="787"/>
      <c r="K89" s="149" t="s">
        <v>1960</v>
      </c>
      <c r="L89" s="1238"/>
      <c r="M89" s="1238"/>
      <c r="N89" s="1238"/>
      <c r="O89" s="1238"/>
      <c r="P89" s="1238"/>
      <c r="Q89" s="1274"/>
    </row>
    <row r="90" spans="1:31" ht="10.5" customHeight="1">
      <c r="A90" s="1596"/>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2791</v>
      </c>
      <c r="C92" s="1246"/>
      <c r="D92" s="1244"/>
      <c r="E92" s="1244"/>
      <c r="F92" s="1244"/>
      <c r="G92" s="1244"/>
      <c r="H92" s="1244"/>
      <c r="I92" s="1244"/>
      <c r="J92" s="1244"/>
      <c r="K92" s="1244"/>
      <c r="O92" s="143" t="s">
        <v>1961</v>
      </c>
      <c r="P92" s="1640"/>
      <c r="Q92" s="1672"/>
    </row>
    <row r="93" spans="1:31" ht="3" customHeight="1"/>
    <row r="94" spans="1:31" ht="12" customHeight="1">
      <c r="B94" s="47" t="s">
        <v>2081</v>
      </c>
      <c r="C94" s="157" t="s">
        <v>2581</v>
      </c>
      <c r="D94" s="145"/>
      <c r="E94" s="145"/>
      <c r="F94" s="145"/>
      <c r="G94" s="145"/>
      <c r="H94" s="145"/>
      <c r="I94" s="42"/>
      <c r="J94" s="42"/>
      <c r="K94" s="42"/>
      <c r="L94" s="531" t="s">
        <v>2081</v>
      </c>
      <c r="M94" s="1660" t="s">
        <v>4425</v>
      </c>
      <c r="N94" s="1661"/>
      <c r="O94" s="1661"/>
      <c r="P94" s="1696"/>
      <c r="Q94" s="631"/>
    </row>
    <row r="95" spans="1:31" ht="12" customHeight="1">
      <c r="B95" s="47" t="s">
        <v>2084</v>
      </c>
      <c r="C95" s="53" t="s">
        <v>2136</v>
      </c>
      <c r="D95" s="145"/>
      <c r="E95" s="145"/>
      <c r="F95" s="145"/>
      <c r="L95" s="531" t="s">
        <v>2084</v>
      </c>
      <c r="M95" s="1697" t="s">
        <v>4482</v>
      </c>
      <c r="N95" s="1698"/>
      <c r="O95" s="1698"/>
      <c r="P95" s="1699"/>
      <c r="Q95" s="632"/>
    </row>
    <row r="96" spans="1:31" ht="12" customHeight="1">
      <c r="B96" s="47" t="s">
        <v>789</v>
      </c>
      <c r="C96" s="53" t="s">
        <v>3263</v>
      </c>
      <c r="D96" s="145"/>
      <c r="E96" s="145"/>
      <c r="F96" s="145"/>
      <c r="L96" s="531" t="s">
        <v>789</v>
      </c>
      <c r="M96" s="1731" t="s">
        <v>4437</v>
      </c>
      <c r="N96" s="1732"/>
      <c r="O96" s="1732"/>
      <c r="P96" s="1733"/>
      <c r="Q96" s="632"/>
    </row>
    <row r="97" spans="1:31" ht="12" customHeight="1">
      <c r="B97" s="47" t="s">
        <v>2216</v>
      </c>
      <c r="C97" s="53" t="s">
        <v>2582</v>
      </c>
      <c r="D97" s="145"/>
      <c r="E97" s="145"/>
      <c r="F97" s="145"/>
      <c r="L97" s="531" t="s">
        <v>2216</v>
      </c>
      <c r="M97" s="1637" t="s">
        <v>4438</v>
      </c>
      <c r="N97" s="1638"/>
      <c r="O97" s="1638"/>
      <c r="P97" s="1639"/>
      <c r="Q97" s="633"/>
    </row>
    <row r="98" spans="1:31" ht="12" customHeight="1">
      <c r="B98" s="154" t="s">
        <v>1823</v>
      </c>
      <c r="C98" s="1616" t="s">
        <v>4076</v>
      </c>
      <c r="D98" s="1616"/>
      <c r="E98" s="1616"/>
      <c r="F98" s="1616"/>
      <c r="G98" s="1616"/>
      <c r="H98" s="1616"/>
      <c r="I98" s="1616"/>
      <c r="J98" s="1616"/>
      <c r="K98" s="1616"/>
      <c r="L98" s="1616"/>
      <c r="M98" s="1616"/>
      <c r="N98" s="1616"/>
      <c r="O98" s="1616"/>
      <c r="P98" s="1616"/>
      <c r="Q98" s="1616"/>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t="s">
        <v>4439</v>
      </c>
      <c r="E100" s="1714" t="s">
        <v>4440</v>
      </c>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3421</v>
      </c>
      <c r="Q102" s="2595"/>
    </row>
    <row r="103" spans="1:31" ht="11.25" customHeight="1">
      <c r="B103" s="153" t="s">
        <v>1959</v>
      </c>
      <c r="D103" s="153"/>
      <c r="E103" s="153"/>
      <c r="F103" s="153"/>
      <c r="G103" s="153"/>
      <c r="H103" s="40"/>
      <c r="I103" s="787"/>
      <c r="J103" s="787"/>
      <c r="K103" s="787"/>
      <c r="L103" s="1238"/>
      <c r="M103" s="1238"/>
      <c r="N103" s="1238"/>
      <c r="O103" s="1238"/>
      <c r="P103" s="1238"/>
      <c r="Q103" s="1274"/>
    </row>
    <row r="104" spans="1:31" ht="44.25" customHeight="1">
      <c r="A104" s="1596" t="s">
        <v>4441</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2792</v>
      </c>
      <c r="C107" s="1246"/>
      <c r="D107" s="1244"/>
      <c r="E107" s="1244"/>
      <c r="F107" s="1244"/>
      <c r="G107" s="1244"/>
      <c r="H107" s="1244"/>
      <c r="I107" s="1244"/>
      <c r="J107" s="1244"/>
      <c r="K107" s="1244"/>
      <c r="L107" s="1244"/>
      <c r="M107" s="1244"/>
      <c r="O107" s="143" t="s">
        <v>1961</v>
      </c>
      <c r="P107" s="1640"/>
      <c r="Q107" s="1672"/>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t="s">
        <v>3421</v>
      </c>
      <c r="Q109" s="631"/>
    </row>
    <row r="110" spans="1:31" ht="12" customHeight="1">
      <c r="B110" s="47" t="s">
        <v>2084</v>
      </c>
      <c r="C110" s="53" t="s">
        <v>1369</v>
      </c>
      <c r="D110" s="53"/>
      <c r="E110" s="53"/>
      <c r="F110" s="53"/>
      <c r="G110" s="53"/>
      <c r="H110" s="53"/>
      <c r="I110" s="53"/>
      <c r="J110" s="53"/>
      <c r="K110" s="53"/>
      <c r="L110" s="1275"/>
      <c r="M110" s="1275"/>
      <c r="O110" s="531" t="s">
        <v>2084</v>
      </c>
      <c r="P110" s="1292" t="s">
        <v>3421</v>
      </c>
      <c r="Q110" s="632"/>
    </row>
    <row r="111" spans="1:31" ht="12" customHeight="1">
      <c r="A111" s="144"/>
      <c r="B111" s="36"/>
      <c r="D111" s="39" t="s">
        <v>578</v>
      </c>
      <c r="E111" s="42"/>
      <c r="F111" s="42"/>
      <c r="G111" s="42"/>
      <c r="H111" s="42"/>
      <c r="I111" s="42"/>
      <c r="L111" s="69" t="s">
        <v>579</v>
      </c>
      <c r="M111" s="1593" t="s">
        <v>4425</v>
      </c>
      <c r="N111" s="1594"/>
      <c r="O111" s="1594"/>
      <c r="P111" s="1721"/>
      <c r="Q111" s="632"/>
    </row>
    <row r="112" spans="1:31">
      <c r="A112" s="156"/>
      <c r="B112" s="787"/>
      <c r="C112" s="162" t="s">
        <v>1825</v>
      </c>
      <c r="D112" s="1568" t="s">
        <v>4172</v>
      </c>
      <c r="E112" s="1702"/>
      <c r="F112" s="1702"/>
      <c r="G112" s="1702"/>
      <c r="H112" s="1702"/>
      <c r="I112" s="1702"/>
      <c r="J112" s="1702"/>
      <c r="K112" s="1702"/>
      <c r="L112" s="1702"/>
      <c r="M112" s="1702"/>
      <c r="N112" s="1702"/>
      <c r="O112" s="162" t="s">
        <v>1825</v>
      </c>
      <c r="P112" s="1291" t="s">
        <v>3421</v>
      </c>
      <c r="Q112" s="632"/>
    </row>
    <row r="113" spans="1:32" ht="12" customHeight="1">
      <c r="A113" s="156"/>
      <c r="B113" s="787"/>
      <c r="C113" s="69" t="s">
        <v>1826</v>
      </c>
      <c r="D113" s="1568" t="s">
        <v>4173</v>
      </c>
      <c r="E113" s="1702"/>
      <c r="F113" s="1702"/>
      <c r="G113" s="1702"/>
      <c r="H113" s="1702"/>
      <c r="I113" s="1702"/>
      <c r="J113" s="1702"/>
      <c r="K113" s="1702"/>
      <c r="L113" s="1702"/>
      <c r="M113" s="1702"/>
      <c r="N113" s="1702"/>
      <c r="O113" s="69" t="s">
        <v>1826</v>
      </c>
      <c r="P113" s="1293" t="s">
        <v>3421</v>
      </c>
      <c r="Q113" s="632"/>
    </row>
    <row r="114" spans="1:32" ht="12" customHeight="1">
      <c r="A114" s="156"/>
      <c r="B114" s="787"/>
      <c r="C114" s="162" t="s">
        <v>1827</v>
      </c>
      <c r="D114" s="53" t="s">
        <v>3264</v>
      </c>
      <c r="E114" s="53"/>
      <c r="F114" s="53"/>
      <c r="G114" s="53"/>
      <c r="H114" s="53"/>
      <c r="I114" s="53"/>
      <c r="J114" s="53"/>
      <c r="K114" s="53"/>
      <c r="L114" s="53"/>
      <c r="M114" s="53"/>
      <c r="O114" s="162" t="s">
        <v>1827</v>
      </c>
      <c r="P114" s="1293" t="s">
        <v>3421</v>
      </c>
      <c r="Q114" s="632"/>
    </row>
    <row r="115" spans="1:32" s="144" customFormat="1" ht="24.75" customHeight="1">
      <c r="A115" s="156"/>
      <c r="B115" s="488"/>
      <c r="C115" s="177" t="s">
        <v>2477</v>
      </c>
      <c r="D115" s="1616" t="s">
        <v>2846</v>
      </c>
      <c r="E115" s="1616"/>
      <c r="F115" s="1616"/>
      <c r="G115" s="1616"/>
      <c r="H115" s="1616"/>
      <c r="I115" s="1616"/>
      <c r="J115" s="1616"/>
      <c r="K115" s="1616"/>
      <c r="L115" s="1616"/>
      <c r="M115" s="1616"/>
      <c r="N115" s="1616"/>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3424</v>
      </c>
      <c r="Q116" s="633"/>
    </row>
    <row r="117" spans="1:32" ht="12" customHeight="1">
      <c r="B117" s="47" t="s">
        <v>2216</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3424</v>
      </c>
      <c r="Q118" s="631"/>
    </row>
    <row r="119" spans="1:32" ht="12" customHeight="1">
      <c r="B119" s="47"/>
      <c r="C119" s="69" t="s">
        <v>1826</v>
      </c>
      <c r="D119" s="53" t="s">
        <v>1502</v>
      </c>
      <c r="E119" s="53"/>
      <c r="F119" s="53"/>
      <c r="G119" s="53"/>
      <c r="H119" s="53"/>
      <c r="I119" s="53"/>
      <c r="J119" s="53"/>
      <c r="K119" s="53"/>
      <c r="L119" s="1275"/>
      <c r="M119" s="1275"/>
      <c r="O119" s="69" t="s">
        <v>1826</v>
      </c>
      <c r="P119" s="1293" t="s">
        <v>3424</v>
      </c>
      <c r="Q119" s="632"/>
    </row>
    <row r="120" spans="1:32" ht="12" customHeight="1">
      <c r="B120" s="47"/>
      <c r="C120" s="69" t="s">
        <v>1827</v>
      </c>
      <c r="D120" s="53" t="s">
        <v>1503</v>
      </c>
      <c r="E120" s="53"/>
      <c r="F120" s="53"/>
      <c r="G120" s="53"/>
      <c r="H120" s="53"/>
      <c r="I120" s="53"/>
      <c r="J120" s="53"/>
      <c r="K120" s="53"/>
      <c r="L120" s="1275"/>
      <c r="M120" s="1275"/>
      <c r="O120" s="69" t="s">
        <v>1827</v>
      </c>
      <c r="P120" s="1292" t="s">
        <v>3424</v>
      </c>
      <c r="Q120" s="633"/>
    </row>
    <row r="121" spans="1:32" ht="11.25" customHeight="1">
      <c r="B121" s="153" t="s">
        <v>1959</v>
      </c>
      <c r="D121" s="153"/>
      <c r="E121" s="153"/>
      <c r="F121" s="153"/>
      <c r="G121" s="153"/>
      <c r="H121" s="40"/>
      <c r="I121" s="787"/>
      <c r="J121" s="787"/>
      <c r="K121" s="787"/>
      <c r="L121" s="1238"/>
      <c r="M121" s="1238"/>
      <c r="N121" s="1238"/>
      <c r="O121" s="1238"/>
      <c r="P121" s="1238"/>
      <c r="Q121" s="1274"/>
    </row>
    <row r="122" spans="1:32" ht="24" customHeight="1">
      <c r="A122" s="1596" t="s">
        <v>4442</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2793</v>
      </c>
      <c r="C126" s="40"/>
      <c r="D126" s="1244"/>
      <c r="E126" s="1244"/>
      <c r="F126" s="1244"/>
      <c r="G126" s="1244"/>
      <c r="H126" s="1244"/>
      <c r="I126" s="1244"/>
      <c r="J126" s="1244"/>
      <c r="K126" s="1244"/>
      <c r="L126" s="1244"/>
      <c r="M126" s="1244"/>
      <c r="O126" s="143" t="s">
        <v>1961</v>
      </c>
      <c r="P126" s="1640"/>
      <c r="Q126" s="1672"/>
    </row>
    <row r="127" spans="1:32" ht="6.6" customHeight="1"/>
    <row r="128" spans="1:32" ht="12" customHeight="1">
      <c r="B128" s="47" t="s">
        <v>2081</v>
      </c>
      <c r="C128" s="53" t="s">
        <v>4174</v>
      </c>
      <c r="D128" s="145"/>
      <c r="E128" s="145"/>
      <c r="F128" s="145"/>
      <c r="G128" s="145"/>
      <c r="H128" s="145"/>
      <c r="I128" s="42"/>
      <c r="J128" s="42"/>
      <c r="K128" s="42"/>
      <c r="L128" s="531" t="s">
        <v>2081</v>
      </c>
      <c r="M128" s="1647" t="s">
        <v>4443</v>
      </c>
      <c r="N128" s="1648"/>
      <c r="O128" s="1648"/>
      <c r="P128" s="1649"/>
      <c r="Q128" s="631"/>
    </row>
    <row r="129" spans="2:17" ht="12" customHeight="1">
      <c r="B129" s="47" t="s">
        <v>2084</v>
      </c>
      <c r="C129" s="53" t="s">
        <v>1614</v>
      </c>
      <c r="D129" s="145"/>
      <c r="E129" s="145"/>
      <c r="F129" s="145"/>
      <c r="G129" s="145"/>
      <c r="H129" s="145"/>
      <c r="I129" s="42"/>
      <c r="J129" s="42"/>
      <c r="K129" s="145"/>
      <c r="L129" s="145"/>
      <c r="M129" s="1239"/>
      <c r="O129" s="531" t="s">
        <v>2084</v>
      </c>
      <c r="P129" s="1291" t="s">
        <v>3424</v>
      </c>
      <c r="Q129" s="632"/>
    </row>
    <row r="130" spans="2:17" ht="12" customHeight="1">
      <c r="B130" s="47" t="s">
        <v>789</v>
      </c>
      <c r="C130" s="53" t="s">
        <v>156</v>
      </c>
      <c r="D130" s="145"/>
      <c r="E130" s="145"/>
      <c r="F130" s="145"/>
      <c r="G130" s="145"/>
      <c r="H130" s="145"/>
      <c r="I130" s="42"/>
      <c r="J130" s="42"/>
      <c r="K130" s="145"/>
      <c r="L130" s="1239"/>
      <c r="M130" s="1239"/>
      <c r="O130" s="531" t="s">
        <v>789</v>
      </c>
      <c r="P130" s="1292" t="s">
        <v>3421</v>
      </c>
      <c r="Q130" s="632"/>
    </row>
    <row r="131" spans="2:17" ht="12" customHeight="1">
      <c r="B131" s="47"/>
      <c r="C131" s="68" t="s">
        <v>1825</v>
      </c>
      <c r="D131" s="53" t="s">
        <v>2845</v>
      </c>
      <c r="E131" s="145"/>
      <c r="F131" s="145"/>
      <c r="G131" s="145"/>
      <c r="H131" s="145"/>
      <c r="I131" s="42"/>
      <c r="J131" s="42"/>
      <c r="K131" s="145"/>
      <c r="L131" s="69" t="s">
        <v>1825</v>
      </c>
      <c r="M131" s="1647" t="s">
        <v>4444</v>
      </c>
      <c r="N131" s="1648"/>
      <c r="O131" s="1648"/>
      <c r="P131" s="1649"/>
      <c r="Q131" s="632"/>
    </row>
    <row r="132" spans="2:17" ht="12" customHeight="1">
      <c r="B132" s="151"/>
      <c r="C132" s="69" t="s">
        <v>1826</v>
      </c>
      <c r="D132" s="36" t="s">
        <v>4175</v>
      </c>
      <c r="E132" s="42"/>
      <c r="F132" s="42"/>
      <c r="G132" s="42"/>
      <c r="H132" s="53"/>
      <c r="I132" s="42"/>
      <c r="J132" s="42"/>
      <c r="K132" s="145"/>
      <c r="L132" s="1239"/>
      <c r="M132" s="1239"/>
      <c r="O132" s="531" t="s">
        <v>1826</v>
      </c>
      <c r="P132" s="1290">
        <v>57.17</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4445</v>
      </c>
      <c r="E134" s="1719"/>
      <c r="F134" s="1719"/>
      <c r="G134" s="1719"/>
      <c r="H134" s="1719"/>
      <c r="I134" s="1719"/>
      <c r="J134" s="1719"/>
      <c r="K134" s="1719"/>
      <c r="L134" s="1719"/>
      <c r="M134" s="1719"/>
      <c r="N134" s="1719"/>
      <c r="O134" s="1719"/>
      <c r="P134" s="1719"/>
      <c r="Q134" s="1720"/>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3424</v>
      </c>
      <c r="Q136" s="631"/>
    </row>
    <row r="137" spans="2:17" ht="12" customHeight="1">
      <c r="B137" s="47"/>
      <c r="C137" s="69" t="s">
        <v>1826</v>
      </c>
      <c r="D137" s="53" t="s">
        <v>1321</v>
      </c>
      <c r="E137" s="145"/>
      <c r="F137" s="145"/>
      <c r="G137" s="145"/>
      <c r="H137" s="42"/>
      <c r="I137" s="42"/>
      <c r="J137" s="42"/>
      <c r="K137" s="145"/>
      <c r="L137" s="1239"/>
      <c r="M137" s="1239"/>
      <c r="O137" s="69" t="s">
        <v>1826</v>
      </c>
      <c r="P137" s="1293" t="s">
        <v>3424</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c r="Q138" s="2596"/>
    </row>
    <row r="139" spans="2:17" ht="12" customHeight="1">
      <c r="B139" s="47"/>
      <c r="C139" s="69"/>
      <c r="E139" s="498" t="s">
        <v>2557</v>
      </c>
      <c r="F139" s="53" t="s">
        <v>2771</v>
      </c>
      <c r="G139" s="42"/>
      <c r="H139" s="53"/>
      <c r="I139" s="42"/>
      <c r="J139" s="42"/>
      <c r="K139" s="145"/>
      <c r="L139" s="1239"/>
      <c r="M139" s="1239"/>
      <c r="O139" s="498" t="s">
        <v>2557</v>
      </c>
      <c r="P139" s="1293"/>
      <c r="Q139" s="632"/>
    </row>
    <row r="140" spans="2:17" ht="12" customHeight="1">
      <c r="B140" s="47"/>
      <c r="C140" s="69"/>
      <c r="E140" s="498" t="s">
        <v>2558</v>
      </c>
      <c r="F140" s="53" t="s">
        <v>2772</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3424</v>
      </c>
      <c r="Q141" s="632"/>
    </row>
    <row r="142" spans="2:17" ht="12" customHeight="1">
      <c r="B142" s="47"/>
      <c r="C142" s="69"/>
      <c r="D142" s="53" t="s">
        <v>2769</v>
      </c>
      <c r="E142" s="498" t="s">
        <v>2556</v>
      </c>
      <c r="F142" s="53" t="s">
        <v>2773</v>
      </c>
      <c r="G142" s="42"/>
      <c r="H142" s="53"/>
      <c r="I142" s="42"/>
      <c r="J142" s="42"/>
      <c r="K142" s="145"/>
      <c r="L142" s="1239"/>
      <c r="O142" s="498" t="s">
        <v>2556</v>
      </c>
      <c r="P142" s="1295"/>
      <c r="Q142" s="2596"/>
    </row>
    <row r="143" spans="2:17" ht="12" customHeight="1">
      <c r="B143" s="47"/>
      <c r="C143" s="69"/>
      <c r="E143" s="498" t="s">
        <v>2557</v>
      </c>
      <c r="F143" s="53" t="s">
        <v>2774</v>
      </c>
      <c r="G143" s="42"/>
      <c r="H143" s="53"/>
      <c r="I143" s="42"/>
      <c r="J143" s="42"/>
      <c r="O143" s="498" t="s">
        <v>2557</v>
      </c>
      <c r="P143" s="1293"/>
      <c r="Q143" s="632"/>
    </row>
    <row r="144" spans="2:17" ht="12" customHeight="1">
      <c r="B144" s="47"/>
      <c r="C144" s="69"/>
      <c r="E144" s="498" t="s">
        <v>2558</v>
      </c>
      <c r="F144" s="53" t="s">
        <v>2772</v>
      </c>
      <c r="G144" s="42"/>
      <c r="H144" s="53"/>
      <c r="I144" s="42"/>
      <c r="J144" s="42"/>
      <c r="O144" s="498" t="s">
        <v>2558</v>
      </c>
      <c r="P144" s="1293"/>
      <c r="Q144" s="632"/>
    </row>
    <row r="145" spans="1:32" ht="12" customHeight="1">
      <c r="B145" s="36"/>
      <c r="C145" s="69" t="s">
        <v>2477</v>
      </c>
      <c r="D145" s="53" t="s">
        <v>2775</v>
      </c>
      <c r="E145" s="145"/>
      <c r="F145" s="145"/>
      <c r="G145" s="145"/>
      <c r="H145" s="145"/>
      <c r="I145" s="42"/>
      <c r="J145" s="42"/>
      <c r="O145" s="69" t="s">
        <v>2477</v>
      </c>
      <c r="P145" s="1292" t="s">
        <v>3424</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3424</v>
      </c>
      <c r="G147" s="631"/>
      <c r="H147" s="69" t="s">
        <v>1626</v>
      </c>
      <c r="I147" s="56" t="s">
        <v>2777</v>
      </c>
      <c r="L147" s="1291" t="s">
        <v>3424</v>
      </c>
      <c r="M147" s="631"/>
      <c r="N147" s="531" t="s">
        <v>536</v>
      </c>
      <c r="O147" s="53" t="s">
        <v>1629</v>
      </c>
      <c r="P147" s="1291" t="s">
        <v>3424</v>
      </c>
      <c r="Q147" s="631"/>
    </row>
    <row r="148" spans="1:32" ht="12" customHeight="1">
      <c r="B148" s="36"/>
      <c r="C148" s="69" t="s">
        <v>1826</v>
      </c>
      <c r="D148" s="53" t="s">
        <v>3110</v>
      </c>
      <c r="E148" s="145"/>
      <c r="F148" s="1293" t="s">
        <v>3424</v>
      </c>
      <c r="G148" s="632"/>
      <c r="H148" s="69" t="s">
        <v>1627</v>
      </c>
      <c r="I148" s="56" t="s">
        <v>2778</v>
      </c>
      <c r="L148" s="1293" t="s">
        <v>3424</v>
      </c>
      <c r="M148" s="632"/>
      <c r="N148" s="531" t="s">
        <v>537</v>
      </c>
      <c r="O148" s="53" t="s">
        <v>1628</v>
      </c>
      <c r="P148" s="1293" t="s">
        <v>3424</v>
      </c>
      <c r="Q148" s="632"/>
    </row>
    <row r="149" spans="1:32" ht="12" customHeight="1">
      <c r="B149" s="36"/>
      <c r="C149" s="69" t="s">
        <v>1827</v>
      </c>
      <c r="D149" s="53" t="s">
        <v>2776</v>
      </c>
      <c r="E149" s="145"/>
      <c r="F149" s="1293" t="s">
        <v>3424</v>
      </c>
      <c r="G149" s="632"/>
      <c r="H149" s="531" t="s">
        <v>100</v>
      </c>
      <c r="I149" s="56" t="s">
        <v>3111</v>
      </c>
      <c r="L149" s="1293" t="s">
        <v>3424</v>
      </c>
      <c r="M149" s="632"/>
      <c r="N149" s="531" t="s">
        <v>3113</v>
      </c>
      <c r="O149" s="53" t="s">
        <v>1630</v>
      </c>
      <c r="P149" s="1292" t="s">
        <v>3424</v>
      </c>
      <c r="Q149" s="633"/>
    </row>
    <row r="150" spans="1:32" ht="12" customHeight="1">
      <c r="B150" s="36"/>
      <c r="C150" s="69" t="s">
        <v>2477</v>
      </c>
      <c r="D150" s="53" t="s">
        <v>3114</v>
      </c>
      <c r="E150" s="145"/>
      <c r="F150" s="1292" t="s">
        <v>3424</v>
      </c>
      <c r="G150" s="633"/>
      <c r="H150" s="531" t="s">
        <v>535</v>
      </c>
      <c r="I150" s="53" t="s">
        <v>3109</v>
      </c>
      <c r="L150" s="1292" t="s">
        <v>3421</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3" t="s">
        <v>4446</v>
      </c>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1017</v>
      </c>
      <c r="Q153" s="632"/>
    </row>
    <row r="154" spans="1:32" ht="12" customHeight="1">
      <c r="A154" s="156"/>
      <c r="B154" s="42"/>
      <c r="C154" s="69" t="s">
        <v>1825</v>
      </c>
      <c r="D154" s="53" t="s">
        <v>3115</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3421</v>
      </c>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2044</v>
      </c>
      <c r="C157" s="53" t="s">
        <v>1841</v>
      </c>
      <c r="D157" s="145"/>
      <c r="E157" s="145"/>
      <c r="F157" s="145"/>
      <c r="G157" s="145"/>
      <c r="H157" s="145"/>
      <c r="I157" s="42"/>
      <c r="J157" s="42"/>
      <c r="K157" s="145"/>
      <c r="L157" s="145"/>
      <c r="M157" s="1239"/>
      <c r="O157" s="531" t="s">
        <v>2044</v>
      </c>
      <c r="P157" s="1292"/>
      <c r="Q157" s="633"/>
    </row>
    <row r="158" spans="1:32" ht="12" customHeight="1">
      <c r="A158" s="459" t="s">
        <v>4077</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3837</v>
      </c>
      <c r="C159" s="1616" t="s">
        <v>153</v>
      </c>
      <c r="D159" s="1616"/>
      <c r="E159" s="1616"/>
      <c r="F159" s="1616"/>
      <c r="G159" s="1616"/>
      <c r="H159" s="1616"/>
      <c r="I159" s="1616"/>
      <c r="J159" s="1616"/>
      <c r="K159" s="1616"/>
      <c r="L159" s="1616"/>
      <c r="M159" s="177" t="s">
        <v>3837</v>
      </c>
      <c r="N159" s="1700" t="s">
        <v>4447</v>
      </c>
      <c r="O159" s="1701"/>
      <c r="P159" s="2597" t="s">
        <v>1859</v>
      </c>
      <c r="Q159" s="2598"/>
      <c r="AE159" s="5"/>
      <c r="AF159" s="5"/>
    </row>
    <row r="160" spans="1:32" s="1" customFormat="1" ht="12" customHeight="1">
      <c r="B160" s="47" t="s">
        <v>647</v>
      </c>
      <c r="C160" s="123" t="s">
        <v>1</v>
      </c>
      <c r="D160" s="1245"/>
      <c r="E160" s="1245"/>
      <c r="G160" s="531" t="s">
        <v>647</v>
      </c>
      <c r="H160" s="1718" t="s">
        <v>4448</v>
      </c>
      <c r="I160" s="1719"/>
      <c r="J160" s="1719"/>
      <c r="K160" s="1719"/>
      <c r="L160" s="1719"/>
      <c r="M160" s="1719"/>
      <c r="N160" s="1719"/>
      <c r="O160" s="1719"/>
      <c r="P160" s="1720"/>
      <c r="Q160" s="2589"/>
      <c r="AE160" s="5"/>
      <c r="AF160" s="5"/>
    </row>
    <row r="161" spans="1:32" s="1" customFormat="1" ht="12" customHeight="1">
      <c r="B161" s="47" t="s">
        <v>3838</v>
      </c>
      <c r="C161" s="1275" t="s">
        <v>1486</v>
      </c>
      <c r="D161" s="11"/>
      <c r="E161" s="11"/>
      <c r="F161" s="11"/>
      <c r="G161" s="7"/>
      <c r="H161" s="7"/>
      <c r="I161" s="1275"/>
      <c r="K161" s="7"/>
      <c r="L161" s="7"/>
      <c r="M161" s="7"/>
      <c r="O161" s="531" t="s">
        <v>3838</v>
      </c>
      <c r="P161" s="1287"/>
      <c r="Q161" s="2589"/>
      <c r="AE161" s="5"/>
      <c r="AF161" s="5"/>
    </row>
    <row r="162" spans="1:32" ht="11.25" customHeight="1">
      <c r="B162" s="153" t="s">
        <v>1959</v>
      </c>
      <c r="D162" s="153"/>
      <c r="E162" s="153"/>
      <c r="F162" s="153"/>
      <c r="G162" s="153"/>
      <c r="H162" s="40"/>
      <c r="I162" s="787"/>
      <c r="J162" s="787"/>
      <c r="K162" s="787"/>
      <c r="L162" s="1238"/>
      <c r="M162" s="1238"/>
      <c r="N162" s="1238"/>
      <c r="O162" s="1238"/>
      <c r="P162" s="1238"/>
      <c r="Q162" s="1274"/>
    </row>
    <row r="163" spans="1:32" ht="11.45" customHeight="1">
      <c r="A163" s="1596" t="s">
        <v>4449</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2794</v>
      </c>
      <c r="C168" s="1246"/>
      <c r="D168" s="1244"/>
      <c r="E168" s="1244"/>
      <c r="F168" s="1244"/>
      <c r="G168" s="1244"/>
      <c r="H168" s="1244"/>
      <c r="I168" s="1244"/>
      <c r="J168" s="1244"/>
      <c r="K168" s="1244"/>
      <c r="O168" s="143" t="s">
        <v>1961</v>
      </c>
      <c r="P168" s="1640"/>
      <c r="Q168" s="1672"/>
    </row>
    <row r="169" spans="1:32" ht="12" customHeight="1">
      <c r="B169" s="47" t="s">
        <v>2081</v>
      </c>
      <c r="C169" s="53" t="s">
        <v>3836</v>
      </c>
      <c r="D169" s="53"/>
      <c r="E169" s="53"/>
      <c r="F169" s="53"/>
      <c r="G169" s="53"/>
      <c r="I169" s="53" t="s">
        <v>2877</v>
      </c>
      <c r="K169" s="1645">
        <v>42369</v>
      </c>
      <c r="L169" s="1646"/>
      <c r="N169" s="53"/>
      <c r="O169" s="531" t="s">
        <v>2081</v>
      </c>
      <c r="P169" s="1287" t="s">
        <v>3421</v>
      </c>
      <c r="Q169" s="2589"/>
    </row>
    <row r="170" spans="1:32" ht="12" customHeight="1">
      <c r="A170" s="151"/>
      <c r="B170" s="47" t="s">
        <v>2084</v>
      </c>
      <c r="C170" s="152" t="s">
        <v>155</v>
      </c>
      <c r="D170" s="152"/>
      <c r="E170" s="152"/>
      <c r="F170" s="152"/>
      <c r="G170" s="152"/>
      <c r="H170" s="152"/>
      <c r="M170" s="531" t="s">
        <v>2084</v>
      </c>
      <c r="N170" s="1715" t="s">
        <v>4450</v>
      </c>
      <c r="O170" s="1716"/>
      <c r="P170" s="2599"/>
      <c r="Q170" s="2600"/>
    </row>
    <row r="171" spans="1:32" ht="12" customHeight="1">
      <c r="A171" s="151"/>
      <c r="B171" s="47" t="s">
        <v>789</v>
      </c>
      <c r="C171" s="152" t="s">
        <v>718</v>
      </c>
      <c r="D171" s="152"/>
      <c r="E171" s="152"/>
      <c r="F171" s="152"/>
      <c r="G171" s="152"/>
      <c r="H171" s="152"/>
      <c r="J171" s="531" t="s">
        <v>789</v>
      </c>
      <c r="K171" s="1593" t="s">
        <v>4451</v>
      </c>
      <c r="L171" s="1594"/>
      <c r="M171" s="1594"/>
      <c r="N171" s="1594"/>
      <c r="O171" s="1594"/>
      <c r="P171" s="1595"/>
      <c r="Q171" s="2589"/>
    </row>
    <row r="172" spans="1:32" ht="12" customHeight="1">
      <c r="A172" s="151"/>
      <c r="B172" s="47" t="s">
        <v>2216</v>
      </c>
      <c r="C172" s="152" t="s">
        <v>3274</v>
      </c>
      <c r="D172" s="152"/>
      <c r="E172" s="152"/>
      <c r="F172" s="152"/>
      <c r="G172" s="152"/>
      <c r="H172" s="152"/>
      <c r="J172" s="531"/>
      <c r="K172" s="531"/>
      <c r="L172" s="531"/>
      <c r="M172" s="531"/>
      <c r="N172" s="531"/>
      <c r="O172" s="531" t="s">
        <v>2216</v>
      </c>
      <c r="P172" s="1287" t="s">
        <v>3421</v>
      </c>
      <c r="Q172" s="2589"/>
    </row>
    <row r="173" spans="1:32" ht="12" customHeight="1">
      <c r="B173" s="153" t="s">
        <v>1959</v>
      </c>
      <c r="D173" s="153"/>
      <c r="E173" s="153"/>
      <c r="F173" s="153"/>
      <c r="G173" s="153"/>
      <c r="H173" s="40"/>
      <c r="I173" s="787"/>
      <c r="J173" s="787"/>
      <c r="K173" s="787"/>
      <c r="L173" s="1238"/>
      <c r="M173" s="1238"/>
      <c r="N173" s="1238"/>
      <c r="O173" s="1238"/>
      <c r="P173" s="1238"/>
      <c r="Q173" s="1274"/>
    </row>
    <row r="174" spans="1:32" ht="11.45" customHeight="1">
      <c r="A174" s="1596" t="s">
        <v>4452</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2795</v>
      </c>
      <c r="C178" s="1246"/>
      <c r="D178" s="1244"/>
      <c r="E178" s="1244"/>
      <c r="F178" s="1244"/>
      <c r="G178" s="1244"/>
      <c r="H178" s="1244"/>
      <c r="I178" s="1244"/>
      <c r="J178" s="1244"/>
      <c r="K178" s="1244"/>
      <c r="L178" s="1244"/>
      <c r="M178" s="1244"/>
      <c r="O178" s="143" t="s">
        <v>1961</v>
      </c>
      <c r="P178" s="1640"/>
      <c r="Q178" s="1672"/>
    </row>
    <row r="179" spans="1:31" ht="21.75" customHeight="1">
      <c r="B179" s="154" t="s">
        <v>2081</v>
      </c>
      <c r="C179" s="1616" t="s">
        <v>3265</v>
      </c>
      <c r="D179" s="1616"/>
      <c r="E179" s="1616"/>
      <c r="F179" s="1616"/>
      <c r="G179" s="1616"/>
      <c r="H179" s="1616"/>
      <c r="I179" s="1616"/>
      <c r="J179" s="1616"/>
      <c r="K179" s="1616"/>
      <c r="L179" s="1616"/>
      <c r="M179" s="1616"/>
      <c r="N179" s="1616"/>
      <c r="O179" s="177" t="s">
        <v>2081</v>
      </c>
      <c r="P179" s="1291" t="s">
        <v>3421</v>
      </c>
      <c r="Q179" s="631"/>
    </row>
    <row r="180" spans="1:31" ht="22.15" customHeight="1">
      <c r="B180" s="154" t="s">
        <v>2084</v>
      </c>
      <c r="C180" s="1616" t="s">
        <v>2633</v>
      </c>
      <c r="D180" s="1616"/>
      <c r="E180" s="1616"/>
      <c r="F180" s="1616"/>
      <c r="G180" s="1616"/>
      <c r="H180" s="1616"/>
      <c r="I180" s="1616"/>
      <c r="J180" s="1616"/>
      <c r="K180" s="1616"/>
      <c r="L180" s="1616"/>
      <c r="M180" s="1616"/>
      <c r="N180" s="1616"/>
      <c r="O180" s="177" t="s">
        <v>2084</v>
      </c>
      <c r="P180" s="1293"/>
      <c r="Q180" s="632"/>
    </row>
    <row r="181" spans="1:31" ht="21.75" customHeight="1">
      <c r="B181" s="154" t="s">
        <v>789</v>
      </c>
      <c r="C181" s="1616" t="s">
        <v>2779</v>
      </c>
      <c r="D181" s="1616"/>
      <c r="E181" s="1616"/>
      <c r="F181" s="1616"/>
      <c r="G181" s="1616"/>
      <c r="H181" s="1616"/>
      <c r="I181" s="1616"/>
      <c r="J181" s="1616"/>
      <c r="K181" s="1616"/>
      <c r="L181" s="1616"/>
      <c r="M181" s="1616"/>
      <c r="N181" s="1616"/>
      <c r="O181" s="177" t="s">
        <v>789</v>
      </c>
      <c r="P181" s="1292"/>
      <c r="Q181" s="633"/>
    </row>
    <row r="182" spans="1:31" ht="12" customHeight="1">
      <c r="B182" s="153" t="s">
        <v>1959</v>
      </c>
      <c r="D182" s="153"/>
      <c r="E182" s="153"/>
      <c r="F182" s="153"/>
      <c r="G182" s="153"/>
      <c r="H182" s="40"/>
      <c r="I182" s="787"/>
      <c r="J182" s="787"/>
      <c r="K182" s="787"/>
      <c r="L182" s="1238"/>
      <c r="M182" s="1238"/>
      <c r="N182" s="1238"/>
      <c r="O182" s="1238"/>
      <c r="P182" s="1238"/>
      <c r="Q182" s="1274"/>
    </row>
    <row r="183" spans="1:31" ht="11.45" customHeight="1">
      <c r="A183" s="1596" t="s">
        <v>4453</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2796</v>
      </c>
      <c r="C187" s="1687"/>
      <c r="D187" s="1687"/>
      <c r="O187" s="143" t="s">
        <v>1961</v>
      </c>
      <c r="P187" s="1640"/>
      <c r="Q187" s="1672"/>
    </row>
    <row r="188" spans="1:31" ht="12" customHeight="1">
      <c r="B188" s="154" t="s">
        <v>2081</v>
      </c>
      <c r="C188" s="1286" t="s">
        <v>489</v>
      </c>
      <c r="D188" s="1286"/>
      <c r="E188" s="1286"/>
      <c r="F188" s="1286"/>
      <c r="G188" s="1286"/>
      <c r="H188" s="1286"/>
      <c r="I188" s="1286"/>
      <c r="J188" s="1286"/>
      <c r="K188" s="1286"/>
      <c r="L188" s="1286"/>
      <c r="M188" s="1286"/>
      <c r="O188" s="177" t="s">
        <v>2081</v>
      </c>
      <c r="P188" s="1291" t="s">
        <v>3421</v>
      </c>
      <c r="Q188" s="631"/>
    </row>
    <row r="189" spans="1:31" ht="12" customHeight="1">
      <c r="B189" s="154" t="s">
        <v>2084</v>
      </c>
      <c r="C189" s="1286" t="s">
        <v>2780</v>
      </c>
      <c r="D189" s="1286"/>
      <c r="E189" s="1286"/>
      <c r="F189" s="1286"/>
      <c r="G189" s="1286"/>
      <c r="H189" s="1286"/>
      <c r="I189" s="1286"/>
      <c r="J189" s="1286"/>
      <c r="K189" s="1286"/>
      <c r="L189" s="1286"/>
      <c r="M189" s="1286"/>
      <c r="O189" s="177" t="s">
        <v>2084</v>
      </c>
      <c r="P189" s="1293" t="s">
        <v>3421</v>
      </c>
      <c r="Q189" s="632"/>
    </row>
    <row r="190" spans="1:31" ht="12" customHeight="1">
      <c r="B190" s="154" t="s">
        <v>789</v>
      </c>
      <c r="C190" s="1286" t="s">
        <v>2781</v>
      </c>
      <c r="D190" s="1286"/>
      <c r="E190" s="1286"/>
      <c r="F190" s="1286"/>
      <c r="G190" s="1286"/>
      <c r="H190" s="1286"/>
      <c r="I190" s="1286"/>
      <c r="J190" s="1286"/>
      <c r="K190" s="1286"/>
      <c r="L190" s="1286"/>
      <c r="M190" s="1286"/>
      <c r="O190" s="177" t="s">
        <v>789</v>
      </c>
      <c r="P190" s="1293" t="s">
        <v>3421</v>
      </c>
      <c r="Q190" s="632"/>
    </row>
    <row r="191" spans="1:31" ht="12" customHeight="1">
      <c r="B191" s="154"/>
      <c r="C191" s="1286" t="s">
        <v>2769</v>
      </c>
      <c r="D191" s="1286"/>
      <c r="E191" s="498" t="s">
        <v>1825</v>
      </c>
      <c r="F191" s="1286" t="s">
        <v>2782</v>
      </c>
      <c r="G191" s="1286"/>
      <c r="H191" s="1286"/>
      <c r="I191" s="1286"/>
      <c r="J191" s="1286"/>
      <c r="K191" s="1286"/>
      <c r="L191" s="1286"/>
      <c r="M191" s="1286"/>
      <c r="O191" s="498" t="s">
        <v>1825</v>
      </c>
      <c r="P191" s="1293" t="s">
        <v>3421</v>
      </c>
      <c r="Q191" s="632"/>
    </row>
    <row r="192" spans="1:31" ht="12" customHeight="1">
      <c r="B192" s="154"/>
      <c r="C192" s="1286"/>
      <c r="D192" s="1286"/>
      <c r="E192" s="498" t="s">
        <v>1826</v>
      </c>
      <c r="F192" s="1286" t="s">
        <v>2783</v>
      </c>
      <c r="G192" s="1286"/>
      <c r="H192" s="1286"/>
      <c r="I192" s="1286"/>
      <c r="J192" s="1286"/>
      <c r="K192" s="1286"/>
      <c r="L192" s="1286"/>
      <c r="M192" s="1286"/>
      <c r="O192" s="498" t="s">
        <v>1826</v>
      </c>
      <c r="P192" s="1293" t="s">
        <v>3421</v>
      </c>
      <c r="Q192" s="632"/>
    </row>
    <row r="193" spans="1:32" s="144" customFormat="1" ht="21.75" customHeight="1">
      <c r="B193" s="154"/>
      <c r="C193" s="1286"/>
      <c r="D193" s="1286"/>
      <c r="E193" s="177" t="s">
        <v>1827</v>
      </c>
      <c r="F193" s="1616" t="s">
        <v>4176</v>
      </c>
      <c r="G193" s="1616"/>
      <c r="H193" s="1616"/>
      <c r="I193" s="1616"/>
      <c r="J193" s="1616"/>
      <c r="K193" s="1616"/>
      <c r="L193" s="1616"/>
      <c r="M193" s="1616"/>
      <c r="N193" s="1616"/>
      <c r="O193" s="177" t="s">
        <v>1827</v>
      </c>
      <c r="P193" s="1294" t="s">
        <v>3421</v>
      </c>
      <c r="Q193" s="634"/>
      <c r="AE193" s="534"/>
      <c r="AF193" s="534"/>
    </row>
    <row r="194" spans="1:32" ht="12" customHeight="1">
      <c r="B194" s="154"/>
      <c r="C194" s="1286"/>
      <c r="D194" s="1286"/>
      <c r="E194" s="498" t="s">
        <v>2477</v>
      </c>
      <c r="F194" s="1286" t="s">
        <v>2784</v>
      </c>
      <c r="G194" s="1286"/>
      <c r="H194" s="1286"/>
      <c r="I194" s="1286"/>
      <c r="J194" s="1286"/>
      <c r="K194" s="1286"/>
      <c r="L194" s="1286"/>
      <c r="M194" s="1286"/>
      <c r="O194" s="498" t="s">
        <v>2477</v>
      </c>
      <c r="P194" s="1293" t="s">
        <v>3421</v>
      </c>
      <c r="Q194" s="632"/>
    </row>
    <row r="195" spans="1:32" s="144" customFormat="1" ht="21.75" customHeight="1">
      <c r="B195" s="154"/>
      <c r="C195" s="1286"/>
      <c r="D195" s="1286"/>
      <c r="E195" s="177" t="s">
        <v>1626</v>
      </c>
      <c r="F195" s="1616" t="s">
        <v>2785</v>
      </c>
      <c r="G195" s="1616"/>
      <c r="H195" s="1616"/>
      <c r="I195" s="1616"/>
      <c r="J195" s="1616"/>
      <c r="K195" s="1616"/>
      <c r="L195" s="1616"/>
      <c r="M195" s="1616"/>
      <c r="N195" s="1616"/>
      <c r="O195" s="177" t="s">
        <v>1626</v>
      </c>
      <c r="P195" s="1294"/>
      <c r="Q195" s="634"/>
      <c r="AE195" s="534"/>
      <c r="AF195" s="534"/>
    </row>
    <row r="196" spans="1:32" ht="21.75" customHeight="1">
      <c r="B196" s="154" t="s">
        <v>2216</v>
      </c>
      <c r="C196" s="1616" t="s">
        <v>2786</v>
      </c>
      <c r="D196" s="1616"/>
      <c r="E196" s="1616"/>
      <c r="F196" s="1616"/>
      <c r="G196" s="1616"/>
      <c r="H196" s="1616"/>
      <c r="I196" s="1616"/>
      <c r="J196" s="1616"/>
      <c r="K196" s="1616"/>
      <c r="L196" s="1616"/>
      <c r="M196" s="1616"/>
      <c r="N196" s="1616"/>
      <c r="O196" s="177" t="s">
        <v>2216</v>
      </c>
      <c r="P196" s="1293" t="s">
        <v>3421</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3421</v>
      </c>
      <c r="Q197" s="633"/>
    </row>
    <row r="198" spans="1:32" ht="12" customHeight="1">
      <c r="B198" s="153" t="s">
        <v>1959</v>
      </c>
      <c r="D198" s="153"/>
      <c r="E198" s="153"/>
      <c r="F198" s="153"/>
      <c r="G198" s="153"/>
      <c r="H198" s="40"/>
      <c r="I198" s="787"/>
      <c r="J198" s="787"/>
      <c r="K198" s="787"/>
      <c r="L198" s="1238"/>
      <c r="M198" s="1238"/>
      <c r="N198" s="1238"/>
      <c r="O198" s="1238"/>
      <c r="P198" s="1238"/>
      <c r="Q198" s="1274"/>
    </row>
    <row r="199" spans="1:32" ht="11.45" customHeight="1">
      <c r="A199" s="1596" t="s">
        <v>4454</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2797</v>
      </c>
      <c r="C203" s="1246"/>
      <c r="D203" s="1244"/>
      <c r="E203" s="159"/>
      <c r="F203" s="159"/>
      <c r="G203" s="1244"/>
      <c r="J203" s="1281"/>
      <c r="K203" s="569"/>
      <c r="L203" s="569"/>
      <c r="M203" s="569"/>
      <c r="N203" s="569"/>
      <c r="O203" s="143" t="s">
        <v>1961</v>
      </c>
      <c r="P203" s="1640"/>
      <c r="Q203" s="1672"/>
    </row>
    <row r="204" spans="1:32" ht="12" customHeight="1">
      <c r="A204" s="151"/>
      <c r="B204" s="47" t="s">
        <v>2081</v>
      </c>
      <c r="C204" s="1616" t="s">
        <v>99</v>
      </c>
      <c r="D204" s="1616"/>
      <c r="E204" s="1616"/>
      <c r="F204" s="1616"/>
      <c r="G204" s="1616"/>
      <c r="H204" s="69" t="s">
        <v>1825</v>
      </c>
      <c r="I204" s="53" t="s">
        <v>157</v>
      </c>
      <c r="K204" s="1660" t="s">
        <v>4455</v>
      </c>
      <c r="L204" s="1661"/>
      <c r="M204" s="1661"/>
      <c r="N204" s="1662"/>
      <c r="O204" s="69" t="s">
        <v>1825</v>
      </c>
      <c r="P204" s="1291" t="s">
        <v>3421</v>
      </c>
      <c r="Q204" s="631"/>
    </row>
    <row r="205" spans="1:32" ht="12" customHeight="1">
      <c r="A205" s="151"/>
      <c r="B205" s="787"/>
      <c r="C205" s="110"/>
      <c r="D205" s="110"/>
      <c r="E205" s="110"/>
      <c r="F205" s="110"/>
      <c r="H205" s="69" t="s">
        <v>1826</v>
      </c>
      <c r="I205" s="53" t="s">
        <v>1673</v>
      </c>
      <c r="K205" s="1663" t="s">
        <v>4455</v>
      </c>
      <c r="L205" s="1664"/>
      <c r="M205" s="1664"/>
      <c r="N205" s="1665"/>
      <c r="O205" s="69" t="s">
        <v>1826</v>
      </c>
      <c r="P205" s="1292" t="s">
        <v>3421</v>
      </c>
      <c r="Q205" s="633"/>
    </row>
    <row r="206" spans="1:32" ht="12" customHeight="1">
      <c r="B206" s="153" t="s">
        <v>1959</v>
      </c>
      <c r="D206" s="153"/>
      <c r="E206" s="153"/>
      <c r="F206" s="153"/>
      <c r="G206" s="153"/>
      <c r="J206" s="787"/>
      <c r="K206" s="787"/>
      <c r="L206" s="1238"/>
      <c r="M206" s="1238"/>
      <c r="N206" s="1238"/>
      <c r="O206" s="1238"/>
      <c r="P206" s="1238"/>
      <c r="Q206" s="1274"/>
    </row>
    <row r="207" spans="1:32" ht="11.45" customHeight="1">
      <c r="A207" s="1596" t="s">
        <v>4456</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2798</v>
      </c>
      <c r="C211" s="4"/>
      <c r="D211" s="91"/>
      <c r="E211" s="91"/>
      <c r="F211" s="91"/>
      <c r="G211" s="1244"/>
      <c r="H211" s="1244"/>
      <c r="I211" s="1244"/>
      <c r="J211" s="1244"/>
      <c r="K211" s="1244"/>
      <c r="L211" s="1244"/>
      <c r="M211" s="1244"/>
      <c r="O211" s="143" t="s">
        <v>1961</v>
      </c>
      <c r="P211" s="1640"/>
      <c r="Q211" s="1672"/>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616" t="s">
        <v>1942</v>
      </c>
      <c r="D215" s="1616"/>
      <c r="E215" s="1616"/>
      <c r="F215" s="1616"/>
      <c r="G215" s="1616"/>
      <c r="H215" s="69" t="s">
        <v>1825</v>
      </c>
      <c r="I215" s="53" t="s">
        <v>666</v>
      </c>
      <c r="K215" s="1660" t="s">
        <v>4455</v>
      </c>
      <c r="L215" s="1661"/>
      <c r="M215" s="1661"/>
      <c r="N215" s="1662"/>
      <c r="O215" s="69" t="s">
        <v>1520</v>
      </c>
      <c r="P215" s="1293" t="s">
        <v>3421</v>
      </c>
      <c r="Q215" s="632"/>
    </row>
    <row r="216" spans="1:31" ht="11.45" customHeight="1">
      <c r="A216" s="151"/>
      <c r="B216" s="163"/>
      <c r="C216" s="1616"/>
      <c r="D216" s="1616"/>
      <c r="E216" s="1616"/>
      <c r="F216" s="1616"/>
      <c r="G216" s="1616"/>
      <c r="H216" s="69" t="s">
        <v>1826</v>
      </c>
      <c r="I216" s="53" t="s">
        <v>118</v>
      </c>
      <c r="K216" s="1663" t="s">
        <v>4455</v>
      </c>
      <c r="L216" s="1664"/>
      <c r="M216" s="1664"/>
      <c r="N216" s="1665"/>
      <c r="O216" s="69" t="s">
        <v>1826</v>
      </c>
      <c r="P216" s="1292" t="s">
        <v>3421</v>
      </c>
      <c r="Q216" s="633"/>
    </row>
    <row r="217" spans="1:31" ht="11.25" customHeight="1">
      <c r="B217" s="153" t="s">
        <v>1959</v>
      </c>
      <c r="D217" s="153"/>
      <c r="E217" s="153"/>
      <c r="F217" s="153"/>
      <c r="G217" s="153"/>
      <c r="H217" s="40"/>
      <c r="I217" s="787"/>
      <c r="J217" s="787"/>
      <c r="K217" s="787"/>
      <c r="L217" s="1238"/>
      <c r="M217" s="1238"/>
      <c r="N217" s="1238"/>
      <c r="O217" s="1238"/>
      <c r="P217" s="1238"/>
      <c r="Q217" s="1274"/>
    </row>
    <row r="218" spans="1:31" ht="11.45" customHeight="1">
      <c r="A218" s="1596" t="s">
        <v>4457</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2799</v>
      </c>
      <c r="C222" s="4"/>
      <c r="D222" s="91"/>
      <c r="E222" s="91"/>
      <c r="F222" s="91"/>
      <c r="G222" s="91"/>
      <c r="H222" s="1244"/>
      <c r="I222" s="1244"/>
      <c r="J222" s="1244"/>
      <c r="K222" s="1244"/>
      <c r="L222" s="1244"/>
      <c r="M222" s="1244"/>
      <c r="O222" s="143" t="s">
        <v>1961</v>
      </c>
      <c r="P222" s="1640"/>
      <c r="Q222" s="1672"/>
    </row>
    <row r="223" spans="1:31" ht="10.9" customHeight="1">
      <c r="B223" s="157" t="s">
        <v>149</v>
      </c>
    </row>
    <row r="224" spans="1:31" ht="11.45" customHeight="1">
      <c r="B224" s="47" t="s">
        <v>2081</v>
      </c>
      <c r="C224" s="53" t="s">
        <v>3329</v>
      </c>
      <c r="D224" s="42"/>
      <c r="E224" s="53"/>
      <c r="F224" s="53"/>
      <c r="G224" s="53"/>
      <c r="H224" s="53"/>
      <c r="I224" s="42"/>
      <c r="J224" s="42"/>
      <c r="K224" s="42"/>
      <c r="L224" s="1286"/>
      <c r="M224" s="1286"/>
      <c r="O224" s="177" t="s">
        <v>2081</v>
      </c>
      <c r="P224" s="1287" t="s">
        <v>3421</v>
      </c>
      <c r="Q224" s="2589"/>
    </row>
    <row r="225" spans="1:32" ht="11.45" customHeight="1">
      <c r="B225" s="47"/>
      <c r="C225" s="53"/>
      <c r="D225" s="36" t="s">
        <v>3299</v>
      </c>
      <c r="E225" s="53"/>
      <c r="F225" s="53"/>
      <c r="G225" s="1670">
        <v>42067</v>
      </c>
      <c r="H225" s="1671"/>
      <c r="L225" s="1631" t="s">
        <v>4363</v>
      </c>
      <c r="M225" s="1670"/>
      <c r="N225" s="1671"/>
    </row>
    <row r="226" spans="1:32" ht="11.45" customHeight="1">
      <c r="B226" s="47"/>
      <c r="C226" s="53"/>
      <c r="D226" s="56" t="s">
        <v>3301</v>
      </c>
      <c r="E226" s="53"/>
      <c r="F226" s="53"/>
      <c r="G226" s="1673" t="s">
        <v>4458</v>
      </c>
      <c r="H226" s="1674"/>
      <c r="I226" s="1594"/>
      <c r="J226" s="1594"/>
      <c r="K226" s="1595"/>
      <c r="L226" s="1631"/>
      <c r="M226" s="1673"/>
      <c r="N226" s="1674"/>
      <c r="O226" s="1594"/>
      <c r="P226" s="1594"/>
      <c r="Q226" s="1595"/>
    </row>
    <row r="227" spans="1:32" ht="11.45" customHeight="1">
      <c r="B227" s="47"/>
      <c r="C227" s="53"/>
      <c r="D227" s="36" t="s">
        <v>3300</v>
      </c>
      <c r="E227" s="42"/>
      <c r="G227" s="1670">
        <v>42082</v>
      </c>
      <c r="H227" s="1671"/>
      <c r="I227" s="36"/>
      <c r="J227" s="42"/>
      <c r="K227" s="42"/>
      <c r="L227" s="1631"/>
      <c r="M227" s="1670"/>
      <c r="N227" s="1671"/>
    </row>
    <row r="228" spans="1:32" ht="11.45" customHeight="1">
      <c r="B228" s="47" t="s">
        <v>2084</v>
      </c>
      <c r="C228" s="53" t="s">
        <v>3116</v>
      </c>
      <c r="D228" s="53"/>
      <c r="E228" s="53"/>
      <c r="F228" s="53"/>
      <c r="G228" s="53"/>
      <c r="H228" s="53"/>
      <c r="I228" s="42"/>
      <c r="J228" s="42"/>
      <c r="K228" s="42"/>
      <c r="L228" s="152"/>
      <c r="M228" s="152"/>
      <c r="O228" s="177" t="s">
        <v>2084</v>
      </c>
      <c r="P228" s="1291" t="s">
        <v>3421</v>
      </c>
      <c r="Q228" s="631"/>
    </row>
    <row r="229" spans="1:32" ht="11.45" customHeight="1">
      <c r="B229" s="47" t="s">
        <v>789</v>
      </c>
      <c r="C229" s="53" t="s">
        <v>3117</v>
      </c>
      <c r="D229" s="53"/>
      <c r="E229" s="53"/>
      <c r="F229" s="53"/>
      <c r="G229" s="53"/>
      <c r="H229" s="53"/>
      <c r="I229" s="42"/>
      <c r="J229" s="42"/>
      <c r="K229" s="42"/>
      <c r="L229" s="152"/>
      <c r="M229" s="152"/>
      <c r="O229" s="177" t="s">
        <v>789</v>
      </c>
      <c r="P229" s="1293" t="s">
        <v>3421</v>
      </c>
      <c r="Q229" s="632"/>
    </row>
    <row r="230" spans="1:32" s="160" customFormat="1" ht="11.45" customHeight="1">
      <c r="B230" s="47" t="s">
        <v>2216</v>
      </c>
      <c r="C230" s="53" t="s">
        <v>4177</v>
      </c>
      <c r="D230" s="53"/>
      <c r="E230" s="53"/>
      <c r="F230" s="53"/>
      <c r="G230" s="53"/>
      <c r="H230" s="53"/>
      <c r="I230" s="100"/>
      <c r="J230" s="100"/>
      <c r="K230" s="100"/>
      <c r="L230" s="1286"/>
      <c r="M230" s="1286"/>
      <c r="N230" s="35"/>
      <c r="O230" s="531" t="s">
        <v>2216</v>
      </c>
      <c r="P230" s="1293" t="s">
        <v>3421</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3421</v>
      </c>
      <c r="Q231" s="633"/>
      <c r="AE231" s="1270"/>
      <c r="AF231" s="1270"/>
    </row>
    <row r="232" spans="1:32" ht="11.25" customHeight="1">
      <c r="B232" s="153" t="s">
        <v>1959</v>
      </c>
      <c r="D232" s="153"/>
      <c r="E232" s="153"/>
      <c r="F232" s="153"/>
      <c r="G232" s="153"/>
      <c r="H232" s="40"/>
      <c r="I232" s="787"/>
      <c r="J232" s="787"/>
      <c r="K232" s="787"/>
      <c r="L232" s="1238"/>
      <c r="M232" s="1238"/>
      <c r="N232" s="1238"/>
      <c r="O232" s="1238"/>
      <c r="P232" s="1238"/>
      <c r="Q232" s="1274"/>
    </row>
    <row r="233" spans="1:32" ht="13.15" customHeight="1">
      <c r="A233" s="1596" t="s">
        <v>4523</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2800</v>
      </c>
      <c r="C238" s="121"/>
      <c r="D238" s="1244"/>
      <c r="E238" s="1244"/>
      <c r="F238" s="1244"/>
      <c r="G238" s="1244"/>
      <c r="H238" s="1244"/>
      <c r="I238" s="1244"/>
      <c r="J238" s="1244"/>
      <c r="K238" s="1244"/>
      <c r="L238" s="1244"/>
      <c r="M238" s="1244"/>
      <c r="O238" s="143" t="s">
        <v>1961</v>
      </c>
      <c r="P238" s="1640"/>
      <c r="Q238" s="1672"/>
    </row>
    <row r="239" spans="1:32" s="28" customFormat="1" ht="11.45" customHeight="1">
      <c r="B239" s="157" t="s">
        <v>1248</v>
      </c>
      <c r="N239" s="130"/>
      <c r="P239" s="1287" t="s">
        <v>3421</v>
      </c>
      <c r="Q239" s="2589"/>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3" t="s">
        <v>556</v>
      </c>
      <c r="M241" s="1595"/>
      <c r="Q241" s="631"/>
    </row>
    <row r="242" spans="1:32" ht="11.45" customHeight="1">
      <c r="B242" s="47"/>
      <c r="C242" s="69" t="s">
        <v>1826</v>
      </c>
      <c r="D242" s="1275" t="s">
        <v>2897</v>
      </c>
      <c r="E242" s="1275"/>
      <c r="F242" s="1275"/>
      <c r="G242" s="1275"/>
      <c r="H242" s="1275"/>
      <c r="I242" s="42"/>
      <c r="K242" s="69" t="s">
        <v>1563</v>
      </c>
      <c r="L242" s="1678" t="s">
        <v>4499</v>
      </c>
      <c r="M242" s="1679"/>
      <c r="N242" s="1680"/>
      <c r="O242" s="1681"/>
      <c r="P242" s="1682"/>
      <c r="Q242" s="632"/>
    </row>
    <row r="243" spans="1:32" ht="11.45" customHeight="1">
      <c r="B243" s="47"/>
      <c r="C243" s="69" t="s">
        <v>1827</v>
      </c>
      <c r="D243" s="1275" t="s">
        <v>582</v>
      </c>
      <c r="E243" s="1275"/>
      <c r="F243" s="1275"/>
      <c r="G243" s="1275"/>
      <c r="H243" s="1275"/>
      <c r="I243" s="42"/>
      <c r="K243" s="69" t="s">
        <v>1564</v>
      </c>
      <c r="L243" s="1593" t="s">
        <v>4500</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t="s">
        <v>4424</v>
      </c>
      <c r="Q245" s="2589"/>
    </row>
    <row r="246" spans="1:32" ht="10.9" customHeight="1">
      <c r="B246" s="47"/>
      <c r="C246" s="53" t="s">
        <v>2634</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8" t="s">
        <v>1734</v>
      </c>
      <c r="E248" s="1629"/>
      <c r="F248" s="1629"/>
      <c r="G248" s="1629"/>
      <c r="H248" s="1630"/>
      <c r="I248" s="2601"/>
      <c r="J248" s="2602"/>
      <c r="K248" s="69" t="s">
        <v>1827</v>
      </c>
      <c r="L248" s="1628" t="s">
        <v>4524</v>
      </c>
      <c r="M248" s="1629"/>
      <c r="N248" s="1629"/>
      <c r="O248" s="1630"/>
      <c r="P248" s="631"/>
      <c r="Q248" s="2602"/>
      <c r="AE248" s="55"/>
      <c r="AF248" s="55"/>
    </row>
    <row r="249" spans="1:32" s="43" customFormat="1" ht="11.45" customHeight="1">
      <c r="A249" s="100"/>
      <c r="B249" s="52"/>
      <c r="C249" s="69" t="s">
        <v>1826</v>
      </c>
      <c r="D249" s="1623" t="s">
        <v>4501</v>
      </c>
      <c r="E249" s="1655"/>
      <c r="F249" s="1655"/>
      <c r="G249" s="1655"/>
      <c r="H249" s="1656"/>
      <c r="I249" s="2603"/>
      <c r="J249" s="2604"/>
      <c r="K249" s="69" t="s">
        <v>2477</v>
      </c>
      <c r="L249" s="1623" t="s">
        <v>4525</v>
      </c>
      <c r="M249" s="1655"/>
      <c r="N249" s="1655"/>
      <c r="O249" s="1656"/>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4424</v>
      </c>
      <c r="Q251" s="631"/>
    </row>
    <row r="252" spans="1:32" ht="11.45" customHeight="1">
      <c r="B252" s="47"/>
      <c r="C252" s="69" t="s">
        <v>1825</v>
      </c>
      <c r="D252" s="53" t="s">
        <v>4092</v>
      </c>
      <c r="E252" s="53"/>
      <c r="F252" s="53"/>
      <c r="G252" s="53"/>
      <c r="H252" s="53"/>
      <c r="I252" s="42"/>
      <c r="J252" s="32"/>
      <c r="K252" s="42"/>
      <c r="L252" s="32"/>
      <c r="M252" s="32"/>
      <c r="O252" s="69" t="s">
        <v>1825</v>
      </c>
      <c r="P252" s="1293" t="s">
        <v>3421</v>
      </c>
      <c r="Q252" s="632"/>
    </row>
    <row r="253" spans="1:32" ht="11.45" customHeight="1">
      <c r="C253" s="69" t="s">
        <v>1826</v>
      </c>
      <c r="D253" s="1275" t="s">
        <v>3118</v>
      </c>
      <c r="E253" s="1275"/>
      <c r="F253" s="1275"/>
      <c r="G253" s="1275"/>
      <c r="H253" s="1275"/>
      <c r="I253" s="42"/>
      <c r="J253" s="32"/>
      <c r="K253" s="42"/>
      <c r="L253" s="32"/>
      <c r="M253" s="32"/>
      <c r="O253" s="69" t="s">
        <v>1826</v>
      </c>
      <c r="P253" s="1293" t="s">
        <v>3421</v>
      </c>
      <c r="Q253" s="632"/>
    </row>
    <row r="254" spans="1:32" ht="11.45" customHeight="1">
      <c r="C254" s="69" t="s">
        <v>1827</v>
      </c>
      <c r="D254" s="1275" t="s">
        <v>3119</v>
      </c>
      <c r="E254" s="1275"/>
      <c r="F254" s="1275"/>
      <c r="G254" s="1275"/>
      <c r="H254" s="1275"/>
      <c r="I254" s="42"/>
      <c r="J254" s="32"/>
      <c r="K254" s="42"/>
      <c r="L254" s="32"/>
      <c r="M254" s="32"/>
      <c r="O254" s="69" t="s">
        <v>1827</v>
      </c>
      <c r="P254" s="1293" t="s">
        <v>3421</v>
      </c>
      <c r="Q254" s="632"/>
    </row>
    <row r="255" spans="1:32" ht="11.45" customHeight="1">
      <c r="B255" s="47"/>
      <c r="C255" s="69" t="s">
        <v>2477</v>
      </c>
      <c r="D255" s="1275" t="s">
        <v>3120</v>
      </c>
      <c r="E255" s="1275"/>
      <c r="F255" s="1275"/>
      <c r="G255" s="1275"/>
      <c r="H255" s="1275"/>
      <c r="I255" s="42"/>
      <c r="J255" s="32"/>
      <c r="K255" s="42"/>
      <c r="L255" s="32"/>
      <c r="M255" s="32"/>
      <c r="O255" s="69" t="s">
        <v>2477</v>
      </c>
      <c r="P255" s="1293" t="s">
        <v>3421</v>
      </c>
      <c r="Q255" s="632"/>
    </row>
    <row r="256" spans="1:32" ht="11.45" customHeight="1">
      <c r="B256" s="47"/>
      <c r="C256" s="69" t="s">
        <v>1626</v>
      </c>
      <c r="D256" s="1275" t="s">
        <v>3121</v>
      </c>
      <c r="E256" s="1275"/>
      <c r="F256" s="1275"/>
      <c r="G256" s="1275"/>
      <c r="H256" s="1275"/>
      <c r="I256" s="42"/>
      <c r="J256" s="32"/>
      <c r="K256" s="42"/>
      <c r="L256" s="32"/>
      <c r="M256" s="32"/>
      <c r="O256" s="69" t="s">
        <v>1626</v>
      </c>
      <c r="P256" s="1293" t="s">
        <v>3421</v>
      </c>
      <c r="Q256" s="632"/>
    </row>
    <row r="257" spans="1:31" ht="11.45" customHeight="1">
      <c r="B257" s="47"/>
      <c r="C257" s="531" t="s">
        <v>1627</v>
      </c>
      <c r="D257" s="53" t="s">
        <v>816</v>
      </c>
      <c r="E257" s="53"/>
      <c r="F257" s="53"/>
      <c r="G257" s="53"/>
      <c r="H257" s="53"/>
      <c r="I257" s="42"/>
      <c r="J257" s="32"/>
      <c r="K257" s="42"/>
      <c r="L257" s="32"/>
      <c r="M257" s="32"/>
      <c r="O257" s="531" t="s">
        <v>3106</v>
      </c>
      <c r="P257" s="1293" t="s">
        <v>3421</v>
      </c>
      <c r="Q257" s="632"/>
    </row>
    <row r="258" spans="1:31" ht="11.45" customHeight="1">
      <c r="B258" s="47"/>
      <c r="C258" s="69"/>
      <c r="D258" s="53" t="s">
        <v>1565</v>
      </c>
      <c r="E258" s="53"/>
      <c r="F258" s="53"/>
      <c r="G258" s="53"/>
      <c r="H258" s="53"/>
      <c r="I258" s="42"/>
      <c r="J258" s="32"/>
      <c r="K258" s="42"/>
      <c r="L258" s="32"/>
      <c r="M258" s="32"/>
      <c r="O258" s="531" t="s">
        <v>3107</v>
      </c>
      <c r="P258" s="1292"/>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1"/>
      <c r="Q260" s="631"/>
    </row>
    <row r="261" spans="1:31" ht="11.45" customHeight="1">
      <c r="B261" s="47"/>
      <c r="C261" s="69" t="s">
        <v>1825</v>
      </c>
      <c r="D261" s="39" t="s">
        <v>1315</v>
      </c>
      <c r="E261" s="42"/>
      <c r="F261" s="42"/>
      <c r="G261" s="39"/>
      <c r="H261" s="1275"/>
      <c r="I261" s="42"/>
      <c r="J261" s="1275"/>
      <c r="K261" s="42"/>
      <c r="L261" s="1275"/>
      <c r="M261" s="1275"/>
      <c r="O261" s="69" t="s">
        <v>1825</v>
      </c>
      <c r="P261" s="1293"/>
      <c r="Q261" s="632"/>
    </row>
    <row r="262" spans="1:31" ht="11.45" customHeight="1">
      <c r="B262" s="47"/>
      <c r="C262" s="69" t="s">
        <v>1826</v>
      </c>
      <c r="D262" s="39" t="s">
        <v>151</v>
      </c>
      <c r="E262" s="42"/>
      <c r="F262" s="42"/>
      <c r="G262" s="1275"/>
      <c r="H262" s="1275"/>
      <c r="I262" s="42"/>
      <c r="J262" s="1275"/>
      <c r="K262" s="42"/>
      <c r="L262" s="1275"/>
      <c r="M262" s="1275"/>
      <c r="O262" s="69" t="s">
        <v>1826</v>
      </c>
      <c r="P262" s="1293"/>
      <c r="Q262" s="632"/>
    </row>
    <row r="263" spans="1:31" ht="11.45" customHeight="1">
      <c r="B263" s="47"/>
      <c r="C263" s="69" t="s">
        <v>1827</v>
      </c>
      <c r="D263" s="1275" t="s">
        <v>1720</v>
      </c>
      <c r="E263" s="42"/>
      <c r="F263" s="42"/>
      <c r="G263" s="1275"/>
      <c r="H263" s="1275"/>
      <c r="I263" s="42"/>
      <c r="J263" s="1275"/>
      <c r="K263" s="42"/>
      <c r="L263" s="1275"/>
      <c r="M263" s="1275"/>
      <c r="O263" s="69" t="s">
        <v>2483</v>
      </c>
      <c r="P263" s="1293"/>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1959</v>
      </c>
      <c r="D265" s="153"/>
      <c r="E265" s="153"/>
      <c r="F265" s="153"/>
      <c r="G265" s="153"/>
      <c r="H265" s="40"/>
      <c r="I265" s="787"/>
      <c r="J265" s="787"/>
      <c r="K265" s="787"/>
      <c r="L265" s="1238"/>
      <c r="M265" s="1238"/>
      <c r="N265" s="1238"/>
      <c r="O265" s="1238"/>
      <c r="P265" s="1238"/>
      <c r="Q265" s="1274"/>
    </row>
    <row r="266" spans="1:31" ht="11.45" customHeight="1">
      <c r="A266" s="1596" t="s">
        <v>4502</v>
      </c>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2801</v>
      </c>
      <c r="C270" s="4"/>
      <c r="D270" s="91"/>
      <c r="E270" s="91"/>
      <c r="F270" s="91"/>
      <c r="G270" s="91"/>
      <c r="H270" s="1244"/>
      <c r="I270" s="1244"/>
      <c r="J270" s="1244"/>
      <c r="K270" s="1244"/>
      <c r="L270" s="1244"/>
      <c r="M270" s="1244"/>
      <c r="O270" s="143" t="s">
        <v>1961</v>
      </c>
      <c r="P270" s="1640"/>
      <c r="Q270" s="1672"/>
    </row>
    <row r="271" spans="1:31" ht="4.9000000000000004" customHeight="1"/>
    <row r="272" spans="1:31" ht="11.45" customHeight="1">
      <c r="B272" s="47" t="s">
        <v>2081</v>
      </c>
      <c r="C272" s="53" t="s">
        <v>1328</v>
      </c>
      <c r="D272" s="42"/>
      <c r="E272" s="53"/>
      <c r="F272" s="53"/>
      <c r="G272" s="53"/>
      <c r="H272" s="53"/>
      <c r="I272" s="42"/>
      <c r="J272" s="42"/>
      <c r="K272" s="42"/>
      <c r="L272" s="531" t="s">
        <v>2081</v>
      </c>
      <c r="M272" s="1660" t="s">
        <v>4459</v>
      </c>
      <c r="N272" s="1661"/>
      <c r="O272" s="1662"/>
      <c r="P272" s="1690" t="s">
        <v>1859</v>
      </c>
      <c r="Q272" s="1691"/>
    </row>
    <row r="273" spans="1:32" ht="11.45" customHeight="1">
      <c r="B273" s="47" t="s">
        <v>2084</v>
      </c>
      <c r="C273" s="53" t="s">
        <v>3122</v>
      </c>
      <c r="D273" s="53"/>
      <c r="E273" s="53"/>
      <c r="F273" s="53"/>
      <c r="G273" s="53"/>
      <c r="H273" s="53"/>
      <c r="I273" s="42"/>
      <c r="J273" s="42"/>
      <c r="K273" s="42"/>
      <c r="L273" s="531" t="s">
        <v>2084</v>
      </c>
      <c r="M273" s="1675">
        <v>42156</v>
      </c>
      <c r="N273" s="1676"/>
      <c r="O273" s="1677"/>
      <c r="P273" s="1668"/>
      <c r="Q273" s="1669"/>
    </row>
    <row r="274" spans="1:32" s="160" customFormat="1" ht="11.45" customHeight="1">
      <c r="B274" s="47" t="s">
        <v>789</v>
      </c>
      <c r="C274" s="53" t="s">
        <v>2042</v>
      </c>
      <c r="D274" s="53"/>
      <c r="E274" s="53"/>
      <c r="F274" s="53"/>
      <c r="G274" s="53"/>
      <c r="H274" s="53"/>
      <c r="I274" s="100"/>
      <c r="J274" s="100"/>
      <c r="K274" s="100"/>
      <c r="L274" s="531" t="s">
        <v>789</v>
      </c>
      <c r="M274" s="1663" t="s">
        <v>4443</v>
      </c>
      <c r="N274" s="1664"/>
      <c r="O274" s="1665"/>
      <c r="P274" s="1688"/>
      <c r="Q274" s="1689"/>
      <c r="AE274" s="1270"/>
      <c r="AF274" s="1270"/>
    </row>
    <row r="275" spans="1:32" s="160" customFormat="1" ht="11.45" customHeight="1">
      <c r="B275" s="47" t="s">
        <v>2216</v>
      </c>
      <c r="C275" s="53" t="s">
        <v>2671</v>
      </c>
      <c r="D275" s="53"/>
      <c r="E275" s="53"/>
      <c r="F275" s="53"/>
      <c r="G275" s="53"/>
      <c r="H275" s="53"/>
      <c r="I275" s="100"/>
      <c r="J275" s="100"/>
      <c r="K275" s="100"/>
      <c r="L275" s="100"/>
      <c r="M275" s="100"/>
      <c r="O275" s="531" t="s">
        <v>2216</v>
      </c>
      <c r="P275" s="1291" t="s">
        <v>3421</v>
      </c>
      <c r="Q275" s="631"/>
      <c r="AE275" s="1270"/>
      <c r="AF275" s="1270"/>
    </row>
    <row r="276" spans="1:32" s="160" customFormat="1" ht="22.15" customHeight="1">
      <c r="B276" s="154" t="s">
        <v>1823</v>
      </c>
      <c r="C276" s="1616" t="s">
        <v>2929</v>
      </c>
      <c r="D276" s="1616"/>
      <c r="E276" s="1616"/>
      <c r="F276" s="1616"/>
      <c r="G276" s="1616"/>
      <c r="H276" s="1616"/>
      <c r="I276" s="1616"/>
      <c r="J276" s="1616"/>
      <c r="K276" s="1616"/>
      <c r="L276" s="1616"/>
      <c r="M276" s="1616"/>
      <c r="N276" s="1616"/>
      <c r="O276" s="177" t="s">
        <v>1823</v>
      </c>
      <c r="P276" s="1292" t="s">
        <v>4424</v>
      </c>
      <c r="Q276" s="633"/>
      <c r="T276" s="1270"/>
      <c r="AE276" s="1270"/>
      <c r="AF276" s="1270"/>
    </row>
    <row r="277" spans="1:32" ht="11.25" customHeight="1">
      <c r="B277" s="153" t="s">
        <v>1959</v>
      </c>
      <c r="D277" s="153"/>
      <c r="E277" s="153"/>
      <c r="F277" s="153"/>
      <c r="G277" s="153"/>
      <c r="H277" s="40"/>
      <c r="I277" s="787"/>
      <c r="J277" s="787"/>
      <c r="K277" s="787"/>
      <c r="L277" s="1238"/>
      <c r="M277" s="1238"/>
      <c r="N277" s="1238"/>
      <c r="O277" s="1238"/>
      <c r="P277" s="1238"/>
      <c r="Q277" s="1274"/>
    </row>
    <row r="278" spans="1:32" ht="13.15" customHeight="1">
      <c r="A278" s="1596" t="s">
        <v>4503</v>
      </c>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2802</v>
      </c>
      <c r="C282" s="4"/>
      <c r="D282" s="91"/>
      <c r="E282" s="91"/>
      <c r="F282" s="91"/>
      <c r="G282" s="91"/>
      <c r="H282" s="1244"/>
      <c r="I282" s="1244"/>
      <c r="J282" s="1244"/>
      <c r="K282" s="1244"/>
      <c r="L282" s="1244"/>
      <c r="M282" s="1244"/>
      <c r="O282" s="143" t="s">
        <v>1961</v>
      </c>
      <c r="P282" s="1640"/>
      <c r="Q282" s="1672"/>
    </row>
    <row r="283" spans="1:32" ht="3" customHeight="1"/>
    <row r="284" spans="1:32" s="465" customFormat="1" ht="23.25" customHeight="1">
      <c r="B284" s="154" t="s">
        <v>2081</v>
      </c>
      <c r="C284" s="1616" t="s">
        <v>3123</v>
      </c>
      <c r="D284" s="1616"/>
      <c r="E284" s="1616"/>
      <c r="F284" s="1616"/>
      <c r="G284" s="1616"/>
      <c r="H284" s="1616"/>
      <c r="I284" s="1616"/>
      <c r="J284" s="1616"/>
      <c r="K284" s="1616"/>
      <c r="L284" s="1616"/>
      <c r="M284" s="1616"/>
      <c r="N284" s="1616"/>
      <c r="O284" s="177" t="s">
        <v>2081</v>
      </c>
      <c r="P284" s="1296" t="s">
        <v>3421</v>
      </c>
      <c r="Q284" s="2605"/>
      <c r="AE284" s="1285"/>
      <c r="AF284" s="1285"/>
    </row>
    <row r="285" spans="1:32" s="160" customFormat="1" ht="11.45" customHeight="1">
      <c r="B285" s="47" t="s">
        <v>2084</v>
      </c>
      <c r="C285" s="53" t="s">
        <v>1474</v>
      </c>
      <c r="D285" s="53"/>
      <c r="E285" s="53"/>
      <c r="F285" s="53"/>
      <c r="G285" s="53"/>
      <c r="H285" s="53"/>
      <c r="I285" s="53"/>
      <c r="J285" s="53"/>
      <c r="K285" s="53"/>
      <c r="L285" s="53"/>
      <c r="M285" s="53"/>
      <c r="O285" s="531" t="s">
        <v>2084</v>
      </c>
      <c r="P285" s="1292" t="s">
        <v>3421</v>
      </c>
      <c r="Q285" s="633"/>
      <c r="AE285" s="1270"/>
      <c r="AF285" s="1270"/>
    </row>
    <row r="286" spans="1:32" ht="11.25" customHeight="1">
      <c r="B286" s="153" t="s">
        <v>1959</v>
      </c>
      <c r="D286" s="153"/>
      <c r="E286" s="153"/>
      <c r="F286" s="153"/>
      <c r="G286" s="153"/>
      <c r="H286" s="40"/>
      <c r="I286" s="787"/>
      <c r="J286" s="787"/>
      <c r="K286" s="787"/>
      <c r="L286" s="1238"/>
      <c r="M286" s="1238"/>
      <c r="N286" s="1238"/>
      <c r="O286" s="1238"/>
      <c r="P286" s="1238"/>
      <c r="Q286" s="1274"/>
    </row>
    <row r="287" spans="1:32" ht="13.15" customHeight="1">
      <c r="A287" s="1596" t="s">
        <v>4504</v>
      </c>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2803</v>
      </c>
      <c r="C291" s="1246"/>
      <c r="D291" s="1244"/>
      <c r="E291" s="1244"/>
      <c r="F291" s="1244"/>
      <c r="G291" s="1244"/>
      <c r="H291" s="1244"/>
      <c r="I291" s="1244"/>
      <c r="J291" s="1244"/>
      <c r="K291" s="1244"/>
      <c r="L291" s="1244"/>
      <c r="M291" s="1244"/>
      <c r="O291" s="143" t="s">
        <v>1961</v>
      </c>
      <c r="P291" s="1640"/>
      <c r="Q291" s="1672"/>
    </row>
    <row r="292" spans="1:32" ht="3" customHeight="1"/>
    <row r="293" spans="1:32" s="465" customFormat="1" ht="24" customHeight="1">
      <c r="B293" s="154" t="s">
        <v>2081</v>
      </c>
      <c r="C293" s="1650" t="s">
        <v>3124</v>
      </c>
      <c r="D293" s="1464"/>
      <c r="E293" s="1464"/>
      <c r="F293" s="1464"/>
      <c r="G293" s="1464"/>
      <c r="H293" s="1464"/>
      <c r="I293" s="1464"/>
      <c r="J293" s="1464"/>
      <c r="K293" s="1464"/>
      <c r="L293" s="1464"/>
      <c r="M293" s="1464"/>
      <c r="N293" s="1464"/>
      <c r="O293" s="177" t="s">
        <v>2081</v>
      </c>
      <c r="P293" s="1291" t="s">
        <v>4424</v>
      </c>
      <c r="Q293" s="631"/>
      <c r="AE293" s="1285"/>
      <c r="AF293" s="1285"/>
    </row>
    <row r="294" spans="1:32" s="465" customFormat="1" ht="24" customHeight="1">
      <c r="B294" s="154" t="s">
        <v>2084</v>
      </c>
      <c r="C294" s="1650" t="s">
        <v>3125</v>
      </c>
      <c r="D294" s="1464"/>
      <c r="E294" s="1464"/>
      <c r="F294" s="1464"/>
      <c r="G294" s="1464"/>
      <c r="H294" s="1464"/>
      <c r="I294" s="1464"/>
      <c r="J294" s="1464"/>
      <c r="K294" s="1464"/>
      <c r="L294" s="1464"/>
      <c r="M294" s="1464"/>
      <c r="N294" s="1464"/>
      <c r="O294" s="177" t="s">
        <v>2084</v>
      </c>
      <c r="P294" s="1292" t="s">
        <v>4424</v>
      </c>
      <c r="Q294" s="633"/>
      <c r="AE294" s="1285"/>
      <c r="AF294" s="1285"/>
    </row>
    <row r="295" spans="1:32" ht="11.25" customHeight="1">
      <c r="B295" s="153" t="s">
        <v>1959</v>
      </c>
      <c r="D295" s="153"/>
      <c r="E295" s="153"/>
      <c r="F295" s="153"/>
      <c r="G295" s="153"/>
      <c r="H295" s="40"/>
      <c r="I295" s="787"/>
      <c r="J295" s="787"/>
      <c r="K295" s="787"/>
      <c r="L295" s="1238"/>
      <c r="M295" s="1238"/>
      <c r="N295" s="1238"/>
      <c r="O295" s="1238"/>
      <c r="P295" s="1238"/>
      <c r="Q295" s="1274"/>
    </row>
    <row r="296" spans="1:32" ht="13.15" customHeight="1">
      <c r="A296" s="1596" t="s">
        <v>4468</v>
      </c>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2804</v>
      </c>
      <c r="C300" s="161"/>
      <c r="D300" s="1248"/>
      <c r="E300" s="1244"/>
      <c r="F300" s="1244"/>
      <c r="G300" s="1244"/>
      <c r="H300" s="1244"/>
      <c r="I300" s="1244"/>
      <c r="J300" s="1244"/>
      <c r="K300" s="1244"/>
      <c r="L300" s="1244"/>
      <c r="M300" s="1244"/>
      <c r="O300" s="143" t="s">
        <v>1961</v>
      </c>
      <c r="P300" s="1640"/>
      <c r="Q300" s="1672"/>
    </row>
    <row r="301" spans="1:32" s="160" customFormat="1" ht="46.5" customHeight="1">
      <c r="B301" s="154" t="s">
        <v>2081</v>
      </c>
      <c r="C301" s="162" t="s">
        <v>1825</v>
      </c>
      <c r="D301" s="1650" t="s">
        <v>4178</v>
      </c>
      <c r="E301" s="1650"/>
      <c r="F301" s="1650"/>
      <c r="G301" s="1650"/>
      <c r="H301" s="1650"/>
      <c r="I301" s="1650"/>
      <c r="J301" s="1650"/>
      <c r="K301" s="1650"/>
      <c r="L301" s="1650"/>
      <c r="M301" s="1650"/>
      <c r="N301" s="1650"/>
      <c r="O301" s="177" t="s">
        <v>2901</v>
      </c>
      <c r="P301" s="1296" t="s">
        <v>3421</v>
      </c>
      <c r="Q301" s="631"/>
      <c r="AE301" s="1270"/>
      <c r="AF301" s="1270"/>
    </row>
    <row r="302" spans="1:32" s="465" customFormat="1" ht="21.75" customHeight="1">
      <c r="B302" s="154"/>
      <c r="C302" s="162" t="s">
        <v>1826</v>
      </c>
      <c r="D302" s="1650" t="s">
        <v>4080</v>
      </c>
      <c r="E302" s="1650"/>
      <c r="F302" s="1650"/>
      <c r="G302" s="1650"/>
      <c r="H302" s="1650"/>
      <c r="I302" s="1650"/>
      <c r="J302" s="1650"/>
      <c r="K302" s="1650"/>
      <c r="L302" s="1650"/>
      <c r="M302" s="1650"/>
      <c r="N302" s="1650"/>
      <c r="O302" s="162" t="s">
        <v>1826</v>
      </c>
      <c r="P302" s="1294" t="s">
        <v>3421</v>
      </c>
      <c r="Q302" s="634"/>
      <c r="AE302" s="1285"/>
      <c r="AF302" s="1285"/>
    </row>
    <row r="303" spans="1:32" s="100" customFormat="1" ht="12.75" customHeight="1">
      <c r="B303" s="47"/>
      <c r="C303" s="531" t="s">
        <v>1827</v>
      </c>
      <c r="D303" s="1666" t="s">
        <v>4078</v>
      </c>
      <c r="E303" s="1666"/>
      <c r="F303" s="1666"/>
      <c r="G303" s="1666"/>
      <c r="H303" s="1666"/>
      <c r="I303" s="1666"/>
      <c r="J303" s="1666"/>
      <c r="K303" s="1666"/>
      <c r="L303" s="1666"/>
      <c r="M303" s="1666"/>
      <c r="N303" s="1666"/>
      <c r="O303" s="531" t="s">
        <v>1827</v>
      </c>
      <c r="P303" s="1293" t="s">
        <v>3421</v>
      </c>
      <c r="Q303" s="632"/>
      <c r="AE303" s="535"/>
      <c r="AF303" s="535"/>
    </row>
    <row r="304" spans="1:32" s="100" customFormat="1" ht="22.5" customHeight="1">
      <c r="B304" s="154" t="s">
        <v>2084</v>
      </c>
      <c r="C304" s="162" t="s">
        <v>1825</v>
      </c>
      <c r="D304" s="1650" t="s">
        <v>2899</v>
      </c>
      <c r="E304" s="1650"/>
      <c r="F304" s="1650"/>
      <c r="G304" s="1650"/>
      <c r="H304" s="1650"/>
      <c r="I304" s="1650"/>
      <c r="J304" s="1650"/>
      <c r="K304" s="1650"/>
      <c r="L304" s="1650"/>
      <c r="M304" s="1650"/>
      <c r="N304" s="1650"/>
      <c r="O304" s="531" t="s">
        <v>2902</v>
      </c>
      <c r="P304" s="1293" t="s">
        <v>3421</v>
      </c>
      <c r="Q304" s="632"/>
      <c r="AE304" s="535"/>
      <c r="AF304" s="535"/>
    </row>
    <row r="305" spans="1:256 1523:1523" s="100" customFormat="1" ht="12" customHeight="1">
      <c r="B305" s="154"/>
      <c r="C305" s="162" t="s">
        <v>1826</v>
      </c>
      <c r="D305" s="1650" t="s">
        <v>2900</v>
      </c>
      <c r="E305" s="1650"/>
      <c r="F305" s="1650"/>
      <c r="G305" s="1650"/>
      <c r="H305" s="1650"/>
      <c r="I305" s="1650"/>
      <c r="J305" s="1650"/>
      <c r="K305" s="1650"/>
      <c r="L305" s="1650"/>
      <c r="M305" s="1650"/>
      <c r="N305" s="1650"/>
      <c r="O305" s="531" t="s">
        <v>3126</v>
      </c>
      <c r="P305" s="1293" t="s">
        <v>3421</v>
      </c>
      <c r="Q305" s="632"/>
      <c r="AE305" s="535"/>
      <c r="AF305" s="535"/>
    </row>
    <row r="306" spans="1:256 1523:1523" s="465" customFormat="1" ht="36" customHeight="1">
      <c r="B306" s="154" t="s">
        <v>789</v>
      </c>
      <c r="C306" s="162"/>
      <c r="D306" s="1650" t="s">
        <v>4179</v>
      </c>
      <c r="E306" s="1650"/>
      <c r="F306" s="1650"/>
      <c r="G306" s="1650"/>
      <c r="H306" s="1650"/>
      <c r="I306" s="1650"/>
      <c r="J306" s="1650"/>
      <c r="K306" s="1650"/>
      <c r="L306" s="1650"/>
      <c r="M306" s="1650"/>
      <c r="N306" s="1650"/>
      <c r="O306" s="177" t="s">
        <v>789</v>
      </c>
      <c r="P306" s="1297" t="s">
        <v>3421</v>
      </c>
      <c r="Q306" s="2606"/>
      <c r="AE306" s="1285"/>
      <c r="AF306" s="1285"/>
    </row>
    <row r="307" spans="1:256 1523:1523" ht="11.25" customHeight="1">
      <c r="B307" s="153" t="s">
        <v>1959</v>
      </c>
      <c r="D307" s="153"/>
      <c r="E307" s="153"/>
      <c r="F307" s="153"/>
      <c r="G307" s="153"/>
      <c r="H307" s="40"/>
      <c r="I307" s="787"/>
      <c r="J307" s="787"/>
      <c r="K307" s="787"/>
      <c r="L307" s="1238"/>
      <c r="M307" s="1238"/>
      <c r="N307" s="1238"/>
      <c r="O307" s="1238"/>
      <c r="P307" s="1238"/>
      <c r="Q307" s="1274"/>
    </row>
    <row r="308" spans="1:256 1523:1523" ht="11.45" customHeight="1">
      <c r="A308" s="1596" t="s">
        <v>4460</v>
      </c>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6">
        <v>19</v>
      </c>
      <c r="B311" s="10" t="s">
        <v>2805</v>
      </c>
      <c r="C311" s="10"/>
      <c r="D311" s="10"/>
      <c r="E311" s="10"/>
      <c r="F311" s="10"/>
      <c r="G311" s="10"/>
      <c r="H311" s="1244"/>
      <c r="I311" s="1244"/>
      <c r="J311" s="1244"/>
      <c r="K311" s="1244"/>
      <c r="L311" s="1244"/>
      <c r="M311" s="1244"/>
      <c r="O311" s="143" t="s">
        <v>1961</v>
      </c>
      <c r="P311" s="2610"/>
      <c r="Q311" s="2611"/>
    </row>
    <row r="312" spans="1:256 1523:1523" ht="11.45" customHeight="1">
      <c r="B312" s="157" t="s">
        <v>2361</v>
      </c>
      <c r="P312" s="1291" t="s">
        <v>3421</v>
      </c>
      <c r="Q312" s="631"/>
    </row>
    <row r="313" spans="1:256 1523:1523" ht="12" customHeight="1">
      <c r="B313" s="1286" t="s">
        <v>2316</v>
      </c>
      <c r="C313" s="1286"/>
      <c r="D313" s="1286"/>
      <c r="E313" s="1286"/>
      <c r="F313" s="1286"/>
      <c r="G313" s="1286"/>
      <c r="H313" s="1286"/>
      <c r="I313" s="1286"/>
      <c r="J313" s="1286"/>
      <c r="K313" s="1286"/>
      <c r="L313" s="1286"/>
      <c r="P313" s="1292" t="s">
        <v>3421</v>
      </c>
      <c r="Q313" s="633"/>
    </row>
    <row r="314" spans="1:256 1523:1523" ht="11.45" customHeight="1">
      <c r="B314" s="154" t="s">
        <v>2081</v>
      </c>
      <c r="C314" s="1277" t="s">
        <v>478</v>
      </c>
      <c r="D314" s="1275"/>
      <c r="E314" s="1275"/>
      <c r="F314" s="1275"/>
      <c r="G314" s="1275"/>
      <c r="H314" s="1275"/>
      <c r="I314" s="1275"/>
      <c r="J314" s="1275"/>
      <c r="K314" s="1275"/>
      <c r="L314" s="1275"/>
      <c r="M314" s="1275"/>
      <c r="N314" s="177"/>
    </row>
    <row r="315" spans="1:256 1523:1523" ht="22.5" customHeight="1">
      <c r="A315" s="156"/>
      <c r="C315" s="1650" t="s">
        <v>3266</v>
      </c>
      <c r="D315" s="1650"/>
      <c r="E315" s="1650"/>
      <c r="F315" s="1650"/>
      <c r="G315" s="1650"/>
      <c r="H315" s="1650"/>
      <c r="I315" s="1650"/>
      <c r="J315" s="1650"/>
      <c r="K315" s="1650"/>
      <c r="L315" s="1650"/>
      <c r="M315" s="1650"/>
      <c r="N315" s="1650"/>
      <c r="O315" s="177" t="s">
        <v>2081</v>
      </c>
      <c r="P315" s="1298" t="s">
        <v>3421</v>
      </c>
      <c r="Q315" s="2612"/>
    </row>
    <row r="316" spans="1:256 1523:1523" ht="12.6" customHeight="1">
      <c r="B316" s="154" t="s">
        <v>2084</v>
      </c>
      <c r="C316" s="1622" t="s">
        <v>479</v>
      </c>
      <c r="D316" s="1622"/>
      <c r="E316" s="1622"/>
      <c r="F316" s="1622"/>
      <c r="G316" s="1622"/>
      <c r="H316" s="1622"/>
      <c r="I316" s="1622"/>
      <c r="J316" s="1622"/>
      <c r="K316" s="1622"/>
      <c r="L316" s="1622"/>
      <c r="M316" s="1622"/>
      <c r="O316" s="177" t="s">
        <v>2084</v>
      </c>
      <c r="P316" s="1238"/>
      <c r="Q316" s="1274"/>
    </row>
    <row r="317" spans="1:256 1523:1523" ht="23.25" customHeight="1">
      <c r="A317" s="156"/>
      <c r="C317" s="235" t="s">
        <v>1825</v>
      </c>
      <c r="D317" s="236" t="s">
        <v>1183</v>
      </c>
      <c r="E317" s="144"/>
      <c r="F317" s="144"/>
      <c r="G317" s="1657" t="s">
        <v>1185</v>
      </c>
      <c r="H317" s="1658"/>
      <c r="I317" s="1658"/>
      <c r="J317" s="1658"/>
      <c r="K317" s="1658"/>
      <c r="L317" s="1658"/>
      <c r="M317" s="1658"/>
      <c r="N317" s="1659"/>
      <c r="O317" s="239" t="s">
        <v>1825</v>
      </c>
      <c r="P317" s="1296" t="s">
        <v>3421</v>
      </c>
      <c r="Q317" s="2605"/>
      <c r="BFO317" s="160" t="s">
        <v>2903</v>
      </c>
    </row>
    <row r="318" spans="1:256 1523:1523" ht="23.25" customHeight="1">
      <c r="A318" s="156"/>
      <c r="C318" s="235" t="s">
        <v>1826</v>
      </c>
      <c r="D318" s="1616" t="s">
        <v>1184</v>
      </c>
      <c r="E318" s="1626"/>
      <c r="F318" s="1627"/>
      <c r="G318" s="1623" t="s">
        <v>2788</v>
      </c>
      <c r="H318" s="1624"/>
      <c r="I318" s="1624"/>
      <c r="J318" s="1624"/>
      <c r="K318" s="1624"/>
      <c r="L318" s="1624"/>
      <c r="M318" s="1624"/>
      <c r="N318" s="1625"/>
      <c r="O318" s="239" t="s">
        <v>1826</v>
      </c>
      <c r="P318" s="1297" t="s">
        <v>3421</v>
      </c>
      <c r="Q318" s="2606"/>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2812</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05"/>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06"/>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1959</v>
      </c>
      <c r="D324" s="153"/>
      <c r="E324" s="153"/>
      <c r="F324" s="153"/>
      <c r="G324" s="153"/>
      <c r="H324" s="40"/>
      <c r="I324" s="787"/>
      <c r="J324" s="787"/>
      <c r="K324" s="787"/>
      <c r="L324" s="1238"/>
      <c r="M324" s="1238"/>
      <c r="N324" s="1238"/>
      <c r="O324" s="1238"/>
      <c r="P324" s="1238"/>
      <c r="Q324" s="1274"/>
    </row>
    <row r="325" spans="1:256" ht="11.45" customHeight="1">
      <c r="A325" s="1596" t="s">
        <v>4460</v>
      </c>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3276</v>
      </c>
      <c r="C329" s="1246"/>
      <c r="D329" s="1244"/>
      <c r="E329" s="1244"/>
      <c r="F329" s="1244"/>
      <c r="G329" s="1244"/>
      <c r="H329" s="1244"/>
      <c r="O329" s="143" t="s">
        <v>1961</v>
      </c>
      <c r="P329" s="1640"/>
      <c r="Q329" s="1672"/>
    </row>
    <row r="330" spans="1:256" ht="11.45" customHeight="1">
      <c r="B330" s="56" t="s">
        <v>3277</v>
      </c>
      <c r="P330" s="1291" t="s">
        <v>3424</v>
      </c>
      <c r="Q330" s="631"/>
    </row>
    <row r="331" spans="1:256" ht="11.45" customHeight="1">
      <c r="B331" s="157" t="s">
        <v>2460</v>
      </c>
      <c r="P331" s="1292"/>
      <c r="Q331" s="633"/>
    </row>
    <row r="332" spans="1:256" ht="11.45" customHeight="1">
      <c r="B332" s="56" t="s">
        <v>3278</v>
      </c>
      <c r="M332" s="1634" t="s">
        <v>3279</v>
      </c>
      <c r="N332" s="1635"/>
      <c r="O332" s="1636"/>
    </row>
    <row r="333" spans="1:256" ht="11.45" customHeight="1">
      <c r="B333" s="459" t="s">
        <v>2461</v>
      </c>
      <c r="M333" s="2613" t="s">
        <v>3279</v>
      </c>
      <c r="N333" s="2614"/>
      <c r="O333" s="2615"/>
    </row>
    <row r="334" spans="1:256" ht="11.25" customHeight="1">
      <c r="B334" s="153" t="s">
        <v>1959</v>
      </c>
      <c r="D334" s="153"/>
      <c r="E334" s="153"/>
      <c r="F334" s="153"/>
      <c r="G334" s="153"/>
      <c r="H334" s="40"/>
      <c r="I334" s="787"/>
      <c r="J334" s="787"/>
      <c r="K334" s="787"/>
      <c r="L334" s="1238"/>
      <c r="M334" s="1238"/>
      <c r="N334" s="1238"/>
      <c r="O334" s="1238"/>
      <c r="P334" s="1238"/>
      <c r="Q334" s="1274"/>
    </row>
    <row r="335" spans="1:256" ht="13.15" customHeight="1">
      <c r="A335" s="1596" t="s">
        <v>4461</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2806</v>
      </c>
      <c r="C339" s="4"/>
      <c r="D339" s="91"/>
      <c r="E339" s="1244"/>
      <c r="F339" s="1244"/>
      <c r="G339" s="1244"/>
      <c r="H339" s="1244"/>
      <c r="I339" s="1244"/>
      <c r="J339" s="1244"/>
      <c r="K339" s="1244"/>
      <c r="L339" s="1244"/>
      <c r="M339" s="1244"/>
      <c r="O339" s="143" t="s">
        <v>1961</v>
      </c>
      <c r="P339" s="1640"/>
      <c r="Q339" s="1672"/>
    </row>
    <row r="340" spans="1:31" ht="22.15" customHeight="1">
      <c r="B340" s="154" t="s">
        <v>2081</v>
      </c>
      <c r="C340" s="1616" t="s">
        <v>4180</v>
      </c>
      <c r="D340" s="1616"/>
      <c r="E340" s="1616"/>
      <c r="F340" s="1616"/>
      <c r="G340" s="1616"/>
      <c r="H340" s="1616"/>
      <c r="I340" s="1616"/>
      <c r="J340" s="1616"/>
      <c r="K340" s="1616"/>
      <c r="L340" s="1616"/>
      <c r="M340" s="1616"/>
      <c r="N340" s="1616"/>
      <c r="O340" s="177" t="s">
        <v>2081</v>
      </c>
      <c r="P340" s="1291"/>
      <c r="Q340" s="631"/>
    </row>
    <row r="341" spans="1:31" ht="12" customHeight="1">
      <c r="B341" s="154" t="s">
        <v>2084</v>
      </c>
      <c r="C341" s="1616" t="s">
        <v>3302</v>
      </c>
      <c r="D341" s="1616"/>
      <c r="E341" s="1616"/>
      <c r="F341" s="1616"/>
      <c r="G341" s="1616"/>
      <c r="H341" s="1616"/>
      <c r="I341" s="1616"/>
      <c r="J341" s="1616"/>
      <c r="K341" s="1616"/>
      <c r="L341" s="1616"/>
      <c r="M341" s="1616"/>
      <c r="N341" s="1616"/>
      <c r="O341" s="177" t="s">
        <v>2084</v>
      </c>
      <c r="P341" s="1293" t="s">
        <v>3421</v>
      </c>
      <c r="Q341" s="632"/>
    </row>
    <row r="342" spans="1:31" ht="12" customHeight="1">
      <c r="B342" s="154" t="s">
        <v>789</v>
      </c>
      <c r="C342" s="1286" t="s">
        <v>3127</v>
      </c>
      <c r="D342" s="1286"/>
      <c r="E342" s="1286"/>
      <c r="F342" s="1286"/>
      <c r="G342" s="1286"/>
      <c r="H342" s="1286"/>
      <c r="I342" s="1286"/>
      <c r="J342" s="1286"/>
      <c r="K342" s="1286"/>
      <c r="L342" s="1286"/>
      <c r="M342" s="1286"/>
      <c r="O342" s="177" t="s">
        <v>789</v>
      </c>
      <c r="P342" s="1293" t="s">
        <v>3421</v>
      </c>
      <c r="Q342" s="632"/>
    </row>
    <row r="343" spans="1:31" ht="12" customHeight="1">
      <c r="B343" s="154" t="s">
        <v>2216</v>
      </c>
      <c r="C343" s="1616" t="s">
        <v>3033</v>
      </c>
      <c r="D343" s="1616"/>
      <c r="E343" s="1616"/>
      <c r="F343" s="1616"/>
      <c r="G343" s="1616"/>
      <c r="H343" s="1616"/>
      <c r="I343" s="1616"/>
      <c r="J343" s="1616"/>
      <c r="K343" s="1616"/>
      <c r="L343" s="1616"/>
      <c r="M343" s="1616"/>
      <c r="N343" s="1616"/>
      <c r="O343" s="177" t="s">
        <v>2216</v>
      </c>
      <c r="P343" s="1293" t="s">
        <v>3421</v>
      </c>
      <c r="Q343" s="632"/>
    </row>
    <row r="344" spans="1:31" ht="12" customHeight="1">
      <c r="B344" s="154" t="s">
        <v>1823</v>
      </c>
      <c r="C344" s="1616" t="s">
        <v>3128</v>
      </c>
      <c r="D344" s="1616"/>
      <c r="E344" s="1616"/>
      <c r="F344" s="1616"/>
      <c r="G344" s="1616"/>
      <c r="H344" s="1616"/>
      <c r="I344" s="1616"/>
      <c r="J344" s="1616"/>
      <c r="K344" s="1616"/>
      <c r="L344" s="1616"/>
      <c r="M344" s="1616"/>
      <c r="N344" s="1616"/>
      <c r="O344" s="177" t="s">
        <v>1823</v>
      </c>
      <c r="P344" s="1292"/>
      <c r="Q344" s="633"/>
    </row>
    <row r="345" spans="1:31" ht="11.25" customHeight="1">
      <c r="B345" s="153" t="s">
        <v>1959</v>
      </c>
      <c r="D345" s="153"/>
      <c r="E345" s="153"/>
      <c r="F345" s="153"/>
      <c r="G345" s="153"/>
      <c r="H345" s="40"/>
      <c r="I345" s="787"/>
      <c r="J345" s="787"/>
      <c r="K345" s="787"/>
      <c r="L345" s="1238"/>
      <c r="M345" s="1238"/>
      <c r="N345" s="1238"/>
      <c r="O345" s="1238"/>
      <c r="P345" s="1238"/>
      <c r="Q345" s="1274"/>
    </row>
    <row r="346" spans="1:31" ht="11.45" customHeight="1">
      <c r="A346" s="1596" t="s">
        <v>4462</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2834</v>
      </c>
      <c r="C350" s="4"/>
      <c r="D350" s="4"/>
      <c r="E350" s="4"/>
      <c r="F350" s="4"/>
      <c r="G350" s="4"/>
      <c r="H350" s="1244"/>
      <c r="I350" s="1244"/>
      <c r="J350" s="1244"/>
      <c r="K350" s="1244"/>
      <c r="L350" s="1244"/>
      <c r="M350" s="1244"/>
      <c r="O350" s="143" t="s">
        <v>1961</v>
      </c>
      <c r="P350" s="1640"/>
      <c r="Q350" s="1672"/>
    </row>
    <row r="351" spans="1:31" ht="12" customHeight="1">
      <c r="B351" s="47" t="s">
        <v>2081</v>
      </c>
      <c r="C351" s="126" t="s">
        <v>2830</v>
      </c>
      <c r="D351" s="163"/>
      <c r="E351" s="163"/>
      <c r="F351" s="163"/>
      <c r="G351" s="163"/>
      <c r="H351" s="163"/>
      <c r="I351" s="42"/>
      <c r="J351" s="531" t="s">
        <v>2081</v>
      </c>
      <c r="K351" s="1593"/>
      <c r="L351" s="1594"/>
      <c r="M351" s="1594"/>
      <c r="N351" s="1594"/>
      <c r="O351" s="1594"/>
      <c r="P351" s="1595"/>
      <c r="Q351" s="2589"/>
    </row>
    <row r="352" spans="1:31" ht="22.5" customHeight="1">
      <c r="B352" s="154" t="s">
        <v>2084</v>
      </c>
      <c r="C352" s="1568" t="s">
        <v>2829</v>
      </c>
      <c r="D352" s="1568"/>
      <c r="E352" s="1568"/>
      <c r="F352" s="1568"/>
      <c r="G352" s="1568"/>
      <c r="H352" s="1568"/>
      <c r="I352" s="1568"/>
      <c r="J352" s="1568"/>
      <c r="K352" s="1568"/>
      <c r="L352" s="1568"/>
      <c r="M352" s="1568"/>
      <c r="N352" s="1568"/>
      <c r="O352" s="177" t="s">
        <v>2084</v>
      </c>
      <c r="P352" s="1296"/>
      <c r="Q352" s="631"/>
    </row>
    <row r="353" spans="1:32" ht="11.45" customHeight="1">
      <c r="B353" s="47" t="s">
        <v>789</v>
      </c>
      <c r="C353" s="53" t="s">
        <v>2831</v>
      </c>
      <c r="D353" s="53"/>
      <c r="E353" s="53"/>
      <c r="F353" s="53"/>
      <c r="G353" s="53"/>
      <c r="H353" s="53"/>
      <c r="I353" s="53"/>
      <c r="J353" s="53"/>
      <c r="K353" s="53"/>
      <c r="L353" s="1275"/>
      <c r="M353" s="1275"/>
      <c r="O353" s="531" t="s">
        <v>789</v>
      </c>
      <c r="P353" s="1293"/>
      <c r="Q353" s="632"/>
    </row>
    <row r="354" spans="1:32" ht="11.45" customHeight="1">
      <c r="B354" s="47" t="s">
        <v>2216</v>
      </c>
      <c r="C354" s="53" t="s">
        <v>2832</v>
      </c>
      <c r="D354" s="53"/>
      <c r="E354" s="53"/>
      <c r="F354" s="53"/>
      <c r="G354" s="53"/>
      <c r="H354" s="53"/>
      <c r="I354" s="53"/>
      <c r="J354" s="53"/>
      <c r="K354" s="53"/>
      <c r="L354" s="53"/>
      <c r="M354" s="53"/>
      <c r="O354" s="531" t="s">
        <v>2216</v>
      </c>
      <c r="P354" s="1293"/>
      <c r="Q354" s="632"/>
    </row>
    <row r="355" spans="1:32" s="144" customFormat="1" ht="11.45" customHeight="1">
      <c r="B355" s="154" t="s">
        <v>1823</v>
      </c>
      <c r="C355" s="1616" t="s">
        <v>2835</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2836</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38"/>
      <c r="M358" s="1238"/>
      <c r="N358" s="1238"/>
      <c r="O358" s="1238"/>
      <c r="P358" s="1238"/>
      <c r="Q358" s="1274"/>
    </row>
    <row r="359" spans="1:32" ht="11.45" customHeight="1">
      <c r="A359" s="1596" t="s">
        <v>4463</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2837</v>
      </c>
      <c r="C363" s="4"/>
      <c r="D363" s="4"/>
      <c r="E363" s="4"/>
      <c r="F363" s="4"/>
      <c r="G363" s="4"/>
      <c r="H363" s="1244"/>
      <c r="I363" s="1244"/>
      <c r="J363" s="1244"/>
      <c r="O363" s="143" t="s">
        <v>1961</v>
      </c>
      <c r="P363" s="1640"/>
      <c r="Q363" s="1672"/>
    </row>
    <row r="364" spans="1:32" ht="11.45" customHeight="1">
      <c r="B364" s="47" t="s">
        <v>2081</v>
      </c>
      <c r="C364" s="126" t="s">
        <v>1084</v>
      </c>
      <c r="E364" s="1647"/>
      <c r="F364" s="1648"/>
      <c r="G364" s="1648"/>
      <c r="H364" s="1648"/>
      <c r="I364" s="1649"/>
      <c r="J364" s="1619" t="s">
        <v>2811</v>
      </c>
      <c r="K364" s="1620"/>
      <c r="L364" s="1621"/>
      <c r="M364" s="1647"/>
      <c r="N364" s="1648"/>
      <c r="O364" s="1648"/>
      <c r="P364" s="1648"/>
      <c r="Q364" s="1649"/>
    </row>
    <row r="365" spans="1:32" ht="11.45" customHeight="1">
      <c r="B365" s="47" t="s">
        <v>2084</v>
      </c>
      <c r="C365" s="53" t="s">
        <v>4081</v>
      </c>
      <c r="D365" s="53"/>
      <c r="E365" s="53"/>
      <c r="F365" s="53"/>
      <c r="G365" s="53"/>
      <c r="H365" s="53"/>
      <c r="I365" s="53"/>
      <c r="J365" s="53"/>
      <c r="K365" s="53"/>
      <c r="L365" s="1275"/>
      <c r="M365" s="1275"/>
      <c r="O365" s="531" t="s">
        <v>2084</v>
      </c>
      <c r="P365" s="1291"/>
      <c r="Q365" s="631"/>
    </row>
    <row r="366" spans="1:32" ht="22.5" customHeight="1">
      <c r="B366" s="154" t="s">
        <v>789</v>
      </c>
      <c r="C366" s="1568" t="s">
        <v>4181</v>
      </c>
      <c r="D366" s="1568"/>
      <c r="E366" s="1568"/>
      <c r="F366" s="1568"/>
      <c r="G366" s="1568"/>
      <c r="H366" s="1568"/>
      <c r="I366" s="1568"/>
      <c r="J366" s="1568"/>
      <c r="K366" s="1568"/>
      <c r="L366" s="1568"/>
      <c r="M366" s="1568"/>
      <c r="N366" s="1568"/>
      <c r="O366" s="531" t="s">
        <v>789</v>
      </c>
      <c r="P366" s="1292"/>
      <c r="Q366" s="633"/>
    </row>
    <row r="367" spans="1:32">
      <c r="B367" s="47" t="s">
        <v>2216</v>
      </c>
      <c r="C367" s="1275" t="s">
        <v>4182</v>
      </c>
      <c r="D367" s="1239"/>
      <c r="E367" s="1632">
        <f>'Part III-Sources of Funds'!H10</f>
        <v>0</v>
      </c>
      <c r="F367" s="1633"/>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38"/>
      <c r="M368" s="1238"/>
      <c r="N368" s="1238"/>
      <c r="O368" s="1238"/>
      <c r="P368" s="1238"/>
      <c r="Q368" s="1274"/>
    </row>
    <row r="369" spans="1:31" ht="11.45" customHeight="1">
      <c r="A369" s="1596"/>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2807</v>
      </c>
      <c r="C373" s="4"/>
      <c r="D373" s="4"/>
      <c r="E373" s="1244"/>
      <c r="G373" s="152" t="s">
        <v>739</v>
      </c>
      <c r="H373" s="1244"/>
      <c r="I373" s="1244"/>
      <c r="J373" s="1244"/>
      <c r="K373" s="1244"/>
      <c r="L373" s="1244"/>
      <c r="M373" s="1244"/>
      <c r="O373" s="143" t="s">
        <v>1961</v>
      </c>
      <c r="P373" s="1640"/>
      <c r="Q373" s="1641"/>
    </row>
    <row r="374" spans="1:31" ht="12" customHeight="1">
      <c r="A374" s="156"/>
      <c r="B374" s="47" t="s">
        <v>2081</v>
      </c>
      <c r="C374" s="53" t="s">
        <v>2813</v>
      </c>
      <c r="D374" s="1281"/>
      <c r="E374" s="1281"/>
      <c r="H374" s="152"/>
      <c r="O374" s="531" t="s">
        <v>2081</v>
      </c>
      <c r="P374" s="1291" t="s">
        <v>3421</v>
      </c>
      <c r="Q374" s="631"/>
    </row>
    <row r="375" spans="1:31" ht="12" customHeight="1">
      <c r="A375" s="156"/>
      <c r="B375" s="47" t="s">
        <v>2084</v>
      </c>
      <c r="C375" s="53" t="s">
        <v>2814</v>
      </c>
      <c r="D375" s="1281"/>
      <c r="E375" s="1281"/>
      <c r="O375" s="531" t="s">
        <v>2084</v>
      </c>
      <c r="P375" s="1293"/>
      <c r="Q375" s="632"/>
    </row>
    <row r="376" spans="1:31" ht="12" customHeight="1">
      <c r="A376" s="156"/>
      <c r="B376" s="47" t="s">
        <v>789</v>
      </c>
      <c r="C376" s="53" t="s">
        <v>2838</v>
      </c>
      <c r="D376" s="1281"/>
      <c r="E376" s="1281"/>
      <c r="O376" s="531" t="s">
        <v>789</v>
      </c>
      <c r="P376" s="1293"/>
      <c r="Q376" s="632"/>
    </row>
    <row r="377" spans="1:31" ht="12" customHeight="1">
      <c r="A377" s="156"/>
      <c r="B377" s="47" t="s">
        <v>2216</v>
      </c>
      <c r="C377" s="53" t="s">
        <v>2810</v>
      </c>
      <c r="E377" s="152"/>
      <c r="O377" s="531" t="s">
        <v>2216</v>
      </c>
      <c r="P377" s="1293"/>
      <c r="Q377" s="632"/>
    </row>
    <row r="378" spans="1:31" ht="12" customHeight="1">
      <c r="B378" s="47" t="s">
        <v>1823</v>
      </c>
      <c r="C378" s="53" t="s">
        <v>2180</v>
      </c>
      <c r="E378" s="152"/>
      <c r="G378" s="531" t="s">
        <v>1823</v>
      </c>
      <c r="H378" s="1683"/>
      <c r="I378" s="1684"/>
      <c r="J378" s="1684"/>
      <c r="K378" s="1684"/>
      <c r="L378" s="1684"/>
      <c r="M378" s="1684"/>
      <c r="N378" s="1684"/>
      <c r="O378" s="1685"/>
      <c r="P378" s="1292"/>
      <c r="Q378" s="633"/>
    </row>
    <row r="379" spans="1:31" ht="11.25" customHeight="1">
      <c r="B379" s="153" t="s">
        <v>1959</v>
      </c>
      <c r="D379" s="153"/>
      <c r="E379" s="153"/>
      <c r="F379" s="153"/>
      <c r="G379" s="153"/>
      <c r="H379" s="40"/>
      <c r="I379" s="787"/>
      <c r="J379" s="787"/>
      <c r="K379" s="787"/>
      <c r="L379" s="1238"/>
      <c r="M379" s="1238"/>
      <c r="N379" s="1238"/>
      <c r="O379" s="1238"/>
      <c r="P379" s="1238"/>
      <c r="Q379" s="1274"/>
    </row>
    <row r="380" spans="1:31" ht="11.45" customHeight="1">
      <c r="A380" s="1596" t="s">
        <v>4467</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2808</v>
      </c>
      <c r="C384" s="4"/>
      <c r="D384" s="4"/>
      <c r="E384" s="4"/>
      <c r="F384" s="4"/>
      <c r="G384" s="4"/>
      <c r="H384" s="1244"/>
      <c r="I384" s="1244"/>
      <c r="J384" s="1244"/>
      <c r="K384" s="1244"/>
      <c r="L384" s="1244"/>
      <c r="M384" s="1244"/>
      <c r="O384" s="143" t="s">
        <v>1961</v>
      </c>
      <c r="P384" s="1640"/>
      <c r="Q384" s="1641"/>
    </row>
    <row r="385" spans="1:32" ht="12" customHeight="1">
      <c r="A385" s="42"/>
      <c r="B385" s="47" t="s">
        <v>2081</v>
      </c>
      <c r="C385" s="39" t="s">
        <v>792</v>
      </c>
      <c r="D385" s="42"/>
      <c r="E385" s="42"/>
      <c r="F385" s="42"/>
      <c r="G385" s="42"/>
      <c r="H385" s="42"/>
      <c r="I385" s="42"/>
      <c r="J385" s="42"/>
      <c r="K385" s="42"/>
      <c r="L385" s="42"/>
      <c r="M385" s="42"/>
      <c r="N385" s="42"/>
      <c r="O385" s="531" t="s">
        <v>2081</v>
      </c>
      <c r="P385" s="1291" t="s">
        <v>3421</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2" t="s">
        <v>3421</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9" t="s">
        <v>3424</v>
      </c>
      <c r="Q389" s="2594"/>
      <c r="AE389" s="1270"/>
      <c r="AF389" s="1270"/>
    </row>
    <row r="390" spans="1:32" ht="12" customHeight="1">
      <c r="A390" s="42"/>
      <c r="B390" s="47" t="s">
        <v>789</v>
      </c>
      <c r="C390" s="1568" t="s">
        <v>2305</v>
      </c>
      <c r="D390" s="1568"/>
      <c r="E390" s="1568"/>
      <c r="F390" s="1568"/>
      <c r="G390" s="1568"/>
      <c r="H390" s="1568"/>
      <c r="I390" s="1568"/>
      <c r="J390" s="1568"/>
      <c r="K390" s="1568"/>
      <c r="L390" s="1568"/>
      <c r="M390" s="1568"/>
      <c r="N390" s="1568"/>
      <c r="O390" s="531" t="s">
        <v>789</v>
      </c>
      <c r="P390" s="1292" t="s">
        <v>3421</v>
      </c>
      <c r="Q390" s="633"/>
    </row>
    <row r="391" spans="1:32" ht="12" customHeight="1">
      <c r="A391" s="42"/>
      <c r="B391" s="47" t="s">
        <v>2216</v>
      </c>
      <c r="C391" s="1275" t="s">
        <v>3129</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v>0</v>
      </c>
      <c r="H392" s="2616" t="s">
        <v>254</v>
      </c>
      <c r="J392" s="146" t="s">
        <v>2310</v>
      </c>
      <c r="K392" s="1275"/>
      <c r="N392" s="1300"/>
      <c r="O392" s="2616" t="s">
        <v>254</v>
      </c>
    </row>
    <row r="393" spans="1:32" ht="12" customHeight="1">
      <c r="A393" s="42"/>
      <c r="B393" s="47"/>
      <c r="C393" s="146" t="s">
        <v>2308</v>
      </c>
      <c r="D393" s="36"/>
      <c r="E393" s="42"/>
      <c r="F393" s="1275"/>
      <c r="G393" s="1301">
        <v>37</v>
      </c>
      <c r="H393" s="2617"/>
      <c r="J393" s="146" t="s">
        <v>2311</v>
      </c>
      <c r="K393" s="1275"/>
      <c r="N393" s="1302"/>
      <c r="O393" s="2618"/>
    </row>
    <row r="394" spans="1:32" ht="12" customHeight="1">
      <c r="A394" s="42"/>
      <c r="B394" s="47"/>
      <c r="C394" s="146" t="s">
        <v>2309</v>
      </c>
      <c r="D394" s="36"/>
      <c r="E394" s="42"/>
      <c r="F394" s="1275"/>
      <c r="G394" s="1302">
        <v>12</v>
      </c>
      <c r="H394" s="2618"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t="s">
        <v>3421</v>
      </c>
      <c r="H396" s="631"/>
      <c r="J396" s="484" t="s">
        <v>1238</v>
      </c>
      <c r="K396" s="1275"/>
      <c r="N396" s="1299" t="s">
        <v>3421</v>
      </c>
      <c r="O396" s="2594"/>
    </row>
    <row r="397" spans="1:32" ht="12" customHeight="1">
      <c r="A397" s="42"/>
      <c r="B397" s="47"/>
      <c r="C397" s="484" t="s">
        <v>1237</v>
      </c>
      <c r="D397" s="1275"/>
      <c r="E397" s="1275"/>
      <c r="F397" s="1275"/>
      <c r="G397" s="1292" t="s">
        <v>3421</v>
      </c>
      <c r="H397" s="633"/>
      <c r="J397" s="484" t="s">
        <v>2362</v>
      </c>
      <c r="N397" s="1651"/>
      <c r="O397" s="1652"/>
      <c r="P397" s="1652"/>
      <c r="Q397" s="1653"/>
    </row>
    <row r="398" spans="1:32" ht="12" customHeight="1">
      <c r="B398" s="153" t="s">
        <v>1959</v>
      </c>
      <c r="D398" s="153"/>
      <c r="E398" s="153"/>
      <c r="F398" s="153"/>
      <c r="G398" s="153"/>
      <c r="H398" s="40"/>
      <c r="I398" s="787"/>
      <c r="J398" s="787"/>
      <c r="K398" s="787"/>
      <c r="P398" s="1238"/>
      <c r="Q398" s="1274"/>
    </row>
    <row r="399" spans="1:32" ht="12" customHeight="1">
      <c r="A399" s="1596" t="s">
        <v>4466</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3130</v>
      </c>
      <c r="C403" s="4"/>
      <c r="D403" s="91"/>
      <c r="E403" s="1244"/>
      <c r="F403" s="1244"/>
      <c r="G403" s="1244"/>
      <c r="H403" s="1244"/>
      <c r="O403" s="143" t="s">
        <v>1961</v>
      </c>
      <c r="P403" s="1640"/>
      <c r="Q403" s="1672"/>
    </row>
    <row r="404" spans="1:32" ht="13.9" customHeight="1">
      <c r="A404" s="1246"/>
      <c r="B404" s="91" t="s">
        <v>3839</v>
      </c>
      <c r="C404" s="4"/>
      <c r="D404" s="91"/>
      <c r="E404" s="1244"/>
      <c r="F404" s="1244"/>
      <c r="G404" s="1244"/>
      <c r="H404" s="1244"/>
    </row>
    <row r="405" spans="1:32" s="144" customFormat="1" ht="21.75" customHeight="1">
      <c r="B405" s="154" t="s">
        <v>2081</v>
      </c>
      <c r="C405" s="1617" t="s">
        <v>3840</v>
      </c>
      <c r="D405" s="1617"/>
      <c r="E405" s="1617"/>
      <c r="F405" s="1617"/>
      <c r="G405" s="1617"/>
      <c r="H405" s="1617"/>
      <c r="I405" s="1617"/>
      <c r="J405" s="1617"/>
      <c r="K405" s="1617"/>
      <c r="L405" s="1617"/>
      <c r="M405" s="1617"/>
      <c r="N405" s="1617"/>
      <c r="O405" s="177" t="s">
        <v>2081</v>
      </c>
      <c r="P405" s="1296" t="s">
        <v>4424</v>
      </c>
      <c r="Q405" s="2605"/>
      <c r="AE405" s="534"/>
      <c r="AF405" s="534"/>
    </row>
    <row r="406" spans="1:32" s="144" customFormat="1">
      <c r="B406" s="154" t="s">
        <v>2084</v>
      </c>
      <c r="C406" s="1617" t="s">
        <v>4184</v>
      </c>
      <c r="D406" s="1617"/>
      <c r="E406" s="1617"/>
      <c r="F406" s="1617"/>
      <c r="G406" s="1617"/>
      <c r="H406" s="1617"/>
      <c r="I406" s="1617"/>
      <c r="J406" s="1617"/>
      <c r="K406" s="1617"/>
      <c r="L406" s="1617"/>
      <c r="M406" s="1617"/>
      <c r="N406" s="1617"/>
      <c r="O406" s="177" t="s">
        <v>2084</v>
      </c>
      <c r="P406" s="1294" t="s">
        <v>4424</v>
      </c>
      <c r="Q406" s="634"/>
      <c r="AE406" s="534"/>
      <c r="AF406" s="534"/>
    </row>
    <row r="407" spans="1:32" s="144" customFormat="1">
      <c r="B407" s="154" t="s">
        <v>789</v>
      </c>
      <c r="C407" s="1617" t="s">
        <v>4185</v>
      </c>
      <c r="D407" s="1617"/>
      <c r="E407" s="1617"/>
      <c r="F407" s="1617"/>
      <c r="G407" s="1617"/>
      <c r="H407" s="1617"/>
      <c r="I407" s="1617"/>
      <c r="J407" s="1617"/>
      <c r="K407" s="1617"/>
      <c r="L407" s="1617"/>
      <c r="M407" s="1617"/>
      <c r="N407" s="1617"/>
      <c r="O407" s="177" t="s">
        <v>789</v>
      </c>
      <c r="P407" s="1294" t="s">
        <v>4424</v>
      </c>
      <c r="Q407" s="634"/>
      <c r="AE407" s="534"/>
      <c r="AF407" s="534"/>
    </row>
    <row r="408" spans="1:32" s="144" customFormat="1" ht="22.5" customHeight="1">
      <c r="B408" s="154" t="s">
        <v>2216</v>
      </c>
      <c r="C408" s="1617" t="s">
        <v>3841</v>
      </c>
      <c r="D408" s="1617"/>
      <c r="E408" s="1617"/>
      <c r="F408" s="1617"/>
      <c r="G408" s="1617"/>
      <c r="H408" s="1617"/>
      <c r="I408" s="1617"/>
      <c r="J408" s="1617"/>
      <c r="K408" s="1617"/>
      <c r="L408" s="1617"/>
      <c r="M408" s="1617"/>
      <c r="N408" s="1617"/>
      <c r="O408" s="177" t="s">
        <v>2216</v>
      </c>
      <c r="P408" s="1294" t="s">
        <v>4424</v>
      </c>
      <c r="Q408" s="634"/>
      <c r="AE408" s="534"/>
      <c r="AF408" s="534"/>
    </row>
    <row r="409" spans="1:32" s="144" customFormat="1">
      <c r="B409" s="154" t="s">
        <v>1823</v>
      </c>
      <c r="C409" s="1617" t="s">
        <v>3842</v>
      </c>
      <c r="D409" s="1617"/>
      <c r="E409" s="1617"/>
      <c r="F409" s="1617"/>
      <c r="G409" s="1617"/>
      <c r="H409" s="1617"/>
      <c r="I409" s="1617"/>
      <c r="J409" s="1617"/>
      <c r="K409" s="1617"/>
      <c r="L409" s="1617"/>
      <c r="M409" s="1617"/>
      <c r="N409" s="1617"/>
      <c r="O409" s="177" t="s">
        <v>1823</v>
      </c>
      <c r="P409" s="1294" t="s">
        <v>4424</v>
      </c>
      <c r="Q409" s="634"/>
      <c r="AE409" s="534"/>
      <c r="AF409" s="534"/>
    </row>
    <row r="410" spans="1:32" s="144" customFormat="1">
      <c r="B410" s="154" t="s">
        <v>1824</v>
      </c>
      <c r="C410" s="1617" t="s">
        <v>3843</v>
      </c>
      <c r="D410" s="1617"/>
      <c r="E410" s="1617"/>
      <c r="F410" s="1617"/>
      <c r="G410" s="1617"/>
      <c r="H410" s="1617"/>
      <c r="I410" s="1617"/>
      <c r="J410" s="1617"/>
      <c r="K410" s="1617"/>
      <c r="L410" s="1617"/>
      <c r="M410" s="1617"/>
      <c r="N410" s="1617"/>
      <c r="O410" s="177" t="s">
        <v>1824</v>
      </c>
      <c r="P410" s="1294" t="s">
        <v>4424</v>
      </c>
      <c r="Q410" s="634"/>
      <c r="AE410" s="534"/>
      <c r="AF410" s="534"/>
    </row>
    <row r="411" spans="1:32" s="144" customFormat="1" ht="21.75" customHeight="1">
      <c r="B411" s="154" t="s">
        <v>2044</v>
      </c>
      <c r="C411" s="1617" t="s">
        <v>4188</v>
      </c>
      <c r="D411" s="1617"/>
      <c r="E411" s="1617"/>
      <c r="F411" s="1617"/>
      <c r="G411" s="1617"/>
      <c r="H411" s="1617"/>
      <c r="I411" s="1617"/>
      <c r="J411" s="1617"/>
      <c r="K411" s="1617"/>
      <c r="L411" s="1617"/>
      <c r="M411" s="1617"/>
      <c r="N411" s="1617"/>
      <c r="O411" s="177" t="s">
        <v>2044</v>
      </c>
      <c r="P411" s="1297" t="s">
        <v>4424</v>
      </c>
      <c r="Q411" s="2606"/>
      <c r="AE411" s="534"/>
      <c r="AF411" s="534"/>
    </row>
    <row r="412" spans="1:32" ht="11.25" customHeight="1">
      <c r="B412" s="153" t="s">
        <v>1959</v>
      </c>
      <c r="D412" s="153"/>
      <c r="E412" s="153"/>
      <c r="F412" s="153"/>
      <c r="G412" s="153"/>
      <c r="H412" s="40"/>
      <c r="I412" s="787"/>
      <c r="J412" s="787"/>
      <c r="K412" s="787"/>
      <c r="L412" s="1238"/>
      <c r="M412" s="1238"/>
      <c r="N412" s="1238"/>
      <c r="O412" s="1238"/>
      <c r="P412" s="1238"/>
      <c r="Q412" s="1274"/>
    </row>
    <row r="413" spans="1:32" ht="11.45" customHeight="1">
      <c r="A413" s="1596" t="s">
        <v>4468</v>
      </c>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2809</v>
      </c>
      <c r="C417" s="4"/>
      <c r="D417" s="91"/>
      <c r="E417" s="1244"/>
      <c r="F417" s="1244"/>
      <c r="G417" s="1244"/>
      <c r="H417" s="1244"/>
      <c r="I417" s="1244"/>
      <c r="J417" s="1244"/>
      <c r="K417" s="1244"/>
      <c r="L417" s="1244"/>
      <c r="M417" s="1244"/>
      <c r="O417" s="143" t="s">
        <v>1961</v>
      </c>
      <c r="P417" s="1640"/>
      <c r="Q417" s="1672"/>
    </row>
    <row r="418" spans="1:32" ht="11.25" customHeight="1">
      <c r="A418" s="1246"/>
      <c r="B418" s="153" t="s">
        <v>1959</v>
      </c>
      <c r="D418" s="153"/>
      <c r="E418" s="153"/>
      <c r="F418" s="153"/>
      <c r="G418" s="153"/>
      <c r="H418" s="40"/>
      <c r="I418" s="787"/>
      <c r="J418" s="787"/>
      <c r="K418" s="787"/>
      <c r="L418" s="1238"/>
      <c r="M418" s="1238"/>
      <c r="N418" s="1238"/>
      <c r="O418" s="1238"/>
      <c r="P418" s="1238"/>
      <c r="Q418" s="1274"/>
    </row>
    <row r="419" spans="1:32" ht="11.45" customHeight="1">
      <c r="A419" s="1596" t="s">
        <v>4469</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2rkaSYxt4uFo2Mn7/9Jiahi6Rc1mK3zKm0MAqApfh5nLU3t/8vhqvy9iFkP0T1ywz/mqlZr1LXWDa80Ir3wXlQ==" saltValue="BeLZX1Gn5aKYhRL8pANGy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2015-056 Lakeview Apartments, Fort Valley, Peach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4189</v>
      </c>
      <c r="B3" s="1785"/>
      <c r="C3" s="1785"/>
      <c r="D3" s="1785"/>
      <c r="E3" s="1785"/>
      <c r="F3" s="1785"/>
      <c r="G3" s="1785"/>
      <c r="H3" s="1785"/>
      <c r="I3" s="1785"/>
      <c r="J3" s="1785"/>
      <c r="K3" s="1785"/>
      <c r="L3" s="1785"/>
      <c r="M3" s="97" t="s">
        <v>2325</v>
      </c>
      <c r="N3" s="77"/>
      <c r="O3" s="87" t="s">
        <v>2324</v>
      </c>
      <c r="P3" s="193" t="s">
        <v>268</v>
      </c>
    </row>
    <row r="4" spans="1:19" s="44" customFormat="1" ht="12.6" customHeight="1">
      <c r="A4" s="1785"/>
      <c r="B4" s="1785"/>
      <c r="C4" s="1785"/>
      <c r="D4" s="1785"/>
      <c r="E4" s="1785"/>
      <c r="F4" s="1785"/>
      <c r="G4" s="1785"/>
      <c r="H4" s="1785"/>
      <c r="I4" s="1785"/>
      <c r="J4" s="1785"/>
      <c r="K4" s="1785"/>
      <c r="L4" s="1785"/>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4384</v>
      </c>
      <c r="I6" s="1723"/>
      <c r="J6" s="1724"/>
      <c r="L6" s="73" t="s">
        <v>1285</v>
      </c>
      <c r="M6" s="299">
        <f>M373</f>
        <v>92</v>
      </c>
      <c r="N6" s="9"/>
      <c r="O6" s="67">
        <f>O373</f>
        <v>51</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2081</v>
      </c>
      <c r="B10" s="184" t="s">
        <v>1962</v>
      </c>
      <c r="D10" s="48"/>
      <c r="E10" s="48"/>
      <c r="F10" s="1251" t="s">
        <v>2711</v>
      </c>
      <c r="G10" s="1275">
        <f>F16</f>
        <v>0</v>
      </c>
      <c r="H10" s="192" t="s">
        <v>3267</v>
      </c>
      <c r="M10" s="6"/>
      <c r="N10" s="68" t="s">
        <v>2081</v>
      </c>
      <c r="O10" s="1303"/>
      <c r="P10" s="2619"/>
    </row>
    <row r="11" spans="1:19" s="43" customFormat="1" ht="11.25" customHeight="1">
      <c r="A11" s="200"/>
      <c r="B11" s="116" t="s">
        <v>2214</v>
      </c>
      <c r="D11" s="48"/>
      <c r="E11" s="48"/>
      <c r="F11" s="1251" t="s">
        <v>2711</v>
      </c>
      <c r="G11" s="1275">
        <f>P16</f>
        <v>0</v>
      </c>
      <c r="H11" s="192" t="s">
        <v>3037</v>
      </c>
      <c r="J11" s="49"/>
      <c r="M11" s="6">
        <v>1</v>
      </c>
      <c r="N11" s="68"/>
      <c r="O11" s="1304"/>
      <c r="P11" s="2620"/>
    </row>
    <row r="12" spans="1:19" s="42" customFormat="1" ht="11.25" customHeight="1">
      <c r="A12" s="200" t="s">
        <v>2084</v>
      </c>
      <c r="B12" s="184" t="s">
        <v>766</v>
      </c>
      <c r="D12" s="48"/>
      <c r="E12" s="48"/>
      <c r="F12" s="1251" t="s">
        <v>2711</v>
      </c>
      <c r="G12" s="1275">
        <f>K16</f>
        <v>0</v>
      </c>
      <c r="H12" s="192" t="s">
        <v>2905</v>
      </c>
      <c r="J12" s="49"/>
      <c r="M12" s="6"/>
      <c r="N12" s="68" t="s">
        <v>2084</v>
      </c>
      <c r="O12" s="1305"/>
      <c r="P12" s="2621"/>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t="s">
        <v>4470</v>
      </c>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3844</v>
      </c>
      <c r="H16" s="1841"/>
      <c r="I16" s="1841"/>
      <c r="J16" s="69" t="s">
        <v>532</v>
      </c>
      <c r="K16" s="80">
        <f>SUM(K17:K28)</f>
        <v>0</v>
      </c>
      <c r="L16" s="1253" t="s">
        <v>3036</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1821</v>
      </c>
      <c r="L17" s="2626">
        <v>1</v>
      </c>
      <c r="M17" s="2627"/>
      <c r="N17" s="2627"/>
      <c r="O17" s="2627"/>
      <c r="P17" s="2625"/>
      <c r="Q17" s="501" t="s">
        <v>1314</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3310</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3310</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2087</v>
      </c>
      <c r="B30" s="119" t="s">
        <v>1065</v>
      </c>
      <c r="E30" s="59"/>
      <c r="G30" s="92"/>
      <c r="H30" s="53"/>
      <c r="I30" s="45" t="s">
        <v>4246</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9" t="s">
        <v>2753</v>
      </c>
      <c r="E31" s="59"/>
      <c r="G31" s="92"/>
      <c r="H31" s="53"/>
      <c r="I31" s="1829" t="s">
        <v>3849</v>
      </c>
      <c r="J31" s="1829"/>
      <c r="M31" s="1273"/>
      <c r="N31" s="7"/>
      <c r="O31" s="758"/>
      <c r="P31" s="7"/>
      <c r="Q31" s="7"/>
      <c r="R31" s="416"/>
    </row>
    <row r="32" spans="1:19" s="477" customFormat="1" ht="11.25" customHeight="1">
      <c r="B32" s="152" t="s">
        <v>3847</v>
      </c>
      <c r="C32" s="760"/>
      <c r="D32" s="760"/>
      <c r="E32" s="759"/>
      <c r="I32" s="1830"/>
      <c r="J32" s="1830"/>
      <c r="K32" s="1825" t="s">
        <v>3846</v>
      </c>
      <c r="L32" s="1825"/>
      <c r="M32" s="483"/>
      <c r="N32" s="479"/>
      <c r="P32" s="765"/>
    </row>
    <row r="33" spans="1:18" s="477" customFormat="1" ht="11.25" customHeight="1">
      <c r="A33" s="476"/>
      <c r="B33" s="152" t="s">
        <v>3848</v>
      </c>
      <c r="C33" s="760"/>
      <c r="E33" s="761" t="s">
        <v>2085</v>
      </c>
      <c r="F33" s="762">
        <v>0.15</v>
      </c>
      <c r="G33" s="152" t="s">
        <v>3845</v>
      </c>
      <c r="I33" s="1306">
        <f>'Part VI-Revenues &amp; Expenses'!$M$57</f>
        <v>21</v>
      </c>
      <c r="J33" s="2640"/>
      <c r="K33" s="766">
        <f>IF(OR('Part VI-Revenues &amp; Expenses'!$M$60="", 'Part VI-Revenues &amp; Expenses'!$M$60=0),0,I33/'Part VI-Revenues &amp; Expenses'!$M$60)</f>
        <v>0.21875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3845</v>
      </c>
      <c r="H34" s="464"/>
      <c r="I34" s="1307">
        <f>'Part VI-Revenues &amp; Expenses'!$M$57</f>
        <v>21</v>
      </c>
      <c r="J34" s="2641"/>
      <c r="K34" s="767">
        <f>IF(OR('Part VI-Revenues &amp; Expenses'!$M$60="", 'Part VI-Revenues &amp; Expenses'!$M$60=0),0,I34/'Part VI-Revenues &amp; Expenses'!$M$60)</f>
        <v>0.21875</v>
      </c>
      <c r="L34" s="767">
        <f>IF(OR('Part VI-Revenues &amp; Expenses'!$M$60="", 'Part VI-Revenues &amp; Expenses'!$M$60=0),0,J34/'Part VI-Revenues &amp; Expenses'!$M$60)</f>
        <v>0</v>
      </c>
      <c r="M34" s="483">
        <v>2</v>
      </c>
      <c r="N34" s="479"/>
      <c r="O34" s="1826" t="s">
        <v>2841</v>
      </c>
      <c r="P34" s="1826"/>
    </row>
    <row r="35" spans="1:18" s="477" customFormat="1" ht="11.25" customHeight="1">
      <c r="A35" s="476" t="s">
        <v>2084</v>
      </c>
      <c r="B35" s="1279" t="s">
        <v>4191</v>
      </c>
      <c r="E35" s="478"/>
      <c r="H35" s="464" t="s">
        <v>2754</v>
      </c>
      <c r="I35" s="1308"/>
      <c r="J35" s="264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4475</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2661</v>
      </c>
      <c r="B41" s="111" t="s">
        <v>1968</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2081</v>
      </c>
      <c r="B43" s="184" t="s">
        <v>1969</v>
      </c>
      <c r="C43" s="4"/>
      <c r="D43" s="4"/>
      <c r="E43" s="192" t="s">
        <v>2890</v>
      </c>
      <c r="F43" s="334"/>
      <c r="G43" s="334"/>
      <c r="J43" s="1808"/>
      <c r="K43" s="1808"/>
      <c r="L43" s="1808"/>
      <c r="M43" s="76">
        <v>12</v>
      </c>
      <c r="N43" s="196" t="s">
        <v>2081</v>
      </c>
      <c r="O43" s="1309">
        <v>12</v>
      </c>
      <c r="P43" s="2642"/>
      <c r="Q43" s="432" t="s">
        <v>2876</v>
      </c>
      <c r="R43" s="416"/>
    </row>
    <row r="44" spans="1:18" s="43" customFormat="1" ht="12" customHeight="1">
      <c r="A44" s="151" t="s">
        <v>2084</v>
      </c>
      <c r="B44" s="184" t="s">
        <v>3965</v>
      </c>
      <c r="C44" s="4"/>
      <c r="D44" s="4"/>
      <c r="F44" s="192" t="s">
        <v>3987</v>
      </c>
      <c r="H44" s="334"/>
      <c r="I44" s="192" t="s">
        <v>3988</v>
      </c>
      <c r="L44" s="614" t="s">
        <v>3967</v>
      </c>
      <c r="M44" s="76">
        <v>1</v>
      </c>
      <c r="N44" s="531" t="s">
        <v>2084</v>
      </c>
      <c r="O44" s="1310">
        <v>1</v>
      </c>
      <c r="P44" s="2643"/>
      <c r="Q44" s="432" t="s">
        <v>2876</v>
      </c>
      <c r="R44" s="416"/>
    </row>
    <row r="45" spans="1:18" s="43" customFormat="1" ht="12" customHeight="1">
      <c r="A45" s="151"/>
      <c r="B45" s="1831" t="s">
        <v>3966</v>
      </c>
      <c r="C45" s="1831"/>
      <c r="D45" s="1831"/>
      <c r="E45" s="1831"/>
      <c r="F45" s="1832" t="s">
        <v>3970</v>
      </c>
      <c r="G45" s="1833"/>
      <c r="H45" s="1834"/>
      <c r="I45" s="1832" t="s">
        <v>4471</v>
      </c>
      <c r="J45" s="1833"/>
      <c r="K45" s="1834"/>
      <c r="L45" s="1311">
        <v>0.9</v>
      </c>
      <c r="M45" s="76"/>
      <c r="N45" s="196"/>
      <c r="O45" s="196"/>
      <c r="P45" s="196"/>
      <c r="Q45" s="432"/>
      <c r="R45" s="416"/>
    </row>
    <row r="46" spans="1:18" s="43" customFormat="1" ht="12" customHeight="1">
      <c r="A46" s="151"/>
      <c r="B46" s="1831"/>
      <c r="C46" s="1831"/>
      <c r="D46" s="1831"/>
      <c r="E46" s="1831"/>
      <c r="F46" s="1835" t="s">
        <v>3977</v>
      </c>
      <c r="G46" s="1836"/>
      <c r="H46" s="1837"/>
      <c r="I46" s="1835" t="s">
        <v>4472</v>
      </c>
      <c r="J46" s="1836"/>
      <c r="K46" s="1837"/>
      <c r="L46" s="1312">
        <v>0.8</v>
      </c>
      <c r="M46" s="76"/>
      <c r="N46" s="196"/>
      <c r="O46" s="196"/>
      <c r="P46" s="196"/>
      <c r="Q46" s="432"/>
      <c r="R46" s="416"/>
    </row>
    <row r="47" spans="1:18" s="43" customFormat="1" ht="12" customHeight="1">
      <c r="A47" s="151"/>
      <c r="B47" s="1831"/>
      <c r="C47" s="1831"/>
      <c r="D47" s="1831"/>
      <c r="E47" s="1831"/>
      <c r="F47" s="1838" t="s">
        <v>3978</v>
      </c>
      <c r="G47" s="1839"/>
      <c r="H47" s="1840"/>
      <c r="I47" s="1838" t="s">
        <v>4473</v>
      </c>
      <c r="J47" s="1839"/>
      <c r="K47" s="1840"/>
      <c r="L47" s="1313">
        <v>0.8</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v>0</v>
      </c>
      <c r="P48" s="2644"/>
      <c r="Q48" s="432" t="s">
        <v>2876</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4474</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2081</v>
      </c>
      <c r="B56" s="1810" t="s">
        <v>4231</v>
      </c>
      <c r="C56" s="1810"/>
      <c r="D56" s="1810"/>
      <c r="E56" s="1810"/>
      <c r="F56" s="1810"/>
      <c r="G56" s="1810"/>
      <c r="H56" s="1810"/>
      <c r="I56" s="1811" t="s">
        <v>4237</v>
      </c>
      <c r="J56" s="1812"/>
      <c r="K56" s="1812"/>
      <c r="L56" s="1813"/>
      <c r="M56" s="594">
        <v>5</v>
      </c>
      <c r="N56" s="433" t="s">
        <v>2081</v>
      </c>
      <c r="O56" s="1315"/>
      <c r="P56" s="2645"/>
      <c r="Q56" s="595" t="str">
        <f>IF(OR($O56=$M56,$O56=0,$O56=""),"","* * Check Score! * *")</f>
        <v/>
      </c>
      <c r="R56" s="432" t="s">
        <v>2876</v>
      </c>
    </row>
    <row r="57" spans="1:18" s="461" customFormat="1" ht="12" customHeight="1">
      <c r="A57" s="156" t="s">
        <v>2084</v>
      </c>
      <c r="B57" s="916" t="s">
        <v>4232</v>
      </c>
      <c r="C57" s="916"/>
      <c r="D57" s="916"/>
      <c r="E57" s="916"/>
      <c r="F57" s="916"/>
      <c r="G57" s="916"/>
      <c r="H57" s="916"/>
      <c r="I57" s="1820" t="s">
        <v>4236</v>
      </c>
      <c r="J57" s="1821"/>
      <c r="K57" s="1821"/>
      <c r="L57" s="1316" t="s">
        <v>4238</v>
      </c>
      <c r="M57" s="594">
        <v>4</v>
      </c>
      <c r="N57" s="177" t="s">
        <v>2084</v>
      </c>
      <c r="O57" s="1317"/>
      <c r="P57" s="2646"/>
      <c r="Q57" s="595" t="str">
        <f>IF(OR($O57=$M57,$O57=0,$O57=""),"","* * Check Score! * *")</f>
        <v/>
      </c>
      <c r="R57" s="432" t="s">
        <v>2876</v>
      </c>
    </row>
    <row r="58" spans="1:18" s="461" customFormat="1" ht="12" customHeight="1">
      <c r="A58" s="151" t="s">
        <v>789</v>
      </c>
      <c r="B58" s="116" t="s">
        <v>4233</v>
      </c>
      <c r="C58" s="916"/>
      <c r="D58" s="916"/>
      <c r="E58" s="916"/>
      <c r="F58" s="916"/>
      <c r="G58" s="916"/>
      <c r="H58" s="916"/>
      <c r="I58" s="1814" t="s">
        <v>4358</v>
      </c>
      <c r="J58" s="1815"/>
      <c r="K58" s="1815"/>
      <c r="L58" s="1816"/>
      <c r="M58" s="594">
        <v>3</v>
      </c>
      <c r="N58" s="196" t="s">
        <v>789</v>
      </c>
      <c r="O58" s="1317"/>
      <c r="P58" s="2646"/>
      <c r="Q58" s="595" t="str">
        <f>IF(OR($O58=$M58,$O58=0,$O58=""),"","* * Check Score! * *")</f>
        <v/>
      </c>
      <c r="R58" s="432" t="s">
        <v>2876</v>
      </c>
    </row>
    <row r="59" spans="1:18" s="43" customFormat="1" ht="12.6" customHeight="1">
      <c r="A59" s="151" t="s">
        <v>2216</v>
      </c>
      <c r="B59" s="116" t="s">
        <v>4234</v>
      </c>
      <c r="E59" s="41"/>
      <c r="I59" s="1817"/>
      <c r="J59" s="1818"/>
      <c r="K59" s="1818"/>
      <c r="L59" s="1819"/>
      <c r="M59" s="76">
        <v>2</v>
      </c>
      <c r="N59" s="196" t="s">
        <v>2216</v>
      </c>
      <c r="O59" s="1318"/>
      <c r="P59" s="2647"/>
      <c r="Q59" s="416" t="str">
        <f>IF(OR($O59=$M59,$O59=0,$O59=""),"","* * Check Score! * *")</f>
        <v/>
      </c>
      <c r="R59" s="432" t="s">
        <v>2876</v>
      </c>
    </row>
    <row r="60" spans="1:18" s="43" customFormat="1" ht="12.6" customHeight="1">
      <c r="A60" s="151" t="s">
        <v>1823</v>
      </c>
      <c r="B60" s="916" t="s">
        <v>4235</v>
      </c>
      <c r="E60" s="41"/>
      <c r="I60" s="1814" t="s">
        <v>4359</v>
      </c>
      <c r="J60" s="1815"/>
      <c r="K60" s="1815"/>
      <c r="L60" s="1816"/>
      <c r="M60" s="76">
        <v>1</v>
      </c>
      <c r="N60" s="196" t="s">
        <v>1823</v>
      </c>
      <c r="O60" s="1310"/>
      <c r="P60" s="2643"/>
      <c r="Q60" s="416" t="str">
        <f>IF(OR($O60=$M60,$O60=0,$O60=""),"","* * Check Score! * *")</f>
        <v/>
      </c>
      <c r="R60" s="432" t="s">
        <v>2876</v>
      </c>
    </row>
    <row r="61" spans="1:18" s="43" customFormat="1" ht="12.6" customHeight="1">
      <c r="A61" s="598" t="s">
        <v>3093</v>
      </c>
      <c r="B61" s="184"/>
      <c r="E61" s="41"/>
      <c r="I61" s="1822"/>
      <c r="J61" s="1823"/>
      <c r="K61" s="1823"/>
      <c r="L61" s="1824"/>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4">
        <v>2</v>
      </c>
      <c r="P62" s="2648"/>
      <c r="Q62" s="416" t="str">
        <f>IF(OR($O62=$M62,$O62=0,$O62=""),"","* * Check Score! * *")</f>
        <v/>
      </c>
      <c r="R62" s="432" t="s">
        <v>2876</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t="s">
        <v>4476</v>
      </c>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9">
        <v>0</v>
      </c>
      <c r="P69" s="2648"/>
      <c r="Q69" s="115" t="s">
        <v>458</v>
      </c>
      <c r="R69" s="432" t="s">
        <v>2876</v>
      </c>
    </row>
    <row r="70" spans="1:18" s="43" customFormat="1" ht="12.6" customHeight="1">
      <c r="A70" s="156" t="s">
        <v>2081</v>
      </c>
      <c r="B70" s="437" t="s">
        <v>2755</v>
      </c>
      <c r="D70" s="41"/>
      <c r="E70" s="36"/>
      <c r="K70" s="1792"/>
      <c r="L70" s="1793"/>
      <c r="M70" s="1794"/>
      <c r="P70" s="531"/>
      <c r="Q70" s="115"/>
    </row>
    <row r="71" spans="1:18" s="43" customFormat="1" ht="12.6" customHeight="1">
      <c r="A71" s="156" t="s">
        <v>2084</v>
      </c>
      <c r="B71" s="437" t="s">
        <v>3989</v>
      </c>
      <c r="D71" s="41"/>
      <c r="E71" s="36"/>
      <c r="K71" s="1792"/>
      <c r="L71" s="1793"/>
      <c r="M71" s="1794"/>
      <c r="O71" s="127" t="s">
        <v>2636</v>
      </c>
      <c r="P71" s="127" t="s">
        <v>2636</v>
      </c>
      <c r="Q71" s="115"/>
    </row>
    <row r="72" spans="1:18" s="43" customFormat="1" ht="12.6" customHeight="1">
      <c r="A72" s="151" t="s">
        <v>789</v>
      </c>
      <c r="B72" s="437" t="s">
        <v>4196</v>
      </c>
      <c r="D72" s="41"/>
      <c r="E72" s="36"/>
      <c r="N72" s="196" t="s">
        <v>789</v>
      </c>
      <c r="O72" s="1287"/>
      <c r="P72" s="258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t="s">
        <v>4477</v>
      </c>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9" t="s">
        <v>4478</v>
      </c>
      <c r="J79" s="1790"/>
      <c r="K79" s="1791"/>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7" t="s">
        <v>3424</v>
      </c>
      <c r="P82" s="2589"/>
      <c r="Q82" s="115"/>
    </row>
    <row r="83" spans="1:17" ht="11.45" customHeight="1">
      <c r="B83" s="412" t="s">
        <v>2085</v>
      </c>
      <c r="C83" s="425" t="s">
        <v>2756</v>
      </c>
      <c r="E83" s="125"/>
      <c r="N83" s="28"/>
      <c r="O83" s="28"/>
      <c r="P83" s="28"/>
    </row>
    <row r="84" spans="1:17" ht="23.25" customHeight="1">
      <c r="A84" s="460" t="str">
        <f>IF(AND(O84="",$I$79="Earth Craft Communities"), "X","")</f>
        <v/>
      </c>
      <c r="B84" s="431"/>
      <c r="C84" s="1760" t="s">
        <v>2758</v>
      </c>
      <c r="D84" s="1760"/>
      <c r="E84" s="1760"/>
      <c r="F84" s="1760"/>
      <c r="G84" s="1760"/>
      <c r="H84" s="1760"/>
      <c r="I84" s="1760"/>
      <c r="J84" s="1760"/>
      <c r="K84" s="1760"/>
      <c r="L84" s="1760"/>
      <c r="M84" s="428" t="str">
        <f>IF(AND($I$102="Stable Communities &lt; 10%",O84=""), "X","")</f>
        <v/>
      </c>
      <c r="N84" s="546" t="s">
        <v>2085</v>
      </c>
      <c r="O84" s="1299"/>
      <c r="P84" s="2594"/>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0" t="s">
        <v>2906</v>
      </c>
      <c r="D86" s="1760"/>
      <c r="E86" s="1760"/>
      <c r="F86" s="1760"/>
      <c r="G86" s="1760"/>
      <c r="H86" s="1760"/>
      <c r="I86" s="1760"/>
      <c r="J86" s="1760"/>
      <c r="K86" s="1760"/>
      <c r="L86" s="1760"/>
      <c r="M86" s="428" t="str">
        <f>IF(AND($I$102="Stable Communities &lt; 10%",O86=""), "X","")</f>
        <v/>
      </c>
      <c r="N86" s="546" t="s">
        <v>2087</v>
      </c>
      <c r="O86" s="1320"/>
      <c r="P86" s="2649"/>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1"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3"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3"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2"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9"/>
      <c r="J93" s="1809"/>
      <c r="K93" s="1809"/>
      <c r="L93" s="1809"/>
      <c r="M93" s="57">
        <v>1</v>
      </c>
      <c r="N93" s="196" t="s">
        <v>789</v>
      </c>
      <c r="O93" s="1319">
        <v>1</v>
      </c>
      <c r="P93" s="2648"/>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4382</v>
      </c>
      <c r="D94" s="41"/>
      <c r="M94" s="2"/>
      <c r="N94" s="546" t="s">
        <v>2085</v>
      </c>
      <c r="O94" s="1299" t="s">
        <v>3421</v>
      </c>
      <c r="P94" s="2594"/>
      <c r="Q94" s="115"/>
    </row>
    <row r="95" spans="1:17" s="32" customFormat="1" ht="11.45" customHeight="1">
      <c r="A95" s="151"/>
      <c r="B95" s="495" t="s">
        <v>2087</v>
      </c>
      <c r="C95" s="146" t="s">
        <v>4381</v>
      </c>
      <c r="D95" s="146"/>
      <c r="H95" s="433" t="s">
        <v>2087</v>
      </c>
      <c r="I95" s="1740" t="s">
        <v>4479</v>
      </c>
      <c r="J95" s="1741"/>
      <c r="K95" s="1742"/>
      <c r="M95" s="146"/>
    </row>
    <row r="96" spans="1:17" s="32" customFormat="1" ht="11.45" customHeight="1">
      <c r="A96" s="151"/>
      <c r="B96" s="495" t="s">
        <v>2661</v>
      </c>
      <c r="C96" s="146" t="s">
        <v>4044</v>
      </c>
      <c r="D96" s="146"/>
      <c r="H96" s="433" t="s">
        <v>2661</v>
      </c>
      <c r="I96" s="1746" t="s">
        <v>4480</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12.75" customHeight="1">
      <c r="A98" s="1743" t="s">
        <v>4481</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3092</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458</v>
      </c>
      <c r="R102" s="43"/>
    </row>
    <row r="103" spans="1:18" ht="11.45" customHeight="1">
      <c r="A103" s="151"/>
      <c r="B103" s="184" t="s">
        <v>3100</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9"/>
      <c r="P104" s="2594"/>
    </row>
    <row r="105" spans="1:18" ht="11.45" customHeight="1">
      <c r="B105" s="412" t="s">
        <v>2087</v>
      </c>
      <c r="C105" s="493" t="s">
        <v>2925</v>
      </c>
      <c r="D105" s="1321"/>
      <c r="E105" s="493" t="s">
        <v>2926</v>
      </c>
      <c r="G105" s="106" t="s">
        <v>2506</v>
      </c>
      <c r="I105" s="146" t="s">
        <v>2924</v>
      </c>
      <c r="J105" s="1322"/>
      <c r="K105" s="885" t="str">
        <f>IF(J105&gt;D105,"CHECK ACTUAL PERCENT!!!","")</f>
        <v/>
      </c>
      <c r="M105" s="482"/>
      <c r="N105" s="480"/>
    </row>
    <row r="106" spans="1:18" ht="11.45" customHeight="1">
      <c r="B106" s="412" t="s">
        <v>2661</v>
      </c>
      <c r="C106" s="466" t="s">
        <v>2507</v>
      </c>
      <c r="E106" s="125"/>
      <c r="G106" s="106" t="s">
        <v>2508</v>
      </c>
      <c r="I106" s="542" t="s">
        <v>2915</v>
      </c>
      <c r="J106" s="1323"/>
      <c r="M106" s="482"/>
    </row>
    <row r="107" spans="1:18" ht="11.45" customHeight="1">
      <c r="B107" s="412" t="s">
        <v>1283</v>
      </c>
      <c r="C107" s="466" t="s">
        <v>4061</v>
      </c>
      <c r="E107" s="493" t="s">
        <v>4064</v>
      </c>
      <c r="H107" s="106"/>
      <c r="I107" s="146"/>
      <c r="J107" s="1324"/>
      <c r="K107" s="487" t="s">
        <v>4065</v>
      </c>
      <c r="M107" s="482"/>
    </row>
    <row r="108" spans="1:18" ht="11.45" customHeight="1">
      <c r="B108" s="412"/>
      <c r="C108" s="466"/>
      <c r="E108" s="493" t="s">
        <v>4062</v>
      </c>
      <c r="H108" s="106"/>
      <c r="I108" s="146"/>
      <c r="J108" s="1325"/>
      <c r="K108" s="487" t="str">
        <f>IF($J$107&gt;J108,"Yes", "No")</f>
        <v>No</v>
      </c>
      <c r="M108" s="482"/>
    </row>
    <row r="109" spans="1:18" ht="11.45" customHeight="1">
      <c r="B109" s="412"/>
      <c r="C109" s="466"/>
      <c r="E109" s="493" t="s">
        <v>4063</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4485</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3851</v>
      </c>
      <c r="C115" s="98"/>
      <c r="D115" s="61"/>
      <c r="E115" s="61"/>
      <c r="H115" s="770"/>
      <c r="J115" s="1786" t="s">
        <v>3869</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3"/>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4046</v>
      </c>
      <c r="E117" s="32"/>
      <c r="G117" s="1753" t="s">
        <v>4486</v>
      </c>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9" t="s">
        <v>3421</v>
      </c>
      <c r="P119" s="2594"/>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7">
        <v>39191</v>
      </c>
      <c r="M122" s="411"/>
      <c r="N122" s="430" t="s">
        <v>2556</v>
      </c>
      <c r="O122" s="1291" t="s">
        <v>3421</v>
      </c>
      <c r="P122" s="631"/>
    </row>
    <row r="123" spans="1:18" s="43" customFormat="1" ht="11.45" customHeight="1">
      <c r="A123" s="411"/>
      <c r="B123" s="413" t="s">
        <v>2557</v>
      </c>
      <c r="C123" s="542" t="s">
        <v>3142</v>
      </c>
      <c r="D123" s="108"/>
      <c r="E123" s="40"/>
      <c r="G123" s="56" t="s">
        <v>3860</v>
      </c>
      <c r="L123" s="1328">
        <v>39173</v>
      </c>
      <c r="N123" s="413" t="s">
        <v>2557</v>
      </c>
      <c r="O123" s="1292" t="s">
        <v>3421</v>
      </c>
      <c r="P123" s="633"/>
    </row>
    <row r="124" spans="1:18" s="43" customFormat="1" ht="11.45" customHeight="1">
      <c r="A124" s="411"/>
      <c r="B124" s="413"/>
      <c r="C124" s="542"/>
      <c r="D124" s="108"/>
      <c r="E124" s="40"/>
      <c r="G124" s="56" t="s">
        <v>3307</v>
      </c>
      <c r="L124" s="1738" t="s">
        <v>4458</v>
      </c>
      <c r="M124" s="1739"/>
    </row>
    <row r="125" spans="1:18" s="43" customFormat="1" ht="11.45" customHeight="1">
      <c r="A125" s="411"/>
      <c r="B125" s="413"/>
      <c r="C125" s="542"/>
      <c r="D125" s="108"/>
      <c r="E125" s="40"/>
      <c r="G125" s="56" t="s">
        <v>3139</v>
      </c>
      <c r="K125" s="432"/>
      <c r="L125" s="1751" t="s">
        <v>4487</v>
      </c>
      <c r="M125" s="1752"/>
    </row>
    <row r="126" spans="1:18" s="43" customFormat="1" ht="11.45" customHeight="1">
      <c r="A126" s="411"/>
      <c r="B126" s="413"/>
      <c r="C126" s="542"/>
      <c r="D126" s="108"/>
      <c r="E126" s="40"/>
      <c r="G126" s="56" t="s">
        <v>3140</v>
      </c>
      <c r="K126" s="432"/>
      <c r="L126" s="1774">
        <v>39191</v>
      </c>
      <c r="M126" s="1775"/>
    </row>
    <row r="127" spans="1:18" s="43" customFormat="1" ht="11.45" customHeight="1">
      <c r="A127" s="411"/>
      <c r="B127" s="413"/>
      <c r="C127" s="542"/>
      <c r="D127" s="108"/>
      <c r="E127" s="40"/>
      <c r="G127" s="56" t="s">
        <v>3139</v>
      </c>
      <c r="K127" s="432"/>
      <c r="L127" s="1751" t="s">
        <v>3141</v>
      </c>
      <c r="M127" s="1752"/>
    </row>
    <row r="128" spans="1:18" s="43" customFormat="1" ht="11.45" customHeight="1">
      <c r="A128" s="411"/>
      <c r="B128" s="413"/>
      <c r="C128" s="542"/>
      <c r="D128" s="108"/>
      <c r="E128" s="40"/>
      <c r="G128" s="56" t="s">
        <v>3140</v>
      </c>
      <c r="K128" s="432"/>
      <c r="L128" s="1749"/>
      <c r="M128" s="1750"/>
    </row>
    <row r="129" spans="1:25" ht="11.25" customHeight="1">
      <c r="B129" s="413" t="s">
        <v>2558</v>
      </c>
      <c r="C129" s="542" t="s">
        <v>3143</v>
      </c>
      <c r="D129" s="106"/>
      <c r="G129" s="484" t="s">
        <v>3308</v>
      </c>
      <c r="L129" s="1769" t="s">
        <v>4488</v>
      </c>
      <c r="M129" s="1770"/>
      <c r="N129" s="413" t="s">
        <v>2558</v>
      </c>
      <c r="O129" s="1299" t="s">
        <v>3421</v>
      </c>
      <c r="P129" s="2594"/>
    </row>
    <row r="130" spans="1:25" ht="11.25" customHeight="1">
      <c r="B130" s="413"/>
      <c r="C130" s="542"/>
      <c r="D130" s="106"/>
      <c r="G130" s="56" t="s">
        <v>4082</v>
      </c>
      <c r="L130" s="1749" t="s">
        <v>4489</v>
      </c>
      <c r="M130" s="1750"/>
      <c r="N130" s="28"/>
      <c r="O130" s="28"/>
      <c r="P130" s="28"/>
    </row>
    <row r="131" spans="1:25" ht="11.25" customHeight="1">
      <c r="B131" s="413" t="s">
        <v>2559</v>
      </c>
      <c r="C131" s="574" t="s">
        <v>3144</v>
      </c>
      <c r="D131" s="106"/>
      <c r="G131" s="317"/>
      <c r="K131" s="40"/>
      <c r="L131" s="1329">
        <v>2</v>
      </c>
      <c r="M131" s="411"/>
      <c r="N131" s="413" t="s">
        <v>2559</v>
      </c>
      <c r="O131" s="1291" t="s">
        <v>3421</v>
      </c>
      <c r="P131" s="631"/>
    </row>
    <row r="132" spans="1:25" ht="11.25" customHeight="1">
      <c r="B132" s="413" t="s">
        <v>2560</v>
      </c>
      <c r="C132" s="574" t="s">
        <v>3145</v>
      </c>
      <c r="K132" s="40"/>
      <c r="L132" s="1330">
        <v>2</v>
      </c>
      <c r="M132" s="411"/>
      <c r="N132" s="413" t="s">
        <v>2560</v>
      </c>
      <c r="O132" s="1293" t="s">
        <v>3421</v>
      </c>
      <c r="P132" s="632"/>
    </row>
    <row r="133" spans="1:25" ht="11.25" customHeight="1">
      <c r="B133" s="430" t="s">
        <v>3866</v>
      </c>
      <c r="C133" s="53" t="s">
        <v>3854</v>
      </c>
      <c r="K133" s="40"/>
      <c r="L133" s="1330">
        <v>3</v>
      </c>
      <c r="M133" s="411"/>
      <c r="N133" s="430" t="s">
        <v>3866</v>
      </c>
      <c r="O133" s="1293" t="s">
        <v>3421</v>
      </c>
      <c r="P133" s="632"/>
    </row>
    <row r="134" spans="1:25" ht="11.25" customHeight="1">
      <c r="B134" s="430" t="s">
        <v>3867</v>
      </c>
      <c r="C134" s="53" t="s">
        <v>3852</v>
      </c>
      <c r="K134" s="40"/>
      <c r="L134" s="1330">
        <v>4</v>
      </c>
      <c r="M134" s="411"/>
      <c r="N134" s="430" t="s">
        <v>3867</v>
      </c>
      <c r="O134" s="1293" t="s">
        <v>3421</v>
      </c>
      <c r="P134" s="632"/>
    </row>
    <row r="135" spans="1:25" ht="11.25" customHeight="1">
      <c r="B135" s="413" t="s">
        <v>2577</v>
      </c>
      <c r="C135" s="574" t="s">
        <v>3146</v>
      </c>
      <c r="K135" s="40"/>
      <c r="L135" s="1330">
        <v>3</v>
      </c>
      <c r="M135" s="411"/>
      <c r="N135" s="413" t="s">
        <v>2577</v>
      </c>
      <c r="O135" s="1293" t="s">
        <v>3421</v>
      </c>
      <c r="P135" s="632"/>
    </row>
    <row r="136" spans="1:25" ht="11.25" customHeight="1">
      <c r="B136" s="430" t="s">
        <v>2578</v>
      </c>
      <c r="C136" s="574" t="s">
        <v>3147</v>
      </c>
      <c r="D136" s="106"/>
      <c r="K136" s="40"/>
      <c r="L136" s="1331">
        <v>4</v>
      </c>
      <c r="M136" s="411"/>
      <c r="N136" s="430" t="s">
        <v>2578</v>
      </c>
      <c r="O136" s="1293" t="s">
        <v>3421</v>
      </c>
      <c r="P136" s="632"/>
    </row>
    <row r="137" spans="1:25" ht="11.25" customHeight="1">
      <c r="B137" s="430" t="s">
        <v>2579</v>
      </c>
      <c r="C137" s="574" t="s">
        <v>3868</v>
      </c>
      <c r="K137" s="40"/>
      <c r="M137" s="411"/>
      <c r="N137" s="430" t="s">
        <v>2579</v>
      </c>
      <c r="O137" s="1292" t="s">
        <v>3421</v>
      </c>
      <c r="P137" s="633"/>
    </row>
    <row r="138" spans="1:25" ht="10.9" customHeight="1">
      <c r="B138" s="430"/>
      <c r="C138" s="574"/>
      <c r="K138" s="40"/>
      <c r="M138" s="411"/>
      <c r="N138" s="411"/>
      <c r="O138" s="411"/>
      <c r="P138" s="411"/>
    </row>
    <row r="139" spans="1:25" ht="11.25" customHeight="1">
      <c r="A139" s="151" t="s">
        <v>2081</v>
      </c>
      <c r="B139" s="199" t="s">
        <v>3853</v>
      </c>
      <c r="G139" s="542" t="s">
        <v>4045</v>
      </c>
      <c r="H139" s="174"/>
      <c r="I139" s="174"/>
      <c r="K139" s="40"/>
      <c r="L139" s="1332" t="s">
        <v>4490</v>
      </c>
      <c r="M139" s="483">
        <v>2</v>
      </c>
      <c r="N139" s="430" t="s">
        <v>2081</v>
      </c>
      <c r="O139" s="1299" t="s">
        <v>3421</v>
      </c>
      <c r="P139" s="2594"/>
      <c r="X139" s="411"/>
      <c r="Y139" s="413"/>
    </row>
    <row r="140" spans="1:25" ht="11.25" customHeight="1">
      <c r="A140" s="592"/>
      <c r="G140" s="542" t="s">
        <v>3857</v>
      </c>
      <c r="H140" s="174"/>
      <c r="L140" s="791" t="str">
        <f>'Part I-Project Information'!O28</f>
        <v>404.00</v>
      </c>
      <c r="N140" s="28"/>
      <c r="O140" s="28"/>
      <c r="P140" s="28"/>
    </row>
    <row r="141" spans="1:25" ht="11.25" customHeight="1">
      <c r="A141" s="592"/>
      <c r="B141" s="542"/>
      <c r="D141" s="769"/>
      <c r="G141" s="542" t="s">
        <v>3862</v>
      </c>
      <c r="H141" s="174"/>
      <c r="K141" s="1258"/>
      <c r="L141" s="492" t="str">
        <f>'Part I-Project Information'!N29</f>
        <v>Yes</v>
      </c>
      <c r="N141" s="28"/>
      <c r="O141" s="28"/>
      <c r="P141" s="28"/>
    </row>
    <row r="142" spans="1:25" ht="11.25" customHeight="1">
      <c r="A142" s="592"/>
      <c r="B142" s="542"/>
      <c r="D142" s="769"/>
      <c r="E142" s="542"/>
      <c r="G142" s="486" t="s">
        <v>3855</v>
      </c>
      <c r="H142" s="174"/>
      <c r="K142" s="1258"/>
      <c r="L142" s="1258" t="str">
        <f>'Part IV-Uses of Funds'!H150</f>
        <v>DDA/QCT</v>
      </c>
      <c r="N142" s="28"/>
      <c r="O142" s="28"/>
      <c r="P142" s="28"/>
    </row>
    <row r="143" spans="1:25" ht="11.45" customHeight="1">
      <c r="A143" s="151" t="s">
        <v>2084</v>
      </c>
      <c r="B143" s="199" t="s">
        <v>3856</v>
      </c>
      <c r="D143" s="32"/>
      <c r="M143" s="84">
        <v>1</v>
      </c>
      <c r="N143" s="68" t="s">
        <v>2084</v>
      </c>
      <c r="O143" s="1299"/>
      <c r="P143" s="2594"/>
    </row>
    <row r="144" spans="1:25" ht="11.45" customHeight="1">
      <c r="A144" s="592"/>
      <c r="B144" s="493" t="s">
        <v>3861</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59" t="s">
        <v>3858</v>
      </c>
      <c r="D146" s="1759"/>
      <c r="E146" s="1759"/>
      <c r="F146" s="1759"/>
      <c r="G146" s="1759"/>
      <c r="H146" s="1759"/>
      <c r="I146" s="1759"/>
      <c r="J146" s="1759"/>
      <c r="K146" s="1759"/>
      <c r="L146" s="1759"/>
      <c r="M146" s="874">
        <v>1</v>
      </c>
      <c r="N146" s="433" t="s">
        <v>2085</v>
      </c>
      <c r="O146" s="1296"/>
      <c r="P146" s="2605"/>
    </row>
    <row r="147" spans="1:17" ht="22.5" customHeight="1">
      <c r="B147" s="495" t="s">
        <v>2087</v>
      </c>
      <c r="C147" s="1759" t="s">
        <v>3859</v>
      </c>
      <c r="D147" s="1759"/>
      <c r="E147" s="1759"/>
      <c r="F147" s="1759"/>
      <c r="G147" s="1759"/>
      <c r="H147" s="1759"/>
      <c r="I147" s="1759"/>
      <c r="J147" s="1759"/>
      <c r="K147" s="1759"/>
      <c r="L147" s="1759"/>
      <c r="M147" s="771">
        <v>2</v>
      </c>
      <c r="N147" s="196" t="s">
        <v>2087</v>
      </c>
      <c r="O147" s="1292"/>
      <c r="P147" s="633"/>
    </row>
    <row r="148" spans="1:17" ht="11.45" customHeight="1">
      <c r="A148" s="151" t="s">
        <v>2216</v>
      </c>
      <c r="B148" s="199" t="s">
        <v>3103</v>
      </c>
      <c r="D148" s="32"/>
      <c r="G148" s="1781" t="s">
        <v>4239</v>
      </c>
      <c r="H148" s="1781"/>
      <c r="I148" s="1781"/>
      <c r="J148" s="1781"/>
      <c r="K148" s="1781"/>
      <c r="M148" s="84">
        <v>1</v>
      </c>
      <c r="N148" s="28"/>
      <c r="O148" s="127"/>
      <c r="P148" s="127"/>
    </row>
    <row r="149" spans="1:17" ht="11.45" customHeight="1">
      <c r="B149" s="493" t="s">
        <v>3105</v>
      </c>
      <c r="E149" s="125"/>
      <c r="I149" s="146" t="s">
        <v>4229</v>
      </c>
      <c r="J149" s="1779" t="str">
        <f>'Part I-Project Information'!$J$29</f>
        <v>Peach</v>
      </c>
      <c r="K149" s="1779"/>
      <c r="N149" s="68" t="s">
        <v>2216</v>
      </c>
      <c r="O149" s="1299"/>
      <c r="P149" s="2594"/>
      <c r="Q149" s="432"/>
    </row>
    <row r="150" spans="1:17" s="43" customFormat="1" ht="13.9" customHeight="1">
      <c r="A150" s="42"/>
      <c r="B150" s="49" t="s">
        <v>267</v>
      </c>
      <c r="C150" s="42"/>
      <c r="D150" s="48"/>
      <c r="E150" s="48"/>
      <c r="F150" s="48"/>
      <c r="G150" s="48"/>
      <c r="H150" s="36"/>
      <c r="I150" s="146" t="s">
        <v>4230</v>
      </c>
      <c r="J150" s="1780" t="str">
        <f>'Part I-Project Information'!$O$28</f>
        <v>404.00</v>
      </c>
      <c r="K150" s="1780"/>
      <c r="M150" s="46"/>
      <c r="N150" s="64"/>
      <c r="O150" s="3"/>
      <c r="P150" s="1243"/>
    </row>
    <row r="151" spans="1:17" s="43" customFormat="1" ht="12.75" customHeight="1">
      <c r="A151" s="1743" t="s">
        <v>4491</v>
      </c>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0</v>
      </c>
      <c r="P155" s="80">
        <f>IF(AND($J$156="Flexible",P157=$M157),$M157,IF(P164&gt;0,P164,0))</f>
        <v>0</v>
      </c>
      <c r="Q155" s="115" t="s">
        <v>458</v>
      </c>
    </row>
    <row r="156" spans="1:17" ht="10.9" customHeight="1">
      <c r="A156" s="592"/>
      <c r="B156" s="542"/>
      <c r="D156" s="769"/>
      <c r="E156" s="542"/>
      <c r="G156" s="791"/>
      <c r="H156" s="184" t="s">
        <v>3100</v>
      </c>
      <c r="I156" s="596"/>
      <c r="J156" s="1784" t="str">
        <f>'Part I-Project Information'!$H$90</f>
        <v>Rural</v>
      </c>
      <c r="K156" s="1784"/>
      <c r="N156" s="28"/>
      <c r="O156" s="28"/>
      <c r="P156" s="28"/>
    </row>
    <row r="157" spans="1:17" ht="12" customHeight="1">
      <c r="A157" s="1238" t="s">
        <v>2081</v>
      </c>
      <c r="B157" s="199" t="s">
        <v>2340</v>
      </c>
      <c r="D157" s="32"/>
      <c r="E157" s="32"/>
      <c r="F157" s="32"/>
      <c r="G157" s="28" t="str">
        <f>IF(AND(O157&lt;0,L167&lt;0),"Select either A or B but not both!&gt;","")</f>
        <v/>
      </c>
      <c r="M157" s="76">
        <v>4</v>
      </c>
      <c r="N157" s="531" t="s">
        <v>2081</v>
      </c>
      <c r="O157" s="1309">
        <v>0</v>
      </c>
      <c r="P157" s="2642"/>
      <c r="Q157" s="432" t="s">
        <v>2876</v>
      </c>
    </row>
    <row r="158" spans="1:17" s="106" customFormat="1" ht="22.5" customHeight="1">
      <c r="B158" s="1203" t="s">
        <v>2085</v>
      </c>
      <c r="C158" s="1759" t="s">
        <v>4068</v>
      </c>
      <c r="D158" s="1626"/>
      <c r="E158" s="1626"/>
      <c r="F158" s="1626"/>
      <c r="G158" s="1626"/>
      <c r="H158" s="1626"/>
      <c r="I158" s="1626"/>
      <c r="J158" s="1626"/>
      <c r="K158" s="1626"/>
      <c r="L158" s="1626"/>
      <c r="M158" s="463"/>
      <c r="N158" s="433" t="s">
        <v>2085</v>
      </c>
      <c r="O158" s="1292"/>
      <c r="P158" s="633"/>
    </row>
    <row r="159" spans="1:17" s="106" customFormat="1" ht="12" customHeight="1">
      <c r="B159" s="761"/>
      <c r="C159" s="126" t="s">
        <v>1008</v>
      </c>
      <c r="H159" s="542" t="s">
        <v>2711</v>
      </c>
      <c r="J159" s="1761"/>
      <c r="K159" s="1762"/>
    </row>
    <row r="160" spans="1:17" s="106" customFormat="1" ht="12" customHeight="1">
      <c r="B160" s="761"/>
      <c r="C160" s="126"/>
      <c r="H160" s="542" t="s">
        <v>2410</v>
      </c>
      <c r="J160" s="1776"/>
      <c r="K160" s="1777"/>
      <c r="L160" s="1778"/>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2084</v>
      </c>
      <c r="B164" s="199" t="s">
        <v>2341</v>
      </c>
      <c r="D164" s="780"/>
      <c r="H164" s="63" t="s">
        <v>3914</v>
      </c>
      <c r="M164" s="771">
        <v>4</v>
      </c>
      <c r="N164" s="531" t="s">
        <v>2084</v>
      </c>
      <c r="O164" s="781">
        <f>IF(O165&gt;0,O165,IF(O172&gt;0,O172,0))</f>
        <v>0</v>
      </c>
      <c r="P164" s="781">
        <f>IF(P165&gt;0,P165,IF(P172&gt;0,P172,0))</f>
        <v>0</v>
      </c>
    </row>
    <row r="165" spans="1:18" s="32" customFormat="1" ht="12" customHeight="1">
      <c r="B165" s="412" t="s">
        <v>2085</v>
      </c>
      <c r="C165" s="777" t="s">
        <v>3911</v>
      </c>
      <c r="M165" s="771">
        <v>4</v>
      </c>
      <c r="N165" s="1249">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9" t="s">
        <v>3907</v>
      </c>
      <c r="O167" s="1309">
        <v>0</v>
      </c>
      <c r="P167" s="2642"/>
      <c r="Q167" s="192" t="s">
        <v>2876</v>
      </c>
    </row>
    <row r="168" spans="1:18" s="32" customFormat="1" ht="12" customHeight="1">
      <c r="C168" s="430" t="s">
        <v>235</v>
      </c>
      <c r="D168" s="486" t="s">
        <v>3901</v>
      </c>
      <c r="G168" s="40"/>
      <c r="H168" s="40"/>
      <c r="M168" s="771">
        <v>1</v>
      </c>
      <c r="N168" s="146" t="s">
        <v>3908</v>
      </c>
      <c r="O168" s="1310">
        <v>0</v>
      </c>
      <c r="P168" s="2643"/>
      <c r="Q168" s="192" t="s">
        <v>2876</v>
      </c>
    </row>
    <row r="169" spans="1:18" ht="12" customHeight="1">
      <c r="A169" s="592"/>
      <c r="B169" s="542"/>
      <c r="D169" s="769"/>
      <c r="E169" s="542"/>
      <c r="G169" s="791"/>
      <c r="H169" s="486" t="s">
        <v>3875</v>
      </c>
      <c r="J169" s="1782" t="str">
        <f>'Part I-Project Information'!$F$28</f>
        <v>Fort Valley</v>
      </c>
      <c r="K169" s="1783"/>
      <c r="N169" s="28"/>
      <c r="O169" s="28"/>
      <c r="P169" s="28"/>
    </row>
    <row r="170" spans="1:18" ht="12" customHeight="1">
      <c r="C170" s="865" t="s">
        <v>3904</v>
      </c>
      <c r="D170" s="1759" t="s">
        <v>3905</v>
      </c>
      <c r="E170" s="1759"/>
      <c r="F170" s="1759"/>
      <c r="G170" s="1759"/>
      <c r="H170" s="1759"/>
      <c r="I170" s="1759"/>
      <c r="J170" s="1759"/>
      <c r="K170" s="1759"/>
      <c r="L170" s="1759"/>
      <c r="M170" s="76">
        <v>3</v>
      </c>
      <c r="N170" s="413" t="s">
        <v>2557</v>
      </c>
      <c r="O170" s="1314">
        <v>0</v>
      </c>
      <c r="P170" s="2644"/>
      <c r="Q170" s="192" t="s">
        <v>2876</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2087</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59" t="s">
        <v>3909</v>
      </c>
      <c r="E173" s="1759"/>
      <c r="F173" s="1759"/>
      <c r="G173" s="1759"/>
      <c r="H173" s="1759"/>
      <c r="I173" s="1759"/>
      <c r="J173" s="1759"/>
      <c r="K173" s="1759"/>
      <c r="L173" s="1759"/>
      <c r="M173" s="84"/>
      <c r="N173" s="545" t="s">
        <v>2556</v>
      </c>
      <c r="O173" s="1314"/>
      <c r="P173" s="2644"/>
      <c r="Q173" s="192" t="s">
        <v>2876</v>
      </c>
    </row>
    <row r="174" spans="1:18" ht="12" customHeight="1">
      <c r="B174" s="495"/>
      <c r="C174" s="542" t="s">
        <v>3916</v>
      </c>
      <c r="D174" s="1759"/>
      <c r="E174" s="1759"/>
      <c r="F174" s="1759"/>
      <c r="G174" s="1759"/>
      <c r="H174" s="1759"/>
      <c r="I174" s="1759"/>
      <c r="J174" s="1759"/>
      <c r="K174" s="1759"/>
      <c r="L174" s="1759"/>
    </row>
    <row r="175" spans="1:18" ht="12" customHeight="1">
      <c r="B175" s="778" t="s">
        <v>3797</v>
      </c>
      <c r="C175" s="486" t="s">
        <v>3904</v>
      </c>
      <c r="D175" s="484" t="s">
        <v>3910</v>
      </c>
      <c r="E175" s="32"/>
      <c r="H175" s="40"/>
      <c r="I175" s="40"/>
      <c r="J175" s="40"/>
      <c r="N175" s="431" t="s">
        <v>2557</v>
      </c>
      <c r="O175" s="1314"/>
      <c r="P175" s="2644"/>
      <c r="Q175" s="192" t="s">
        <v>2876</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4492</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0" t="s">
        <v>2766</v>
      </c>
      <c r="C183" s="1760"/>
      <c r="D183" s="1760"/>
      <c r="E183" s="1760"/>
      <c r="F183" s="1760"/>
      <c r="G183" s="1760"/>
      <c r="H183" s="1760"/>
      <c r="I183" s="1760"/>
      <c r="J183" s="1760"/>
      <c r="K183" s="1760"/>
      <c r="L183" s="1760"/>
      <c r="M183" s="110"/>
      <c r="N183" s="177" t="s">
        <v>2081</v>
      </c>
      <c r="O183" s="1296" t="s">
        <v>3424</v>
      </c>
      <c r="P183" s="2605"/>
    </row>
    <row r="184" spans="1:20" s="435" customFormat="1" ht="22.5" customHeight="1">
      <c r="A184" s="156" t="s">
        <v>2084</v>
      </c>
      <c r="B184" s="1760" t="s">
        <v>2911</v>
      </c>
      <c r="C184" s="1760"/>
      <c r="D184" s="1760"/>
      <c r="E184" s="1760"/>
      <c r="F184" s="1760"/>
      <c r="G184" s="1760"/>
      <c r="H184" s="1760"/>
      <c r="I184" s="1760"/>
      <c r="J184" s="1760"/>
      <c r="K184" s="1760"/>
      <c r="L184" s="1760"/>
      <c r="M184" s="110"/>
      <c r="N184" s="177" t="s">
        <v>2084</v>
      </c>
      <c r="O184" s="1294" t="s">
        <v>3424</v>
      </c>
      <c r="P184" s="634"/>
    </row>
    <row r="185" spans="1:20" s="435" customFormat="1" ht="11.25" customHeight="1">
      <c r="A185" s="156" t="s">
        <v>789</v>
      </c>
      <c r="B185" s="236" t="s">
        <v>1751</v>
      </c>
      <c r="M185" s="491"/>
      <c r="N185" s="68" t="s">
        <v>789</v>
      </c>
      <c r="O185" s="1292" t="s">
        <v>3424</v>
      </c>
      <c r="P185" s="2606"/>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4493</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42"/>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2" t="s">
        <v>3421</v>
      </c>
      <c r="P193" s="633"/>
      <c r="Q193" s="432"/>
      <c r="R193" s="416"/>
    </row>
    <row r="194" spans="1:20" s="43" customFormat="1" ht="12" customHeight="1">
      <c r="A194" s="151" t="s">
        <v>2084</v>
      </c>
      <c r="B194" s="184" t="s">
        <v>2343</v>
      </c>
      <c r="D194" s="59"/>
      <c r="K194" s="53"/>
      <c r="L194" s="108"/>
      <c r="M194" s="7">
        <v>1</v>
      </c>
      <c r="N194" s="531" t="s">
        <v>2084</v>
      </c>
      <c r="O194" s="1309">
        <v>0</v>
      </c>
      <c r="P194" s="2642"/>
      <c r="Q194" s="432" t="s">
        <v>2876</v>
      </c>
      <c r="T194" s="416" t="str">
        <f>IF(OR($O194=$M194,$O194=0,$O194=""),"","* * Check Score! * *")</f>
        <v/>
      </c>
    </row>
    <row r="195" spans="1:20" s="43" customFormat="1" ht="12" customHeight="1">
      <c r="A195" s="151"/>
      <c r="B195" s="1275" t="s">
        <v>2840</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4536</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3888</v>
      </c>
      <c r="C201" s="92"/>
      <c r="D201" s="60"/>
      <c r="E201" s="53"/>
      <c r="M201" s="2">
        <v>3</v>
      </c>
      <c r="N201" s="6"/>
      <c r="O201" s="6"/>
      <c r="P201" s="2653"/>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1" t="s">
        <v>3424</v>
      </c>
      <c r="P203" s="631"/>
      <c r="R203" s="416"/>
    </row>
    <row r="204" spans="1:20" s="43" customFormat="1" ht="12" customHeight="1">
      <c r="A204" s="151"/>
      <c r="B204" s="56" t="s">
        <v>4070</v>
      </c>
      <c r="D204" s="32"/>
      <c r="N204" s="531"/>
      <c r="O204" s="1293"/>
      <c r="P204" s="632"/>
      <c r="R204" s="416"/>
    </row>
    <row r="205" spans="1:20" s="43" customFormat="1" ht="12" customHeight="1">
      <c r="A205" s="151"/>
      <c r="B205" s="56" t="s">
        <v>3889</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t="s">
        <v>4537</v>
      </c>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6" t="s">
        <v>3892</v>
      </c>
      <c r="C213" s="1616"/>
      <c r="D213" s="1616"/>
      <c r="E213" s="1616"/>
      <c r="F213" s="1616"/>
      <c r="G213" s="1616"/>
      <c r="H213" s="1616"/>
      <c r="I213" s="1616"/>
      <c r="J213" s="1616"/>
      <c r="K213" s="1616"/>
      <c r="L213" s="1616"/>
      <c r="M213" s="594">
        <v>2</v>
      </c>
      <c r="N213" s="177" t="s">
        <v>2081</v>
      </c>
      <c r="O213" s="1333">
        <v>0</v>
      </c>
      <c r="P213" s="2654"/>
      <c r="Q213" s="789" t="s">
        <v>2876</v>
      </c>
      <c r="R213" s="416"/>
    </row>
    <row r="214" spans="1:18" s="65" customFormat="1" ht="10.5" customHeight="1">
      <c r="A214" s="167"/>
      <c r="C214" s="596"/>
      <c r="E214" s="610"/>
      <c r="G214" s="1250" t="s">
        <v>1881</v>
      </c>
      <c r="I214" s="601">
        <f>'Part VI-Revenues &amp; Expenses'!$M$62</f>
        <v>96</v>
      </c>
      <c r="J214" s="601" t="s">
        <v>4048</v>
      </c>
      <c r="K214" s="869"/>
      <c r="L214" s="1283"/>
      <c r="M214" s="2"/>
      <c r="N214" s="440"/>
      <c r="O214" s="440"/>
      <c r="P214" s="440"/>
      <c r="Q214" s="115"/>
      <c r="R214" s="28"/>
    </row>
    <row r="215" spans="1:18" s="65" customFormat="1" ht="10.5" customHeight="1">
      <c r="A215" s="167"/>
      <c r="B215" s="601"/>
      <c r="C215" s="596"/>
      <c r="E215" s="610"/>
      <c r="G215" s="1250" t="s">
        <v>4047</v>
      </c>
      <c r="I215" s="873">
        <f>'Part VI-Revenues &amp; Expenses'!$M$74</f>
        <v>0</v>
      </c>
      <c r="J215" s="868"/>
      <c r="K215" s="869"/>
      <c r="L215" s="1283"/>
      <c r="M215" s="2"/>
      <c r="N215" s="440"/>
      <c r="O215" s="440"/>
      <c r="P215" s="440"/>
      <c r="Q215" s="115"/>
      <c r="R215" s="28"/>
    </row>
    <row r="216" spans="1:18" s="65" customFormat="1" ht="10.5" customHeight="1">
      <c r="A216" s="167"/>
      <c r="B216" s="184"/>
      <c r="C216" s="596"/>
      <c r="E216" s="610"/>
      <c r="G216" s="1250" t="s">
        <v>3062</v>
      </c>
      <c r="I216" s="871">
        <f>'Part VI-Revenues &amp; Expenses'!$M$74/'Part VI-Revenues &amp; Expenses'!$M$62</f>
        <v>0</v>
      </c>
      <c r="J216" s="868"/>
      <c r="K216" s="869"/>
      <c r="L216" s="1283"/>
      <c r="M216" s="2"/>
      <c r="N216" s="440"/>
      <c r="O216" s="440"/>
      <c r="P216" s="440"/>
      <c r="Q216" s="115"/>
      <c r="R216" s="28"/>
    </row>
    <row r="217" spans="1:18" s="65" customFormat="1" ht="11.25" customHeight="1">
      <c r="A217" s="156" t="s">
        <v>2084</v>
      </c>
      <c r="B217" s="152" t="s">
        <v>3893</v>
      </c>
      <c r="C217" s="236"/>
      <c r="D217" s="236"/>
      <c r="E217" s="236"/>
      <c r="F217" s="236"/>
      <c r="G217" s="236"/>
      <c r="H217" s="236"/>
      <c r="I217" s="1286"/>
      <c r="J217" s="236"/>
      <c r="K217" s="236"/>
      <c r="L217" s="236"/>
      <c r="M217" s="76">
        <v>1</v>
      </c>
      <c r="N217" s="531" t="s">
        <v>2084</v>
      </c>
      <c r="O217" s="1319">
        <v>0</v>
      </c>
      <c r="P217" s="2648"/>
      <c r="Q217" s="432" t="s">
        <v>2876</v>
      </c>
      <c r="R217" s="416"/>
    </row>
    <row r="218" spans="1:18" s="65" customFormat="1" ht="10.5" customHeight="1">
      <c r="A218" s="167"/>
      <c r="B218" s="184"/>
      <c r="C218" s="596"/>
      <c r="E218" s="610"/>
      <c r="G218" s="1250" t="s">
        <v>3890</v>
      </c>
      <c r="I218" s="870" t="str">
        <f>'Part I-Project Information'!$H$67</f>
        <v>Family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596" t="s">
        <v>4537</v>
      </c>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v>1</v>
      </c>
      <c r="P222" s="2644"/>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6" t="s">
        <v>243</v>
      </c>
      <c r="J224" s="1757"/>
      <c r="K224" s="1758"/>
      <c r="N224" s="531" t="s">
        <v>2081</v>
      </c>
      <c r="O224" s="1291" t="s">
        <v>3421</v>
      </c>
      <c r="P224" s="631"/>
    </row>
    <row r="225" spans="1:17" s="106" customFormat="1" ht="12" customHeight="1">
      <c r="A225" s="151" t="s">
        <v>2084</v>
      </c>
      <c r="B225" s="146" t="s">
        <v>3269</v>
      </c>
      <c r="D225" s="126"/>
      <c r="E225" s="126"/>
      <c r="F225" s="126"/>
      <c r="G225" s="126"/>
      <c r="M225" s="126"/>
      <c r="N225" s="531" t="s">
        <v>2084</v>
      </c>
      <c r="O225" s="1293" t="s">
        <v>3421</v>
      </c>
      <c r="P225" s="632"/>
    </row>
    <row r="226" spans="1:17" s="106" customFormat="1" ht="12" customHeight="1">
      <c r="A226" s="151" t="s">
        <v>789</v>
      </c>
      <c r="B226" s="146" t="s">
        <v>4197</v>
      </c>
      <c r="D226" s="126"/>
      <c r="E226" s="126"/>
      <c r="F226" s="126"/>
      <c r="G226" s="126"/>
      <c r="H226" s="126"/>
      <c r="L226" s="126"/>
      <c r="M226" s="126"/>
      <c r="N226" s="531" t="s">
        <v>789</v>
      </c>
      <c r="O226" s="1293" t="s">
        <v>3421</v>
      </c>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2" t="s">
        <v>3421</v>
      </c>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12" customHeight="1">
      <c r="A230" s="1596" t="s">
        <v>4494</v>
      </c>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1" t="s">
        <v>3424</v>
      </c>
      <c r="P234" s="631"/>
    </row>
    <row r="235" spans="1:17" s="106" customFormat="1" ht="12" customHeight="1">
      <c r="B235" s="489" t="s">
        <v>2087</v>
      </c>
      <c r="C235" s="106" t="s">
        <v>593</v>
      </c>
      <c r="N235" s="196" t="s">
        <v>2087</v>
      </c>
      <c r="O235" s="1293" t="s">
        <v>3424</v>
      </c>
      <c r="P235" s="632"/>
    </row>
    <row r="236" spans="1:17" s="106" customFormat="1" ht="12" customHeight="1">
      <c r="B236" s="489" t="s">
        <v>2661</v>
      </c>
      <c r="C236" s="106" t="s">
        <v>594</v>
      </c>
      <c r="N236" s="196" t="s">
        <v>2661</v>
      </c>
      <c r="O236" s="1293" t="s">
        <v>3424</v>
      </c>
      <c r="P236" s="632"/>
    </row>
    <row r="237" spans="1:17" s="106" customFormat="1" ht="12" customHeight="1">
      <c r="B237" s="489" t="s">
        <v>1283</v>
      </c>
      <c r="C237" s="106" t="s">
        <v>595</v>
      </c>
      <c r="N237" s="196" t="s">
        <v>1283</v>
      </c>
      <c r="O237" s="1293" t="s">
        <v>3424</v>
      </c>
      <c r="P237" s="632"/>
    </row>
    <row r="238" spans="1:17" s="106" customFormat="1" ht="12" customHeight="1">
      <c r="B238" s="489" t="s">
        <v>1284</v>
      </c>
      <c r="C238" s="106" t="s">
        <v>603</v>
      </c>
      <c r="N238" s="196" t="s">
        <v>1284</v>
      </c>
      <c r="O238" s="1292" t="s">
        <v>3424</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1" t="s">
        <v>2089</v>
      </c>
      <c r="J240" s="1771"/>
      <c r="L240" s="1771" t="s">
        <v>2089</v>
      </c>
      <c r="M240" s="1771"/>
      <c r="N240" s="196"/>
    </row>
    <row r="241" spans="1:18" s="43" customFormat="1" ht="12" customHeight="1">
      <c r="A241" s="197"/>
      <c r="B241" s="413" t="s">
        <v>2556</v>
      </c>
      <c r="C241" s="36" t="s">
        <v>1557</v>
      </c>
      <c r="H241" s="413" t="s">
        <v>2556</v>
      </c>
      <c r="I241" s="1795"/>
      <c r="J241" s="1796"/>
      <c r="K241" s="413" t="s">
        <v>2556</v>
      </c>
      <c r="L241" s="2655"/>
      <c r="M241" s="2656"/>
      <c r="N241" s="196"/>
      <c r="O241" s="1234"/>
      <c r="P241" s="1234"/>
      <c r="R241" s="416"/>
    </row>
    <row r="242" spans="1:18" ht="12" customHeight="1">
      <c r="A242" s="198"/>
      <c r="B242" s="431" t="s">
        <v>2557</v>
      </c>
      <c r="C242" s="36" t="s">
        <v>1558</v>
      </c>
      <c r="H242" s="431" t="s">
        <v>2557</v>
      </c>
      <c r="I242" s="1765"/>
      <c r="J242" s="1766"/>
      <c r="K242" s="431" t="s">
        <v>2557</v>
      </c>
      <c r="L242" s="2657"/>
      <c r="M242" s="2658"/>
      <c r="N242" s="196"/>
      <c r="R242" s="416"/>
    </row>
    <row r="243" spans="1:18" ht="12" customHeight="1">
      <c r="B243" s="413" t="s">
        <v>2558</v>
      </c>
      <c r="C243" s="36" t="s">
        <v>2759</v>
      </c>
      <c r="H243" s="413" t="s">
        <v>2558</v>
      </c>
      <c r="I243" s="1765"/>
      <c r="J243" s="1766"/>
      <c r="K243" s="413" t="s">
        <v>2558</v>
      </c>
      <c r="L243" s="2657"/>
      <c r="M243" s="2658"/>
      <c r="N243" s="196"/>
      <c r="R243" s="416"/>
    </row>
    <row r="244" spans="1:18" ht="12" customHeight="1">
      <c r="A244" s="198"/>
      <c r="B244" s="413" t="s">
        <v>2559</v>
      </c>
      <c r="C244" s="36" t="s">
        <v>4072</v>
      </c>
      <c r="H244" s="413" t="s">
        <v>2559</v>
      </c>
      <c r="I244" s="1765"/>
      <c r="J244" s="1766"/>
      <c r="K244" s="413" t="s">
        <v>2559</v>
      </c>
      <c r="L244" s="2657"/>
      <c r="M244" s="2658"/>
      <c r="N244" s="196"/>
      <c r="R244" s="416"/>
    </row>
    <row r="245" spans="1:18" s="43" customFormat="1" ht="12" customHeight="1">
      <c r="A245" s="197"/>
      <c r="B245" s="431" t="s">
        <v>2560</v>
      </c>
      <c r="C245" s="36" t="s">
        <v>2912</v>
      </c>
      <c r="H245" s="431" t="s">
        <v>2560</v>
      </c>
      <c r="I245" s="1765"/>
      <c r="J245" s="1766"/>
      <c r="K245" s="431" t="s">
        <v>2560</v>
      </c>
      <c r="L245" s="2657"/>
      <c r="M245" s="2658"/>
      <c r="N245" s="196"/>
      <c r="O245" s="1234"/>
      <c r="P245" s="1234"/>
      <c r="R245" s="416"/>
    </row>
    <row r="246" spans="1:18" ht="12" customHeight="1">
      <c r="B246" s="413" t="s">
        <v>2576</v>
      </c>
      <c r="C246" s="36" t="s">
        <v>3271</v>
      </c>
      <c r="H246" s="413" t="s">
        <v>2576</v>
      </c>
      <c r="I246" s="1765"/>
      <c r="J246" s="1766"/>
      <c r="K246" s="413" t="s">
        <v>2576</v>
      </c>
      <c r="L246" s="2657"/>
      <c r="M246" s="2658"/>
      <c r="N246" s="196"/>
      <c r="R246" s="416"/>
    </row>
    <row r="247" spans="1:18" ht="12" customHeight="1">
      <c r="A247" s="198"/>
      <c r="B247" s="413" t="s">
        <v>2577</v>
      </c>
      <c r="C247" s="36" t="s">
        <v>3918</v>
      </c>
      <c r="H247" s="413" t="s">
        <v>2577</v>
      </c>
      <c r="I247" s="1765"/>
      <c r="J247" s="1766"/>
      <c r="K247" s="413" t="s">
        <v>2577</v>
      </c>
      <c r="L247" s="2657"/>
      <c r="M247" s="2658"/>
      <c r="N247" s="196"/>
      <c r="R247" s="416"/>
    </row>
    <row r="248" spans="1:18" ht="12" customHeight="1">
      <c r="B248" s="430" t="s">
        <v>2578</v>
      </c>
      <c r="C248" s="36" t="s">
        <v>3919</v>
      </c>
      <c r="H248" s="430" t="s">
        <v>2578</v>
      </c>
      <c r="I248" s="1765"/>
      <c r="J248" s="1766"/>
      <c r="K248" s="430" t="s">
        <v>2578</v>
      </c>
      <c r="L248" s="2657"/>
      <c r="M248" s="2658"/>
      <c r="N248" s="196"/>
      <c r="R248" s="416"/>
    </row>
    <row r="249" spans="1:18" ht="12" customHeight="1" thickBot="1">
      <c r="A249" s="198"/>
      <c r="B249" s="430" t="s">
        <v>2579</v>
      </c>
      <c r="C249" s="36" t="s">
        <v>3920</v>
      </c>
      <c r="H249" s="430" t="s">
        <v>2579</v>
      </c>
      <c r="I249" s="1765"/>
      <c r="J249" s="1766"/>
      <c r="K249" s="430" t="s">
        <v>2579</v>
      </c>
      <c r="L249" s="2657"/>
      <c r="M249" s="2658"/>
      <c r="N249" s="196"/>
      <c r="R249" s="416"/>
    </row>
    <row r="250" spans="1:18" ht="12" customHeight="1" thickBot="1">
      <c r="A250" s="198"/>
      <c r="B250" s="489"/>
      <c r="C250" s="486" t="s">
        <v>2762</v>
      </c>
      <c r="H250" s="56"/>
      <c r="I250" s="1767">
        <f>SUM(I241:J249)</f>
        <v>0</v>
      </c>
      <c r="J250" s="1768"/>
      <c r="L250" s="2659">
        <f>SUM($L241:$L249)</f>
        <v>0</v>
      </c>
      <c r="M250" s="2660"/>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2087</v>
      </c>
      <c r="C252" s="494" t="s">
        <v>2761</v>
      </c>
      <c r="D252" s="486" t="s">
        <v>2763</v>
      </c>
      <c r="I252" s="1805">
        <f>'Part IV-Uses of Funds'!$G$130</f>
        <v>15780131</v>
      </c>
      <c r="J252" s="1806"/>
      <c r="M252" s="174"/>
      <c r="N252" s="28"/>
      <c r="O252" s="28"/>
      <c r="P252" s="28"/>
    </row>
    <row r="253" spans="1:18" ht="12" customHeight="1">
      <c r="B253" s="196"/>
      <c r="C253" s="485"/>
      <c r="D253" s="492" t="s">
        <v>2764</v>
      </c>
      <c r="G253" s="1284"/>
      <c r="H253" s="1284"/>
      <c r="I253" s="1763">
        <f>IF($I252=0,0,$I250/$I252)</f>
        <v>0</v>
      </c>
      <c r="J253" s="1764"/>
      <c r="L253" s="1772">
        <f>IF($I252=0,0,$L250/$I252)</f>
        <v>0</v>
      </c>
      <c r="M253" s="1773"/>
      <c r="N253" s="28"/>
      <c r="O253" s="28"/>
      <c r="P253" s="28"/>
    </row>
    <row r="254" spans="1:18" s="43" customFormat="1" ht="12.75" customHeight="1">
      <c r="A254" s="151" t="s">
        <v>2084</v>
      </c>
      <c r="B254" s="201" t="s">
        <v>3921</v>
      </c>
      <c r="D254" s="39"/>
      <c r="E254" s="36"/>
      <c r="F254" s="1273"/>
      <c r="H254" s="36"/>
      <c r="I254" s="1273"/>
      <c r="J254" s="1275"/>
      <c r="K254" s="1275"/>
      <c r="L254" s="1275"/>
      <c r="M254" s="76">
        <v>2</v>
      </c>
      <c r="N254" s="531" t="s">
        <v>2084</v>
      </c>
      <c r="O254" s="1334">
        <v>0</v>
      </c>
      <c r="P254" s="2642"/>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2"/>
      <c r="J257" s="1803"/>
      <c r="L257" s="2655"/>
      <c r="M257" s="2656"/>
      <c r="N257" s="28"/>
      <c r="O257" s="28"/>
    </row>
    <row r="258" spans="1:18" s="43" customFormat="1" ht="12" customHeight="1">
      <c r="A258" s="42"/>
      <c r="C258" s="36" t="s">
        <v>4050</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3174</v>
      </c>
      <c r="I259" s="1718"/>
      <c r="J259" s="1719"/>
      <c r="K259" s="1719"/>
      <c r="L259" s="1719"/>
      <c r="M259" s="1719"/>
      <c r="N259" s="1720"/>
    </row>
    <row r="260" spans="1:18" s="43" customFormat="1" ht="12" customHeight="1">
      <c r="A260" s="197"/>
      <c r="B260" s="36"/>
      <c r="C260" s="542" t="s">
        <v>1361</v>
      </c>
      <c r="I260" s="1776" t="s">
        <v>3154</v>
      </c>
      <c r="J260" s="1777"/>
      <c r="K260" s="1778"/>
    </row>
    <row r="261" spans="1:18" ht="22.5" customHeight="1">
      <c r="A261" s="198"/>
      <c r="B261" s="434" t="s">
        <v>2467</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6" t="s">
        <v>4538</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3922</v>
      </c>
      <c r="C267" s="69"/>
      <c r="E267" s="41"/>
      <c r="G267" s="184" t="s">
        <v>3100</v>
      </c>
      <c r="I267" s="636" t="str">
        <f>'Part I-Project Information'!$H$90</f>
        <v>Rural</v>
      </c>
      <c r="J267" s="48"/>
      <c r="K267" s="48"/>
      <c r="L267" s="416" t="str">
        <f>IF(OR($O267=$M267,$O267=0,$O267=""),"","* * Check Score! * *")</f>
        <v/>
      </c>
      <c r="M267" s="2">
        <v>3</v>
      </c>
      <c r="N267" s="108"/>
      <c r="O267" s="46"/>
      <c r="P267" s="2653"/>
      <c r="Q267" s="115" t="s">
        <v>458</v>
      </c>
      <c r="R267" s="416"/>
    </row>
    <row r="268" spans="1:18" s="43" customFormat="1" ht="12" customHeight="1">
      <c r="A268" s="151" t="s">
        <v>2081</v>
      </c>
      <c r="B268" s="184" t="s">
        <v>2914</v>
      </c>
      <c r="D268" s="32"/>
      <c r="G268" s="56" t="s">
        <v>2462</v>
      </c>
      <c r="M268" s="76">
        <v>3</v>
      </c>
      <c r="N268" s="531" t="s">
        <v>2081</v>
      </c>
      <c r="O268" s="1299" t="s">
        <v>3424</v>
      </c>
      <c r="P268" s="2594"/>
      <c r="R268" s="416"/>
    </row>
    <row r="269" spans="1:18" s="43" customFormat="1" ht="12" customHeight="1">
      <c r="A269" s="151" t="s">
        <v>2084</v>
      </c>
      <c r="B269" s="184" t="s">
        <v>3923</v>
      </c>
      <c r="D269" s="32"/>
      <c r="F269" s="32"/>
      <c r="G269" s="777" t="s">
        <v>3927</v>
      </c>
      <c r="N269" s="531" t="s">
        <v>2084</v>
      </c>
      <c r="O269" s="127" t="s">
        <v>2636</v>
      </c>
      <c r="P269" s="127" t="s">
        <v>2636</v>
      </c>
      <c r="R269" s="416"/>
    </row>
    <row r="270" spans="1:18" s="108" customFormat="1" ht="10.5" customHeight="1">
      <c r="A270" s="151"/>
      <c r="B270" s="412" t="s">
        <v>2085</v>
      </c>
      <c r="C270" s="36" t="s">
        <v>3924</v>
      </c>
      <c r="D270" s="32"/>
      <c r="F270" s="32"/>
      <c r="H270" s="36"/>
      <c r="N270" s="489" t="s">
        <v>2085</v>
      </c>
      <c r="O270" s="1291"/>
      <c r="P270" s="631"/>
      <c r="R270" s="416"/>
    </row>
    <row r="271" spans="1:18" s="108" customFormat="1" ht="10.5" customHeight="1">
      <c r="A271" s="151"/>
      <c r="B271" s="412" t="s">
        <v>2087</v>
      </c>
      <c r="C271" s="36" t="s">
        <v>3925</v>
      </c>
      <c r="D271" s="32"/>
      <c r="F271" s="32"/>
      <c r="H271" s="36"/>
      <c r="N271" s="489" t="s">
        <v>2087</v>
      </c>
      <c r="O271" s="1293"/>
      <c r="P271" s="632"/>
      <c r="R271" s="416"/>
    </row>
    <row r="272" spans="1:18" s="108" customFormat="1" ht="10.5" customHeight="1">
      <c r="A272" s="151"/>
      <c r="B272" s="412" t="s">
        <v>2661</v>
      </c>
      <c r="C272" s="36" t="s">
        <v>3926</v>
      </c>
      <c r="D272" s="32"/>
      <c r="F272" s="32"/>
      <c r="H272" s="36"/>
      <c r="N272" s="489" t="s">
        <v>2661</v>
      </c>
      <c r="O272" s="1293"/>
      <c r="P272" s="632"/>
      <c r="R272" s="416"/>
    </row>
    <row r="273" spans="1:18" s="108" customFormat="1" ht="10.5" customHeight="1">
      <c r="A273" s="151"/>
      <c r="B273" s="412" t="s">
        <v>1283</v>
      </c>
      <c r="C273" s="36" t="s">
        <v>2913</v>
      </c>
      <c r="D273" s="32"/>
      <c r="F273" s="32"/>
      <c r="H273" s="36"/>
      <c r="N273" s="489" t="s">
        <v>1283</v>
      </c>
      <c r="O273" s="1292"/>
      <c r="P273" s="633"/>
      <c r="R273" s="416"/>
    </row>
    <row r="274" spans="1:18" s="43" customFormat="1" ht="23.25" customHeight="1">
      <c r="A274" s="476" t="s">
        <v>789</v>
      </c>
      <c r="B274" s="896" t="s">
        <v>3928</v>
      </c>
      <c r="C274" s="477"/>
      <c r="D274" s="479"/>
      <c r="E274" s="479"/>
      <c r="F274" s="32"/>
      <c r="G274" s="32"/>
      <c r="H274" s="32"/>
      <c r="I274" s="32"/>
      <c r="O274" s="1862" t="s">
        <v>4218</v>
      </c>
      <c r="P274" s="1862"/>
      <c r="R274" s="416"/>
    </row>
    <row r="275" spans="1:18" s="108" customFormat="1" ht="10.5" customHeight="1">
      <c r="A275" s="151"/>
      <c r="B275" s="412" t="s">
        <v>2085</v>
      </c>
      <c r="C275" s="36" t="s">
        <v>3929</v>
      </c>
      <c r="D275" s="32"/>
      <c r="F275" s="32"/>
      <c r="H275" s="36"/>
      <c r="N275" s="531" t="s">
        <v>789</v>
      </c>
      <c r="O275" s="196" t="s">
        <v>2085</v>
      </c>
      <c r="P275" s="631"/>
      <c r="R275" s="416"/>
    </row>
    <row r="276" spans="1:18" s="108" customFormat="1" ht="10.5" customHeight="1">
      <c r="A276" s="151"/>
      <c r="B276" s="412" t="s">
        <v>2087</v>
      </c>
      <c r="C276" s="36" t="s">
        <v>3930</v>
      </c>
      <c r="D276" s="32"/>
      <c r="F276" s="32"/>
      <c r="H276" s="36"/>
      <c r="O276" s="196" t="s">
        <v>2087</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1978</v>
      </c>
      <c r="C280" s="1552" t="s">
        <v>3934</v>
      </c>
      <c r="D280" s="1552"/>
      <c r="E280" s="1552"/>
      <c r="F280" s="1552"/>
      <c r="G280" s="1552"/>
      <c r="H280" s="1552"/>
      <c r="I280" s="1552"/>
      <c r="J280" s="1552"/>
      <c r="K280" s="1552"/>
      <c r="L280" s="1552"/>
      <c r="O280" s="433" t="s">
        <v>1978</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7">
        <f>SUM(P275:P281)</f>
        <v>0</v>
      </c>
      <c r="R282" s="416"/>
    </row>
    <row r="283" spans="1:18" s="43" customFormat="1" ht="48" customHeight="1">
      <c r="A283" s="1596" t="s">
        <v>4538</v>
      </c>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1960</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6" t="s">
        <v>4228</v>
      </c>
      <c r="I288" s="1194">
        <f>'Part VI-Revenues &amp; Expenses'!$M$66/'Part VI-Revenues &amp; Expenses'!$M$62</f>
        <v>1</v>
      </c>
      <c r="K288" s="531" t="s">
        <v>4198</v>
      </c>
      <c r="L288" s="915">
        <f>'Part VI-Revenues &amp; Expenses'!$I$58/'Part VI-Revenues &amp; Expenses'!$M$58</f>
        <v>0.14583333333333334</v>
      </c>
      <c r="M288" s="6">
        <v>2</v>
      </c>
      <c r="N288" s="531" t="s">
        <v>2081</v>
      </c>
      <c r="O288" s="1335">
        <v>2</v>
      </c>
      <c r="P288" s="2661"/>
      <c r="Q288" s="432" t="s">
        <v>2876</v>
      </c>
      <c r="R288" s="115"/>
    </row>
    <row r="289" spans="1:18" s="461" customFormat="1" ht="22.5" customHeight="1">
      <c r="A289" s="156"/>
      <c r="B289" s="495" t="s">
        <v>2085</v>
      </c>
      <c r="C289" s="1552" t="s">
        <v>3937</v>
      </c>
      <c r="D289" s="1552"/>
      <c r="E289" s="1552"/>
      <c r="F289" s="1552"/>
      <c r="G289" s="1552"/>
      <c r="H289" s="1552"/>
      <c r="I289" s="1552"/>
      <c r="J289" s="1552"/>
      <c r="K289" s="1552"/>
      <c r="L289" s="1552"/>
      <c r="M289" s="786"/>
      <c r="N289" s="433" t="s">
        <v>2085</v>
      </c>
      <c r="O289" s="1336" t="s">
        <v>4424</v>
      </c>
      <c r="P289" s="2662"/>
      <c r="Q289" s="602"/>
      <c r="R289" s="595"/>
    </row>
    <row r="290" spans="1:18" s="490" customFormat="1" ht="11.25" customHeight="1">
      <c r="A290" s="628"/>
      <c r="B290" s="495" t="s">
        <v>2087</v>
      </c>
      <c r="C290" s="1617" t="s">
        <v>3938</v>
      </c>
      <c r="D290" s="1617"/>
      <c r="E290" s="1617"/>
      <c r="F290" s="1617"/>
      <c r="G290" s="1617"/>
      <c r="H290" s="1617"/>
      <c r="I290" s="1617"/>
      <c r="J290" s="1617"/>
      <c r="K290" s="1617"/>
      <c r="L290" s="1617"/>
      <c r="M290" s="1617"/>
      <c r="N290" s="433" t="s">
        <v>2087</v>
      </c>
      <c r="O290" s="1292" t="s">
        <v>3421</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2084</v>
      </c>
      <c r="B292" s="184" t="s">
        <v>2892</v>
      </c>
      <c r="D292" s="40"/>
      <c r="G292" s="36"/>
      <c r="M292" s="6">
        <v>3</v>
      </c>
      <c r="N292" s="531" t="s">
        <v>2084</v>
      </c>
      <c r="O292" s="1314"/>
      <c r="P292" s="2644"/>
      <c r="Q292" s="432" t="s">
        <v>2876</v>
      </c>
      <c r="R292" s="416"/>
    </row>
    <row r="293" spans="1:18" s="461" customFormat="1" ht="33" customHeight="1">
      <c r="A293" s="156"/>
      <c r="B293" s="495" t="s">
        <v>2085</v>
      </c>
      <c r="C293" s="1552" t="s">
        <v>4073</v>
      </c>
      <c r="D293" s="1552"/>
      <c r="E293" s="1552"/>
      <c r="F293" s="1552"/>
      <c r="G293" s="1552"/>
      <c r="H293" s="1552"/>
      <c r="I293" s="1552"/>
      <c r="J293" s="1552"/>
      <c r="K293" s="1552"/>
      <c r="L293" s="1552"/>
      <c r="M293" s="786"/>
      <c r="N293" s="433" t="s">
        <v>2085</v>
      </c>
      <c r="O293" s="1336"/>
      <c r="P293" s="2662"/>
      <c r="Q293" s="602"/>
      <c r="R293" s="595"/>
    </row>
    <row r="294" spans="1:18" s="490" customFormat="1" ht="11.25" customHeight="1">
      <c r="A294" s="628"/>
      <c r="B294" s="495" t="s">
        <v>2087</v>
      </c>
      <c r="C294" s="434" t="s">
        <v>3939</v>
      </c>
      <c r="D294" s="434"/>
      <c r="E294" s="434"/>
      <c r="F294" s="434"/>
      <c r="G294" s="434"/>
      <c r="H294" s="434"/>
      <c r="I294" s="434"/>
      <c r="J294" s="434" t="s">
        <v>3940</v>
      </c>
      <c r="K294" s="434"/>
      <c r="L294" s="1337">
        <v>0</v>
      </c>
      <c r="M294" s="434"/>
      <c r="N294" s="433" t="s">
        <v>2087</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6" t="s">
        <v>4495</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2081</v>
      </c>
      <c r="B302" s="1552" t="s">
        <v>4074</v>
      </c>
      <c r="C302" s="1552"/>
      <c r="D302" s="1552"/>
      <c r="E302" s="1552"/>
      <c r="F302" s="1552"/>
      <c r="G302" s="1552"/>
      <c r="I302" s="434" t="s">
        <v>3943</v>
      </c>
      <c r="L302" s="822">
        <f>'Part VI-Revenues &amp; Expenses'!$M$82</f>
        <v>0</v>
      </c>
      <c r="M302" s="462">
        <v>2</v>
      </c>
      <c r="N302" s="177" t="s">
        <v>2081</v>
      </c>
      <c r="O302" s="1314">
        <v>0</v>
      </c>
      <c r="P302" s="2644"/>
      <c r="Q302" s="192" t="s">
        <v>2876</v>
      </c>
    </row>
    <row r="303" spans="1:18" s="461" customFormat="1" ht="11.25" customHeight="1">
      <c r="A303" s="460"/>
      <c r="B303" s="1552"/>
      <c r="C303" s="1552"/>
      <c r="D303" s="1552"/>
      <c r="E303" s="1552"/>
      <c r="F303" s="1552"/>
      <c r="G303" s="1552"/>
      <c r="I303" s="544" t="s">
        <v>3156</v>
      </c>
      <c r="L303" s="823">
        <f>'Part VI-Revenues &amp; Expenses'!$M$62</f>
        <v>96</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2084</v>
      </c>
      <c r="B306" s="434" t="s">
        <v>4075</v>
      </c>
      <c r="D306" s="1874" t="s">
        <v>3303</v>
      </c>
      <c r="E306" s="1875"/>
      <c r="F306" s="1875"/>
      <c r="G306" s="1876"/>
      <c r="H306" s="434"/>
      <c r="I306" s="434" t="s">
        <v>3944</v>
      </c>
      <c r="L306" s="822">
        <f>'Part VIII-Threshold Criteria'!$K$71</f>
        <v>0</v>
      </c>
      <c r="M306" s="462">
        <v>1</v>
      </c>
      <c r="N306" s="177" t="s">
        <v>2084</v>
      </c>
      <c r="O306" s="1314">
        <v>0</v>
      </c>
      <c r="P306" s="2644"/>
      <c r="Q306" s="192" t="s">
        <v>2876</v>
      </c>
    </row>
    <row r="307" spans="1:17" s="461" customFormat="1" ht="11.25" customHeight="1">
      <c r="A307" s="629"/>
      <c r="B307" s="434"/>
      <c r="C307" s="434"/>
      <c r="H307" s="434"/>
      <c r="I307" s="544" t="s">
        <v>3156</v>
      </c>
      <c r="L307" s="823">
        <f>'Part VI-Revenues &amp; Expenses'!$M$62</f>
        <v>96</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t="s">
        <v>4538</v>
      </c>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2765</v>
      </c>
      <c r="C314" s="55"/>
      <c r="D314" s="124"/>
      <c r="E314" s="124"/>
      <c r="I314" s="1236" t="s">
        <v>3273</v>
      </c>
      <c r="J314" s="41"/>
      <c r="K314" s="41"/>
      <c r="M314" s="1243">
        <v>5</v>
      </c>
      <c r="P314" s="2663"/>
      <c r="Q314" s="115" t="s">
        <v>458</v>
      </c>
    </row>
    <row r="315" spans="1:17" s="43" customFormat="1" ht="1.5" customHeight="1">
      <c r="A315" s="168"/>
      <c r="M315" s="611"/>
      <c r="Q315" s="115"/>
    </row>
    <row r="316" spans="1:17" s="43" customFormat="1" ht="12" customHeight="1">
      <c r="A316" s="168"/>
      <c r="D316" s="1881" t="s">
        <v>3172</v>
      </c>
      <c r="E316" s="1881"/>
      <c r="F316" s="1864">
        <f>'Part IV-Uses of Funds'!$J$171</f>
        <v>1000000</v>
      </c>
      <c r="G316" s="1865"/>
      <c r="H316" s="41"/>
      <c r="I316" s="1236" t="s">
        <v>3272</v>
      </c>
      <c r="J316" s="41"/>
      <c r="K316" s="41"/>
      <c r="M316" s="76">
        <v>20</v>
      </c>
      <c r="N316" s="6"/>
      <c r="O316" s="622">
        <f>MIN($M316,(O317+O319+O320+O321+O323+O325+O327+O328+O329))</f>
        <v>7</v>
      </c>
      <c r="P316" s="622">
        <f>MIN($M316,(P317+P319+P320+P321+P323+P325+P327+P328+P329))</f>
        <v>0</v>
      </c>
      <c r="Q316" s="115"/>
    </row>
    <row r="317" spans="1:17" s="43" customFormat="1" ht="10.5" customHeight="1">
      <c r="A317" s="168"/>
      <c r="B317" s="607" t="s">
        <v>2081</v>
      </c>
      <c r="C317" s="1857" t="s">
        <v>3159</v>
      </c>
      <c r="D317" s="1857"/>
      <c r="E317" s="1857"/>
      <c r="F317" s="1857"/>
      <c r="G317" s="1857"/>
      <c r="H317" s="1857"/>
      <c r="I317" s="1857"/>
      <c r="J317" s="1857"/>
      <c r="K317" s="1857"/>
      <c r="L317" s="1857"/>
      <c r="M317" s="605">
        <v>6</v>
      </c>
      <c r="N317" s="625"/>
      <c r="O317" s="1800"/>
      <c r="P317" s="2664"/>
      <c r="Q317" s="642" t="s">
        <v>2876</v>
      </c>
    </row>
    <row r="318" spans="1:17" s="461" customFormat="1" ht="34.5" customHeight="1">
      <c r="A318" s="790" t="s">
        <v>1419</v>
      </c>
      <c r="B318" s="156" t="s">
        <v>2084</v>
      </c>
      <c r="C318" s="1650" t="s">
        <v>3945</v>
      </c>
      <c r="D318" s="1650"/>
      <c r="E318" s="1650"/>
      <c r="F318" s="1650"/>
      <c r="G318" s="1650"/>
      <c r="H318" s="1650"/>
      <c r="I318" s="1650"/>
      <c r="J318" s="1650"/>
      <c r="K318" s="1650"/>
      <c r="L318" s="1650"/>
      <c r="M318" s="594">
        <v>5</v>
      </c>
      <c r="N318" s="603"/>
      <c r="O318" s="1801"/>
      <c r="P318" s="2665"/>
      <c r="Q318" s="642"/>
    </row>
    <row r="319" spans="1:17" s="461" customFormat="1" ht="44.25" customHeight="1">
      <c r="A319" s="788"/>
      <c r="B319" s="604" t="s">
        <v>789</v>
      </c>
      <c r="C319" s="1804" t="s">
        <v>3946</v>
      </c>
      <c r="D319" s="1804"/>
      <c r="E319" s="1804"/>
      <c r="F319" s="1804"/>
      <c r="G319" s="1804"/>
      <c r="H319" s="1804"/>
      <c r="I319" s="1804"/>
      <c r="J319" s="1804"/>
      <c r="K319" s="1804"/>
      <c r="L319" s="1804"/>
      <c r="M319" s="605">
        <v>2</v>
      </c>
      <c r="N319" s="606"/>
      <c r="O319" s="1338">
        <v>2</v>
      </c>
      <c r="P319" s="2645"/>
      <c r="Q319" s="789" t="s">
        <v>2876</v>
      </c>
    </row>
    <row r="320" spans="1:17" s="461" customFormat="1" ht="23.25" customHeight="1">
      <c r="A320" s="788"/>
      <c r="B320" s="793" t="s">
        <v>2216</v>
      </c>
      <c r="C320" s="1650" t="s">
        <v>4199</v>
      </c>
      <c r="D320" s="1650"/>
      <c r="E320" s="1650"/>
      <c r="F320" s="1650"/>
      <c r="G320" s="1650"/>
      <c r="H320" s="1650"/>
      <c r="I320" s="1650"/>
      <c r="J320" s="1650"/>
      <c r="K320" s="1650"/>
      <c r="L320" s="1650"/>
      <c r="M320" s="619">
        <v>1</v>
      </c>
      <c r="N320" s="820"/>
      <c r="O320" s="1339">
        <v>1</v>
      </c>
      <c r="P320" s="2666"/>
      <c r="Q320" s="192" t="s">
        <v>2876</v>
      </c>
    </row>
    <row r="321" spans="1:18" s="43" customFormat="1" ht="11.25" customHeight="1">
      <c r="A321" s="168"/>
      <c r="B321" s="604" t="s">
        <v>1823</v>
      </c>
      <c r="C321" s="1804" t="s">
        <v>4052</v>
      </c>
      <c r="D321" s="1804"/>
      <c r="E321" s="1804"/>
      <c r="F321" s="1804"/>
      <c r="G321" s="1804"/>
      <c r="H321" s="1804"/>
      <c r="I321" s="1804"/>
      <c r="J321" s="1804"/>
      <c r="K321" s="1804"/>
      <c r="L321" s="1804"/>
      <c r="M321" s="605">
        <v>2</v>
      </c>
      <c r="N321" s="608"/>
      <c r="O321" s="1800">
        <v>2</v>
      </c>
      <c r="P321" s="2664"/>
      <c r="Q321" s="192" t="s">
        <v>2876</v>
      </c>
    </row>
    <row r="322" spans="1:18" s="43" customFormat="1" ht="11.25" customHeight="1">
      <c r="B322" s="790" t="s">
        <v>1419</v>
      </c>
      <c r="C322" s="1858" t="s">
        <v>4051</v>
      </c>
      <c r="D322" s="1858"/>
      <c r="E322" s="1858"/>
      <c r="F322" s="1858"/>
      <c r="G322" s="1858"/>
      <c r="H322" s="1858"/>
      <c r="I322" s="1858"/>
      <c r="J322" s="1858"/>
      <c r="K322" s="1858"/>
      <c r="L322" s="1858"/>
      <c r="M322" s="621">
        <v>1</v>
      </c>
      <c r="N322" s="124"/>
      <c r="O322" s="1801"/>
      <c r="P322" s="2665"/>
      <c r="Q322" s="106"/>
    </row>
    <row r="323" spans="1:18" s="461" customFormat="1" ht="22.5" customHeight="1">
      <c r="A323" s="788"/>
      <c r="B323" s="604" t="s">
        <v>1824</v>
      </c>
      <c r="C323" s="1804" t="s">
        <v>3947</v>
      </c>
      <c r="D323" s="1804"/>
      <c r="E323" s="1804"/>
      <c r="F323" s="1804"/>
      <c r="G323" s="1804"/>
      <c r="H323" s="1804"/>
      <c r="I323" s="1804"/>
      <c r="J323" s="1804"/>
      <c r="K323" s="1804"/>
      <c r="L323" s="1804"/>
      <c r="M323" s="605">
        <v>2</v>
      </c>
      <c r="N323" s="623"/>
      <c r="O323" s="1800"/>
      <c r="P323" s="2664"/>
      <c r="Q323" s="192" t="s">
        <v>2876</v>
      </c>
    </row>
    <row r="324" spans="1:18" s="461" customFormat="1" ht="21.75" customHeight="1">
      <c r="B324" s="790" t="s">
        <v>1419</v>
      </c>
      <c r="C324" s="1650" t="s">
        <v>3948</v>
      </c>
      <c r="D324" s="1650"/>
      <c r="E324" s="1650"/>
      <c r="F324" s="1650"/>
      <c r="G324" s="1650"/>
      <c r="H324" s="1650"/>
      <c r="I324" s="1650"/>
      <c r="J324" s="1650"/>
      <c r="K324" s="1650"/>
      <c r="L324" s="1650"/>
      <c r="M324" s="619">
        <v>1</v>
      </c>
      <c r="N324" s="620"/>
      <c r="O324" s="1801"/>
      <c r="P324" s="2665"/>
      <c r="Q324" s="192"/>
    </row>
    <row r="325" spans="1:18" s="43" customFormat="1" ht="11.25" customHeight="1">
      <c r="A325" s="168"/>
      <c r="B325" s="607" t="s">
        <v>2044</v>
      </c>
      <c r="C325" s="1857" t="s">
        <v>3949</v>
      </c>
      <c r="D325" s="1857"/>
      <c r="E325" s="1857"/>
      <c r="F325" s="1857"/>
      <c r="G325" s="1857"/>
      <c r="H325" s="1857"/>
      <c r="I325" s="1857"/>
      <c r="J325" s="1857"/>
      <c r="K325" s="1857"/>
      <c r="L325" s="1857"/>
      <c r="M325" s="624">
        <v>2</v>
      </c>
      <c r="N325" s="625"/>
      <c r="O325" s="1338">
        <v>2</v>
      </c>
      <c r="P325" s="2645"/>
      <c r="Q325" s="192" t="s">
        <v>2876</v>
      </c>
    </row>
    <row r="326" spans="1:18" s="43" customFormat="1" ht="11.25" customHeight="1">
      <c r="A326" s="168"/>
      <c r="B326" s="200"/>
      <c r="C326" s="1252"/>
      <c r="D326" s="1252"/>
      <c r="E326" s="1252"/>
      <c r="F326" s="1252"/>
      <c r="G326" s="1282" t="s">
        <v>3613</v>
      </c>
      <c r="H326" s="913">
        <f>'Part IV-Uses of Funds'!$B$44</f>
        <v>9048527</v>
      </c>
      <c r="I326" s="1282" t="s">
        <v>563</v>
      </c>
      <c r="J326" s="913">
        <f>'Part IV-Uses of Funds'!$G$130</f>
        <v>15780131</v>
      </c>
      <c r="K326" s="1282" t="s">
        <v>4200</v>
      </c>
      <c r="L326" s="912">
        <f>H326/J326</f>
        <v>0.57341266685301917</v>
      </c>
      <c r="M326" s="895"/>
      <c r="N326" s="895"/>
      <c r="O326" s="895"/>
      <c r="P326" s="895"/>
      <c r="Q326" s="192"/>
    </row>
    <row r="327" spans="1:18" s="461" customFormat="1" ht="22.5" customHeight="1">
      <c r="A327" s="788"/>
      <c r="B327" s="793" t="s">
        <v>3837</v>
      </c>
      <c r="C327" s="1650" t="s">
        <v>3950</v>
      </c>
      <c r="D327" s="1650"/>
      <c r="E327" s="1650"/>
      <c r="F327" s="1650"/>
      <c r="G327" s="1650"/>
      <c r="H327" s="1650"/>
      <c r="I327" s="1650"/>
      <c r="J327" s="1650"/>
      <c r="K327" s="1650"/>
      <c r="L327" s="1650"/>
      <c r="M327" s="821">
        <v>2</v>
      </c>
      <c r="N327" s="820"/>
      <c r="O327" s="1340"/>
      <c r="P327" s="2646"/>
      <c r="Q327" s="789" t="s">
        <v>2876</v>
      </c>
    </row>
    <row r="328" spans="1:18" s="461" customFormat="1" ht="12" customHeight="1">
      <c r="A328" s="788"/>
      <c r="B328" s="793" t="s">
        <v>647</v>
      </c>
      <c r="C328" s="1650" t="s">
        <v>4053</v>
      </c>
      <c r="D328" s="1650"/>
      <c r="E328" s="1650"/>
      <c r="F328" s="1650"/>
      <c r="G328" s="1650"/>
      <c r="H328" s="1650"/>
      <c r="I328" s="1650"/>
      <c r="J328" s="1650"/>
      <c r="K328" s="1650"/>
      <c r="L328" s="1650"/>
      <c r="M328" s="821">
        <v>2</v>
      </c>
      <c r="N328" s="820"/>
      <c r="O328" s="1340"/>
      <c r="P328" s="2646"/>
      <c r="Q328" s="789" t="s">
        <v>2876</v>
      </c>
    </row>
    <row r="329" spans="1:18" s="461" customFormat="1" ht="11.25" customHeight="1">
      <c r="A329" s="788"/>
      <c r="B329" s="793" t="s">
        <v>3838</v>
      </c>
      <c r="C329" s="1650" t="s">
        <v>3951</v>
      </c>
      <c r="D329" s="1650"/>
      <c r="E329" s="1650"/>
      <c r="F329" s="1650"/>
      <c r="G329" s="1650"/>
      <c r="H329" s="1650"/>
      <c r="I329" s="1650"/>
      <c r="J329" s="1650"/>
      <c r="K329" s="1650"/>
      <c r="L329" s="1650"/>
      <c r="M329" s="821">
        <v>1</v>
      </c>
      <c r="N329" s="820"/>
      <c r="O329" s="1339"/>
      <c r="P329" s="2666"/>
      <c r="Q329" s="789" t="s">
        <v>2876</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6" t="s">
        <v>4496</v>
      </c>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3160</v>
      </c>
      <c r="B335" s="112" t="s">
        <v>3962</v>
      </c>
      <c r="C335" s="55"/>
      <c r="D335" s="124"/>
      <c r="E335" s="124"/>
      <c r="F335" s="41"/>
      <c r="G335" s="41"/>
      <c r="H335" s="41"/>
      <c r="I335" s="41"/>
      <c r="J335" s="41"/>
      <c r="K335" s="41"/>
      <c r="L335" s="41"/>
      <c r="M335" s="1273">
        <v>2</v>
      </c>
      <c r="N335" s="196"/>
      <c r="O335" s="80">
        <f>IF(AND(M343="Yes",M344="Yes",M345="Yes"),2,IF(OR(M343="Yes",M344="Yes",M345="Yes"),1,0))</f>
        <v>1</v>
      </c>
      <c r="P335" s="80">
        <f>IF(AND(O343="Yes",O344="Yes",O345="Yes"),2,IF(OR(O343="Yes",O344="Yes",O345="Yes"),1,0))</f>
        <v>0</v>
      </c>
      <c r="Q335" s="115" t="s">
        <v>458</v>
      </c>
      <c r="R335" s="192"/>
    </row>
    <row r="336" spans="1:18" s="43" customFormat="1" ht="12" customHeight="1">
      <c r="B336" s="1807" t="s">
        <v>3964</v>
      </c>
      <c r="C336" s="1807"/>
      <c r="D336" s="1807"/>
      <c r="E336" s="1807"/>
      <c r="F336" s="1807"/>
      <c r="G336" s="1807"/>
      <c r="H336" s="1807"/>
      <c r="I336" s="1807"/>
      <c r="J336" s="1807"/>
      <c r="K336" s="1807"/>
      <c r="L336" s="1807"/>
      <c r="M336" s="1807"/>
      <c r="N336" s="1807"/>
      <c r="O336" s="1287" t="s">
        <v>3424</v>
      </c>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3959</v>
      </c>
      <c r="G338" s="53"/>
      <c r="J338" s="1854" t="s">
        <v>4531</v>
      </c>
      <c r="K338" s="1855"/>
      <c r="L338" s="1855"/>
      <c r="M338" s="1855"/>
      <c r="N338" s="1856"/>
      <c r="O338" s="1880" t="s">
        <v>4084</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3304</v>
      </c>
      <c r="G340" s="56"/>
      <c r="J340" s="1872" t="str">
        <f>'Part I-Project Information'!$H$67</f>
        <v>Family</v>
      </c>
      <c r="K340" s="1873"/>
      <c r="L340" s="1257"/>
      <c r="M340" s="1863" t="s">
        <v>4370</v>
      </c>
      <c r="N340" s="630"/>
      <c r="O340" s="1880"/>
      <c r="P340" s="630"/>
    </row>
    <row r="341" spans="1:18" s="43" customFormat="1" ht="11.25" customHeight="1">
      <c r="A341" s="151"/>
      <c r="B341" s="644" t="s">
        <v>3960</v>
      </c>
      <c r="C341" s="643"/>
      <c r="D341" s="643"/>
      <c r="E341" s="1257"/>
      <c r="F341" s="416"/>
      <c r="H341" s="1257"/>
      <c r="I341" s="1257"/>
      <c r="J341" s="1257"/>
      <c r="K341" s="1257"/>
      <c r="L341" s="1257"/>
      <c r="M341" s="1863"/>
      <c r="N341" s="630"/>
      <c r="O341" s="1880"/>
      <c r="P341" s="1859" t="s">
        <v>3956</v>
      </c>
    </row>
    <row r="342" spans="1:18" s="43" customFormat="1" ht="12.75" customHeight="1">
      <c r="A342" s="151"/>
      <c r="C342" s="1240"/>
      <c r="F342" s="486" t="s">
        <v>3961</v>
      </c>
      <c r="H342" s="1257"/>
      <c r="I342" s="795" t="s">
        <v>3955</v>
      </c>
      <c r="J342" s="614" t="s">
        <v>3957</v>
      </c>
      <c r="K342" s="787" t="s">
        <v>3956</v>
      </c>
      <c r="L342" s="797" t="s">
        <v>3958</v>
      </c>
      <c r="M342" s="1863"/>
      <c r="N342" s="796"/>
      <c r="O342" s="1880"/>
      <c r="P342" s="1860"/>
    </row>
    <row r="343" spans="1:18" s="43" customFormat="1" ht="12" customHeight="1">
      <c r="A343" s="151"/>
      <c r="B343" s="413" t="s">
        <v>2556</v>
      </c>
      <c r="C343" s="794" t="s">
        <v>3954</v>
      </c>
      <c r="D343" s="643"/>
      <c r="E343" s="1257"/>
      <c r="F343" s="1866"/>
      <c r="G343" s="1867"/>
      <c r="H343" s="1868"/>
      <c r="I343" s="1341"/>
      <c r="J343" s="1341"/>
      <c r="K343" s="1342"/>
      <c r="L343" s="796">
        <v>78</v>
      </c>
      <c r="M343" s="886" t="str">
        <f>IF(K343="","",IF(K343&gt;=L343,"Yes",IF(K343&lt;L343,"No","")))</f>
        <v/>
      </c>
      <c r="N343" s="796"/>
      <c r="O343" s="889" t="str">
        <f>IF(P343="","",IF(P343&gt;=L343,"Yes",IF(P343&lt;L343,"No","")))</f>
        <v/>
      </c>
      <c r="P343" s="2667"/>
    </row>
    <row r="344" spans="1:18" s="43" customFormat="1" ht="12" customHeight="1">
      <c r="A344" s="151"/>
      <c r="B344" s="431" t="s">
        <v>2557</v>
      </c>
      <c r="C344" s="794" t="s">
        <v>3952</v>
      </c>
      <c r="D344" s="643"/>
      <c r="E344" s="1257"/>
      <c r="F344" s="1869"/>
      <c r="G344" s="1870"/>
      <c r="H344" s="1871"/>
      <c r="I344" s="1343"/>
      <c r="J344" s="1343"/>
      <c r="K344" s="1344"/>
      <c r="L344" s="796">
        <v>75</v>
      </c>
      <c r="M344" s="887" t="str">
        <f>IF(K344="","",IF(K344&gt;=L344,"Yes",IF(K344&lt;L344,"No","")))</f>
        <v/>
      </c>
      <c r="N344" s="796"/>
      <c r="O344" s="890" t="str">
        <f>IF(P344="","",IF(P344&gt;=L344,"Yes",IF(P344&lt;L344,"No","")))</f>
        <v/>
      </c>
      <c r="P344" s="2668"/>
    </row>
    <row r="345" spans="1:18" s="43" customFormat="1" ht="12" customHeight="1">
      <c r="A345" s="151"/>
      <c r="B345" s="413" t="s">
        <v>2558</v>
      </c>
      <c r="C345" s="794" t="s">
        <v>3953</v>
      </c>
      <c r="D345" s="643"/>
      <c r="E345" s="1257"/>
      <c r="F345" s="1877" t="s">
        <v>4531</v>
      </c>
      <c r="G345" s="1878"/>
      <c r="H345" s="1879"/>
      <c r="I345" s="1345" t="s">
        <v>4532</v>
      </c>
      <c r="J345" s="1345"/>
      <c r="K345" s="1346">
        <v>73</v>
      </c>
      <c r="L345" s="796">
        <v>72</v>
      </c>
      <c r="M345" s="888" t="str">
        <f>IF(K345="","",IF(K345&gt;=L345,"Yes",IF(K345&lt;L345,"No","")))</f>
        <v>Yes</v>
      </c>
      <c r="N345" s="796"/>
      <c r="O345" s="891" t="str">
        <f>IF(P345="","",IF(P345&gt;=L345,"Yes",IF(P345&lt;L345,"No","")))</f>
        <v/>
      </c>
      <c r="P345" s="2669"/>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t="s">
        <v>4539</v>
      </c>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3163</v>
      </c>
      <c r="B351" s="112" t="s">
        <v>3162</v>
      </c>
      <c r="C351" s="55"/>
      <c r="D351" s="124"/>
      <c r="E351" s="124"/>
      <c r="F351" s="41"/>
      <c r="G351" s="787" t="s">
        <v>4369</v>
      </c>
      <c r="H351" s="41"/>
      <c r="I351" s="56" t="s">
        <v>3167</v>
      </c>
      <c r="J351" s="56"/>
      <c r="K351" s="1852" t="str">
        <f>'Part I-Project Information'!$F$28</f>
        <v>Fort Valley</v>
      </c>
      <c r="L351" s="1853"/>
      <c r="M351" s="1273">
        <v>2</v>
      </c>
      <c r="N351" s="196"/>
      <c r="O351" s="1319">
        <v>2</v>
      </c>
      <c r="P351" s="2648"/>
      <c r="Q351" s="115" t="s">
        <v>458</v>
      </c>
      <c r="R351" s="36" t="s">
        <v>2876</v>
      </c>
    </row>
    <row r="352" spans="1:18" s="56" customFormat="1" ht="12" customHeight="1">
      <c r="A352" s="151" t="s">
        <v>2081</v>
      </c>
      <c r="B352" s="481"/>
      <c r="C352" s="614" t="s">
        <v>3171</v>
      </c>
      <c r="G352" s="1347">
        <v>5262</v>
      </c>
      <c r="I352" s="1861" t="s">
        <v>3168</v>
      </c>
      <c r="J352" s="1861"/>
      <c r="K352" s="1850" t="str">
        <f>'Part I-Project Information'!$J$29</f>
        <v>Peach</v>
      </c>
      <c r="L352" s="1851"/>
      <c r="R352" s="609"/>
    </row>
    <row r="353" spans="1:18" s="56" customFormat="1" ht="12" customHeight="1">
      <c r="A353" s="151"/>
      <c r="C353" s="614"/>
      <c r="I353" s="481" t="s">
        <v>3169</v>
      </c>
      <c r="K353" s="1850" t="str">
        <f>'Part I-Project Information'!$O$30</f>
        <v>Peach Co.</v>
      </c>
      <c r="L353" s="1851"/>
      <c r="R353" s="609"/>
    </row>
    <row r="354" spans="1:18" s="56" customFormat="1" ht="12" customHeight="1">
      <c r="A354" s="156" t="s">
        <v>2084</v>
      </c>
      <c r="B354" s="542" t="s">
        <v>3166</v>
      </c>
      <c r="C354" s="1250"/>
      <c r="D354" s="1280"/>
      <c r="E354" s="1280"/>
      <c r="G354" s="1321">
        <v>0.6</v>
      </c>
      <c r="I354" s="481" t="s">
        <v>3305</v>
      </c>
      <c r="K354" s="1850" t="str">
        <f>VLOOKUP('Part I-Project Information'!$J$29,'DCA Underwriting Assumptions'!$G$127:$J$286,4)</f>
        <v>Non-MSA</v>
      </c>
      <c r="L354" s="1851"/>
      <c r="R354" s="609"/>
    </row>
    <row r="355" spans="1:18" s="56" customFormat="1" ht="12" customHeight="1">
      <c r="A355" s="47"/>
      <c r="B355" s="542" t="s">
        <v>3165</v>
      </c>
      <c r="C355" s="1250"/>
      <c r="D355" s="1280"/>
      <c r="E355" s="1280"/>
      <c r="F355" s="47"/>
      <c r="G355" s="47"/>
      <c r="I355" s="56" t="s">
        <v>3306</v>
      </c>
      <c r="K355" s="1848" t="str">
        <f>'Part I-Project Information'!$K$30</f>
        <v>Rural</v>
      </c>
      <c r="L355" s="1849"/>
      <c r="R355" s="609"/>
    </row>
    <row r="356" spans="1:18" s="56" customFormat="1" ht="3" customHeight="1">
      <c r="H356" s="47"/>
      <c r="I356" s="47"/>
      <c r="J356" s="47"/>
      <c r="K356" s="47"/>
      <c r="L356" s="47"/>
      <c r="R356" s="609"/>
    </row>
    <row r="357" spans="1:18" s="56" customFormat="1" ht="12" customHeight="1">
      <c r="A357" s="47"/>
      <c r="B357" s="47"/>
      <c r="C357" s="1255" t="s">
        <v>3164</v>
      </c>
      <c r="D357" s="1847" t="s">
        <v>3963</v>
      </c>
      <c r="E357" s="1847"/>
      <c r="F357" s="1847"/>
      <c r="G357" s="1847"/>
      <c r="H357" s="1847"/>
      <c r="I357" s="1847"/>
      <c r="J357" s="1847"/>
      <c r="K357" s="1847"/>
      <c r="L357" s="1255" t="s">
        <v>1679</v>
      </c>
      <c r="M357" s="1255" t="s">
        <v>2727</v>
      </c>
      <c r="R357" s="609"/>
    </row>
    <row r="358" spans="1:18" s="56" customFormat="1" ht="12" customHeight="1">
      <c r="A358" s="47"/>
      <c r="B358" s="47"/>
      <c r="C358" s="819" t="s">
        <v>1264</v>
      </c>
      <c r="D358" s="1844" t="s">
        <v>3170</v>
      </c>
      <c r="E358" s="1845"/>
      <c r="F358" s="1845"/>
      <c r="G358" s="1845"/>
      <c r="H358" s="1845"/>
      <c r="I358" s="1845"/>
      <c r="J358" s="1845"/>
      <c r="K358" s="1846"/>
      <c r="L358" s="819" t="s">
        <v>2741</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4497</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t="s">
        <v>3424</v>
      </c>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43"/>
      <c r="Q367" s="192" t="s">
        <v>2876</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4498</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51</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4"/>
      <c r="D376" s="1244"/>
      <c r="E376" s="1244"/>
      <c r="F376" s="1244"/>
      <c r="G376" s="1244"/>
      <c r="I376" s="184" t="s">
        <v>3313</v>
      </c>
      <c r="J376" s="1244"/>
      <c r="K376" s="1244"/>
      <c r="L376" s="1244"/>
      <c r="M376" s="1244"/>
      <c r="N376" s="78"/>
      <c r="O376" s="74"/>
      <c r="P376" s="529">
        <f>P314</f>
        <v>0</v>
      </c>
    </row>
    <row r="377" spans="1:18" s="43" customFormat="1" ht="13.5" customHeight="1">
      <c r="A377" s="42"/>
      <c r="D377" s="39"/>
      <c r="E377" s="36"/>
      <c r="F377" s="1273"/>
      <c r="G377" s="1273"/>
      <c r="H377" s="4" t="s">
        <v>3314</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2391</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3092</v>
      </c>
      <c r="D403" s="551"/>
      <c r="E403" s="551"/>
      <c r="F403" s="551"/>
      <c r="G403" s="805" t="s">
        <v>1579</v>
      </c>
      <c r="H403" s="806"/>
      <c r="I403" s="805"/>
      <c r="J403" s="551" t="s">
        <v>3971</v>
      </c>
      <c r="K403" s="551"/>
      <c r="L403" s="774"/>
      <c r="N403" s="130"/>
      <c r="O403" s="1234"/>
      <c r="P403" s="1234"/>
    </row>
    <row r="404" spans="1:16" s="174" customFormat="1">
      <c r="C404" s="807" t="s">
        <v>3094</v>
      </c>
      <c r="D404" s="551"/>
      <c r="E404" s="551"/>
      <c r="F404" s="551"/>
      <c r="G404" s="808" t="s">
        <v>2648</v>
      </c>
      <c r="H404" s="806"/>
      <c r="I404" s="808"/>
      <c r="J404" s="806" t="s">
        <v>3972</v>
      </c>
      <c r="K404" s="551"/>
      <c r="L404" s="773"/>
      <c r="N404" s="130"/>
      <c r="O404" s="1234"/>
      <c r="P404" s="1234"/>
    </row>
    <row r="405" spans="1:16" s="174" customFormat="1">
      <c r="C405" s="807" t="s">
        <v>3095</v>
      </c>
      <c r="D405" s="551"/>
      <c r="E405" s="551"/>
      <c r="F405" s="551"/>
      <c r="G405" s="808" t="s">
        <v>1870</v>
      </c>
      <c r="H405" s="806"/>
      <c r="I405" s="809"/>
      <c r="J405" s="806" t="s">
        <v>3973</v>
      </c>
      <c r="K405" s="551"/>
      <c r="L405" s="772"/>
      <c r="N405" s="130"/>
      <c r="O405" s="1234"/>
      <c r="P405" s="1234"/>
    </row>
    <row r="406" spans="1:16" s="174" customFormat="1">
      <c r="C406" s="807" t="s">
        <v>3096</v>
      </c>
      <c r="D406" s="551"/>
      <c r="E406" s="551"/>
      <c r="F406" s="551"/>
      <c r="G406" s="808" t="s">
        <v>1715</v>
      </c>
      <c r="H406" s="806"/>
      <c r="I406" s="809"/>
      <c r="J406" s="806" t="s">
        <v>3974</v>
      </c>
      <c r="K406" s="551"/>
      <c r="L406" s="772"/>
      <c r="N406" s="130"/>
      <c r="O406" s="1234"/>
      <c r="P406" s="1234"/>
    </row>
    <row r="407" spans="1:16" s="174" customFormat="1">
      <c r="C407" s="807" t="s">
        <v>3097</v>
      </c>
      <c r="D407" s="551"/>
      <c r="E407" s="551"/>
      <c r="F407" s="551"/>
      <c r="G407" s="808" t="s">
        <v>2172</v>
      </c>
      <c r="H407" s="806"/>
      <c r="I407" s="809"/>
      <c r="J407" s="806" t="s">
        <v>3975</v>
      </c>
      <c r="K407" s="551"/>
      <c r="L407" s="772"/>
      <c r="N407" s="130"/>
      <c r="O407" s="1234"/>
      <c r="P407" s="1234"/>
    </row>
    <row r="408" spans="1:16" s="174" customFormat="1">
      <c r="C408" s="807" t="s">
        <v>3098</v>
      </c>
      <c r="D408" s="551"/>
      <c r="E408" s="551"/>
      <c r="F408" s="551"/>
      <c r="G408" s="808" t="s">
        <v>12</v>
      </c>
      <c r="H408" s="806"/>
      <c r="I408" s="809"/>
      <c r="J408" s="806" t="s">
        <v>3976</v>
      </c>
      <c r="K408" s="551"/>
      <c r="L408" s="772"/>
      <c r="N408" s="130"/>
      <c r="O408" s="1234"/>
      <c r="P408" s="1234"/>
    </row>
    <row r="409" spans="1:16" s="174" customFormat="1">
      <c r="C409" s="807" t="s">
        <v>3099</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2612</v>
      </c>
      <c r="H413" s="806"/>
      <c r="I413" s="809"/>
      <c r="J413" s="806" t="s">
        <v>3981</v>
      </c>
      <c r="K413" s="551"/>
      <c r="L413" s="772"/>
      <c r="N413" s="130"/>
      <c r="O413" s="1234"/>
      <c r="P413" s="1234"/>
    </row>
    <row r="414" spans="1:16" s="174" customFormat="1">
      <c r="A414" s="551"/>
      <c r="B414" s="551"/>
      <c r="C414" s="551"/>
      <c r="D414" s="551"/>
      <c r="E414" s="551"/>
      <c r="F414" s="551"/>
      <c r="G414" s="808" t="s">
        <v>2159</v>
      </c>
      <c r="H414" s="806"/>
      <c r="I414" s="809"/>
      <c r="J414" s="806" t="s">
        <v>3982</v>
      </c>
      <c r="K414" s="551"/>
      <c r="L414" s="772"/>
      <c r="N414" s="130"/>
      <c r="O414" s="1234"/>
      <c r="P414" s="1234"/>
    </row>
    <row r="415" spans="1:16" s="174" customFormat="1">
      <c r="A415" s="804" t="s">
        <v>3101</v>
      </c>
      <c r="B415" s="551"/>
      <c r="C415" s="551"/>
      <c r="D415" s="551"/>
      <c r="E415" s="551"/>
      <c r="F415" s="551"/>
      <c r="G415" s="808" t="s">
        <v>632</v>
      </c>
      <c r="H415" s="806"/>
      <c r="I415" s="809"/>
      <c r="J415" s="806" t="s">
        <v>3983</v>
      </c>
      <c r="K415" s="551"/>
      <c r="L415" s="772"/>
      <c r="N415" s="130"/>
      <c r="O415" s="1234"/>
      <c r="P415" s="1234"/>
    </row>
    <row r="416" spans="1:16" s="174" customFormat="1">
      <c r="A416" s="804" t="s">
        <v>3137</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2021</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3138</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dD25FWWcHk7POgssfAeAJT4imtiaBs8OeecX0NOQSqjvoTl54VqKF5Sz+MWNaA5lAUe1FhQvzVwJ5uYuoYPmmg==" saltValue="+dnhFIpTXLTUgI83UaqkI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Lakeview Apartments</v>
      </c>
    </row>
    <row r="3" spans="1:6" s="32" customFormat="1" ht="13.5" customHeight="1">
      <c r="A3" s="1200" t="str">
        <f>CONCATENATE('Part I-Project Information'!$F$28,", ", 'Part I-Project Information'!$J$29," County")</f>
        <v>Fort Valley, Peach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2850</v>
      </c>
      <c r="B6" s="1583" t="s">
        <v>2851</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NGWV4kGPRkids11TGk6JEDXZVFn+3oivtEKKF7jv8bufWpDMBBdFzR3oMy34MD3A7yXOugd2jm4N5nU+L2weMA==" saltValue="zh6Q8IELLS8/LFZfNCfGM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3339</v>
      </c>
      <c r="B1" s="1886"/>
      <c r="C1" s="1886"/>
      <c r="D1" s="1886"/>
      <c r="E1" s="1886"/>
      <c r="F1" s="1886"/>
      <c r="G1" s="1886"/>
      <c r="H1" s="1886"/>
      <c r="I1" s="1886"/>
      <c r="J1" s="1886"/>
    </row>
    <row r="2" spans="1:11" ht="15.75">
      <c r="A2" s="1886" t="str">
        <f>Overview!C8</f>
        <v>Lakeview Apartments</v>
      </c>
      <c r="B2" s="1886"/>
      <c r="C2" s="1886"/>
      <c r="D2" s="1886"/>
      <c r="E2" s="1886"/>
      <c r="F2" s="1886"/>
      <c r="G2" s="1886"/>
      <c r="H2" s="1886"/>
      <c r="I2" s="1886"/>
      <c r="J2" s="1886"/>
    </row>
    <row r="3" spans="1:11" ht="15.75">
      <c r="A3" s="1886" t="str">
        <f>'Subsidy Layering Memo'!F14</f>
        <v>Fort Valley, Peach</v>
      </c>
      <c r="B3" s="1886"/>
      <c r="C3" s="1886"/>
      <c r="D3" s="1886"/>
      <c r="E3" s="1886"/>
      <c r="F3" s="1886"/>
      <c r="G3" s="1886"/>
      <c r="H3" s="1886"/>
      <c r="I3" s="1886"/>
      <c r="J3" s="1886"/>
    </row>
    <row r="4" spans="1:11" ht="15.75">
      <c r="A4" s="1887" t="s">
        <v>3340</v>
      </c>
      <c r="B4" s="1886"/>
      <c r="C4" s="1886"/>
      <c r="D4" s="1886"/>
      <c r="E4" s="1886"/>
      <c r="F4" s="1886"/>
      <c r="G4" s="1886"/>
      <c r="H4" s="1886"/>
      <c r="I4" s="1886"/>
      <c r="J4" s="1886"/>
    </row>
    <row r="5" spans="1:11" ht="5.25" customHeight="1"/>
    <row r="6" spans="1:11" ht="5.25" customHeight="1"/>
    <row r="7" spans="1:11" ht="15.75">
      <c r="A7" s="1888" t="s">
        <v>3341</v>
      </c>
      <c r="B7" s="1888"/>
      <c r="C7" s="1889"/>
    </row>
    <row r="8" spans="1:11" ht="123" customHeight="1">
      <c r="A8" s="1882" t="s">
        <v>3894</v>
      </c>
      <c r="B8" s="1882"/>
      <c r="C8" s="1882"/>
      <c r="D8" s="1882"/>
      <c r="E8" s="1882"/>
      <c r="F8" s="1882"/>
      <c r="G8" s="1882"/>
      <c r="H8" s="1882"/>
      <c r="I8" s="1882"/>
      <c r="J8" s="1882"/>
      <c r="K8" s="936"/>
    </row>
    <row r="9" spans="1:11" ht="15.75">
      <c r="A9" s="937" t="s">
        <v>3342</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3343</v>
      </c>
      <c r="B13" s="938"/>
    </row>
    <row r="14" spans="1:11">
      <c r="A14" s="935" t="s">
        <v>3344</v>
      </c>
      <c r="E14" s="939" t="s">
        <v>3345</v>
      </c>
    </row>
    <row r="15" spans="1:11">
      <c r="A15" s="935" t="s">
        <v>3346</v>
      </c>
      <c r="D15" s="940">
        <f>Overview!C25</f>
        <v>0</v>
      </c>
    </row>
    <row r="16" spans="1:11">
      <c r="A16" s="941" t="s">
        <v>3347</v>
      </c>
      <c r="D16" s="942">
        <f>Overview!C13</f>
        <v>96</v>
      </c>
    </row>
    <row r="17" spans="1:11" ht="14.25" customHeight="1"/>
    <row r="18" spans="1:11" ht="15.75">
      <c r="A18" s="937" t="s">
        <v>3348</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3349</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3350</v>
      </c>
    </row>
    <row r="27" spans="1:11" ht="15.75" thickBot="1">
      <c r="A27" s="945"/>
      <c r="B27" s="945"/>
      <c r="C27" s="945"/>
      <c r="D27" s="945"/>
      <c r="F27" s="945"/>
      <c r="G27" s="945"/>
      <c r="H27" s="945"/>
      <c r="I27" s="945"/>
    </row>
    <row r="28" spans="1:11">
      <c r="A28" s="935" t="s">
        <v>3351</v>
      </c>
      <c r="D28" s="935" t="s">
        <v>969</v>
      </c>
      <c r="F28" s="935" t="s">
        <v>3352</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3353</v>
      </c>
      <c r="B2" s="947"/>
      <c r="C2" s="947"/>
      <c r="D2" s="947"/>
      <c r="E2" s="948"/>
      <c r="F2" s="947"/>
      <c r="G2" s="947"/>
      <c r="H2" s="947"/>
      <c r="I2" s="947"/>
      <c r="J2" s="947"/>
    </row>
    <row r="3" spans="1:10" ht="15">
      <c r="A3" s="950"/>
    </row>
    <row r="4" spans="1:10" ht="15">
      <c r="A4" s="950" t="s">
        <v>3354</v>
      </c>
      <c r="D4" s="949" t="s">
        <v>3355</v>
      </c>
    </row>
    <row r="5" spans="1:10" ht="15">
      <c r="A5" s="950"/>
    </row>
    <row r="6" spans="1:10" ht="15">
      <c r="A6" s="950" t="s">
        <v>3356</v>
      </c>
      <c r="D6" s="949" t="s">
        <v>3357</v>
      </c>
    </row>
    <row r="7" spans="1:10" ht="15">
      <c r="A7" s="950"/>
    </row>
    <row r="8" spans="1:10" ht="15">
      <c r="A8" s="950" t="s">
        <v>3358</v>
      </c>
      <c r="D8" s="951" t="s">
        <v>3359</v>
      </c>
    </row>
    <row r="9" spans="1:10" ht="15">
      <c r="A9" s="950"/>
    </row>
    <row r="10" spans="1:10" ht="15">
      <c r="A10" s="950" t="s">
        <v>3360</v>
      </c>
      <c r="D10" s="951" t="s">
        <v>3361</v>
      </c>
    </row>
    <row r="11" spans="1:10" ht="15">
      <c r="A11" s="950"/>
      <c r="D11" s="952"/>
    </row>
    <row r="12" spans="1:10" ht="15">
      <c r="A12" s="950" t="s">
        <v>3362</v>
      </c>
      <c r="D12" s="949" t="s">
        <v>648</v>
      </c>
      <c r="F12" s="952" t="str">
        <f>Overview!$C$8</f>
        <v>Lakeview Apartments</v>
      </c>
    </row>
    <row r="13" spans="1:10" ht="15">
      <c r="A13" s="950"/>
      <c r="D13" s="949" t="s">
        <v>3363</v>
      </c>
      <c r="F13" s="952" t="str">
        <f>Overview!E8</f>
        <v>2015-056</v>
      </c>
    </row>
    <row r="14" spans="1:10" ht="15">
      <c r="A14" s="950"/>
      <c r="D14" s="949" t="s">
        <v>3364</v>
      </c>
      <c r="F14" s="952" t="str">
        <f>Overview!H8</f>
        <v>Fort Valley, Peach</v>
      </c>
    </row>
    <row r="15" spans="1:10" ht="15">
      <c r="A15" s="950"/>
      <c r="D15" s="949" t="s">
        <v>3752</v>
      </c>
      <c r="F15" s="953">
        <f>Overview!$C$25</f>
        <v>0</v>
      </c>
    </row>
    <row r="16" spans="1:10" ht="15">
      <c r="A16" s="950"/>
      <c r="D16" s="954" t="s">
        <v>3365</v>
      </c>
      <c r="F16" s="955">
        <f>Overview!C13</f>
        <v>96</v>
      </c>
      <c r="G16" s="956" t="s">
        <v>3753</v>
      </c>
      <c r="H16" s="952">
        <f>Overview!D13</f>
        <v>96</v>
      </c>
    </row>
    <row r="17" spans="1:18" ht="15">
      <c r="A17" s="950"/>
      <c r="D17" s="954" t="s">
        <v>3304</v>
      </c>
      <c r="F17" s="952" t="str">
        <f>Overview!C14</f>
        <v>Family</v>
      </c>
    </row>
    <row r="18" spans="1:18" ht="15">
      <c r="A18" s="950"/>
      <c r="D18" s="954" t="s">
        <v>3758</v>
      </c>
      <c r="F18" s="952" t="str">
        <f>Overview!H15</f>
        <v>Rural</v>
      </c>
    </row>
    <row r="19" spans="1:18" ht="15">
      <c r="A19" s="950"/>
      <c r="D19" s="954" t="s">
        <v>3754</v>
      </c>
      <c r="F19" s="952">
        <f>Overview!E16</f>
        <v>0</v>
      </c>
    </row>
    <row r="20" spans="1:18" ht="15">
      <c r="A20" s="950"/>
      <c r="D20" s="954"/>
    </row>
    <row r="21" spans="1:18" ht="15">
      <c r="A21" s="957" t="s">
        <v>3366</v>
      </c>
    </row>
    <row r="22" spans="1:18" ht="111.75" customHeight="1">
      <c r="A22" s="1899" t="s">
        <v>4282</v>
      </c>
      <c r="B22" s="1899"/>
      <c r="C22" s="1899"/>
      <c r="D22" s="1899"/>
      <c r="E22" s="1899"/>
      <c r="F22" s="1899"/>
      <c r="G22" s="1899"/>
      <c r="H22" s="1899"/>
      <c r="I22" s="1899"/>
      <c r="J22" s="1899"/>
      <c r="L22" s="1904" t="s">
        <v>3763</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3367</v>
      </c>
    </row>
    <row r="27" spans="1:18" ht="14.25" customHeight="1">
      <c r="A27" s="1907" t="s">
        <v>3368</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3369</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3370</v>
      </c>
    </row>
    <row r="41" spans="1:10" ht="135" customHeight="1">
      <c r="A41" s="1906" t="s">
        <v>3895</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3371</v>
      </c>
    </row>
    <row r="44" spans="1:10" ht="33" customHeight="1">
      <c r="A44" s="1893" t="s">
        <v>3372</v>
      </c>
      <c r="B44" s="1898"/>
      <c r="C44" s="1898"/>
      <c r="D44" s="1898"/>
      <c r="E44" s="1898"/>
      <c r="F44" s="1898"/>
      <c r="G44" s="1898"/>
      <c r="H44" s="1898"/>
      <c r="I44" s="1898"/>
      <c r="J44" s="1893"/>
    </row>
    <row r="45" spans="1:10" ht="3" customHeight="1"/>
    <row r="46" spans="1:10" ht="72.75" customHeight="1">
      <c r="A46" s="1893" t="s">
        <v>3373</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3374</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3375</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3764</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3376</v>
      </c>
      <c r="B54" s="1892"/>
      <c r="C54" s="1892"/>
      <c r="D54" s="1892"/>
      <c r="E54" s="1892"/>
      <c r="F54" s="1892"/>
      <c r="G54" s="1892"/>
      <c r="H54" s="1892"/>
      <c r="I54" s="1892"/>
      <c r="J54" s="1892"/>
    </row>
    <row r="55" spans="1:17" ht="3" customHeight="1"/>
    <row r="56" spans="1:17" ht="73.5" customHeight="1">
      <c r="A56" s="1893" t="s">
        <v>3377</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3378</v>
      </c>
      <c r="L58" s="961" t="s">
        <v>4274</v>
      </c>
    </row>
    <row r="59" spans="1:17" ht="73.5" customHeight="1">
      <c r="A59" s="1899" t="s">
        <v>3379</v>
      </c>
      <c r="B59" s="1899"/>
      <c r="C59" s="1899"/>
      <c r="D59" s="1899"/>
      <c r="E59" s="1899"/>
      <c r="F59" s="1899"/>
      <c r="G59" s="1899"/>
      <c r="H59" s="1899"/>
      <c r="I59" s="1899"/>
      <c r="J59" s="1899"/>
      <c r="L59" s="962">
        <f>'Closing term sheet'!C135</f>
        <v>508434.5</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2" t="s">
        <v>3896</v>
      </c>
      <c r="B61" s="1892"/>
      <c r="C61" s="1892"/>
      <c r="D61" s="1892"/>
      <c r="E61" s="1892"/>
      <c r="F61" s="1892"/>
      <c r="G61" s="1892"/>
      <c r="H61" s="1892"/>
      <c r="I61" s="1892"/>
      <c r="J61" s="967"/>
      <c r="L61" s="968">
        <f>'Part III-Sources of Funds'!I44</f>
        <v>9998000</v>
      </c>
      <c r="M61" s="969">
        <f>'Part IV-Uses of Funds'!$J$173</f>
        <v>1000000</v>
      </c>
      <c r="N61" s="970">
        <f>'Part IV-Uses of Funds'!N166</f>
        <v>1</v>
      </c>
      <c r="O61" s="968">
        <f>'Part III-Sources of Funds'!I45</f>
        <v>4999000</v>
      </c>
      <c r="P61" s="969">
        <f>M61</f>
        <v>1000000</v>
      </c>
      <c r="Q61" s="970">
        <f>'Part IV-Uses of Funds'!Q166</f>
        <v>0.5</v>
      </c>
    </row>
    <row r="62" spans="1:17" ht="18.75" customHeight="1">
      <c r="A62" s="971" t="s">
        <v>3380</v>
      </c>
    </row>
    <row r="63" spans="1:17" ht="159.75" customHeight="1">
      <c r="A63" s="1892" t="s">
        <v>3897</v>
      </c>
      <c r="B63" s="1892"/>
      <c r="C63" s="1892"/>
      <c r="D63" s="1892"/>
      <c r="E63" s="1892"/>
      <c r="F63" s="1892"/>
      <c r="G63" s="1892"/>
      <c r="H63" s="1892"/>
      <c r="I63" s="1892"/>
      <c r="J63" s="1892"/>
      <c r="L63" s="972" t="str">
        <f>'Part VII-Pro Forma'!K65</f>
        <v/>
      </c>
      <c r="M63" s="1890" t="s">
        <v>4281</v>
      </c>
      <c r="N63" s="1891"/>
    </row>
    <row r="64" spans="1:17" ht="6" customHeight="1">
      <c r="A64" s="957"/>
    </row>
    <row r="65" spans="1:10" ht="15">
      <c r="A65" s="957" t="s">
        <v>3381</v>
      </c>
    </row>
    <row r="66" spans="1:10" ht="66.75" customHeight="1">
      <c r="A66" s="1892" t="s">
        <v>3382</v>
      </c>
      <c r="B66" s="1892"/>
      <c r="C66" s="1892"/>
      <c r="D66" s="1892"/>
      <c r="E66" s="1892"/>
      <c r="F66" s="1892"/>
      <c r="G66" s="1892"/>
      <c r="H66" s="1892"/>
      <c r="I66" s="1892"/>
      <c r="J66" s="1892"/>
    </row>
    <row r="67" spans="1:10" ht="36" customHeight="1">
      <c r="A67" s="1892" t="s">
        <v>3383</v>
      </c>
      <c r="B67" s="1892"/>
      <c r="C67" s="1892"/>
      <c r="D67" s="1892"/>
      <c r="E67" s="1892"/>
      <c r="F67" s="1892"/>
      <c r="G67" s="1892"/>
      <c r="H67" s="1892"/>
      <c r="I67" s="1892"/>
      <c r="J67" s="1892"/>
    </row>
    <row r="68" spans="1:10" ht="6" customHeight="1">
      <c r="A68" s="957"/>
    </row>
    <row r="69" spans="1:10" ht="15">
      <c r="A69" s="957" t="s">
        <v>3384</v>
      </c>
    </row>
    <row r="70" spans="1:10" ht="105.75" customHeight="1">
      <c r="A70" s="1893" t="s">
        <v>3385</v>
      </c>
      <c r="B70" s="1893"/>
      <c r="C70" s="1893"/>
      <c r="D70" s="1893"/>
      <c r="E70" s="1893"/>
      <c r="F70" s="1893"/>
      <c r="G70" s="1893"/>
      <c r="H70" s="1893"/>
      <c r="I70" s="1893"/>
      <c r="J70" s="1893"/>
    </row>
    <row r="71" spans="1:10" ht="6" customHeight="1">
      <c r="A71" s="957"/>
    </row>
    <row r="72" spans="1:10" ht="15">
      <c r="A72" s="957" t="s">
        <v>3386</v>
      </c>
    </row>
    <row r="73" spans="1:10" ht="66" customHeight="1">
      <c r="A73" s="1893" t="s">
        <v>3387</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3388</v>
      </c>
      <c r="B75" s="956"/>
      <c r="C75" s="956"/>
      <c r="D75" s="956"/>
      <c r="E75" s="956"/>
      <c r="F75" s="956"/>
      <c r="G75" s="956"/>
      <c r="H75" s="956"/>
      <c r="I75" s="956"/>
      <c r="J75" s="974"/>
    </row>
    <row r="76" spans="1:10" s="959" customFormat="1" ht="63" customHeight="1">
      <c r="A76" s="1893" t="s">
        <v>3389</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3390</v>
      </c>
      <c r="B78" s="1901"/>
      <c r="C78" s="1901"/>
      <c r="D78" s="956"/>
      <c r="E78" s="956"/>
      <c r="F78" s="956"/>
      <c r="G78" s="956"/>
      <c r="H78" s="956"/>
      <c r="I78" s="956"/>
      <c r="J78" s="974"/>
    </row>
    <row r="79" spans="1:10" ht="41.25" customHeight="1">
      <c r="A79" s="1892" t="s">
        <v>3898</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3391</v>
      </c>
    </row>
    <row r="82" spans="1:15" ht="139.5" customHeight="1">
      <c r="A82" s="1892" t="s">
        <v>3392</v>
      </c>
      <c r="B82" s="1892"/>
      <c r="C82" s="1892"/>
      <c r="D82" s="1892"/>
      <c r="E82" s="1892"/>
      <c r="F82" s="1892"/>
      <c r="G82" s="1892"/>
      <c r="H82" s="1892"/>
      <c r="I82" s="1892"/>
      <c r="J82" s="1892"/>
      <c r="L82" s="1896" t="s">
        <v>3393</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3394</v>
      </c>
    </row>
    <row r="85" spans="1:15" ht="111" customHeight="1">
      <c r="A85" s="1892" t="s">
        <v>3395</v>
      </c>
      <c r="B85" s="1892"/>
      <c r="C85" s="1892"/>
      <c r="D85" s="1892"/>
      <c r="E85" s="1892"/>
      <c r="F85" s="1892"/>
      <c r="G85" s="1892"/>
      <c r="H85" s="1892"/>
      <c r="I85" s="1892"/>
      <c r="J85" s="1892"/>
      <c r="L85" s="1896" t="s">
        <v>3396</v>
      </c>
      <c r="M85" s="1896"/>
      <c r="N85" s="978" t="e">
        <f>'After-Tax Analysis'!G66</f>
        <v>#VALUE!</v>
      </c>
      <c r="O85" s="979" t="s">
        <v>3397</v>
      </c>
    </row>
    <row r="86" spans="1:15" ht="6" customHeight="1">
      <c r="A86" s="957"/>
    </row>
    <row r="87" spans="1:15" ht="15">
      <c r="A87" s="957" t="s">
        <v>3398</v>
      </c>
    </row>
    <row r="88" spans="1:15" ht="118.5" customHeight="1">
      <c r="A88" s="1893" t="s">
        <v>3399</v>
      </c>
      <c r="B88" s="1893"/>
      <c r="C88" s="1893"/>
      <c r="D88" s="1893"/>
      <c r="E88" s="1893"/>
      <c r="F88" s="1893"/>
      <c r="G88" s="1893"/>
      <c r="H88" s="1893"/>
      <c r="I88" s="1893"/>
      <c r="J88" s="1893"/>
    </row>
    <row r="89" spans="1:15" ht="20.25" customHeight="1">
      <c r="A89" s="1898" t="s">
        <v>3400</v>
      </c>
      <c r="B89" s="1898"/>
      <c r="C89" s="1898"/>
      <c r="D89" s="1893"/>
      <c r="E89" s="958"/>
      <c r="F89" s="958"/>
      <c r="G89" s="958"/>
      <c r="H89" s="958"/>
      <c r="I89" s="958"/>
      <c r="J89" s="958"/>
    </row>
    <row r="90" spans="1:15" ht="109.5" customHeight="1">
      <c r="A90" s="1893" t="s">
        <v>3401</v>
      </c>
      <c r="B90" s="1898"/>
      <c r="C90" s="1898"/>
      <c r="D90" s="1898"/>
      <c r="E90" s="1898"/>
      <c r="F90" s="1898"/>
      <c r="G90" s="1898"/>
      <c r="H90" s="1898"/>
      <c r="I90" s="1898"/>
      <c r="J90" s="1898"/>
    </row>
    <row r="91" spans="1:15" ht="11.25" customHeight="1">
      <c r="A91" s="957"/>
    </row>
    <row r="92" spans="1:15" ht="15">
      <c r="A92" s="957" t="s">
        <v>3402</v>
      </c>
    </row>
    <row r="93" spans="1:15" ht="122.25" customHeight="1">
      <c r="A93" s="1899" t="s">
        <v>3403</v>
      </c>
      <c r="B93" s="1899"/>
      <c r="C93" s="1899"/>
      <c r="D93" s="1899"/>
      <c r="E93" s="1899"/>
      <c r="F93" s="1899"/>
      <c r="G93" s="1899"/>
      <c r="H93" s="1899"/>
      <c r="I93" s="1899"/>
      <c r="J93" s="1899"/>
      <c r="L93" s="978" t="str">
        <f>'Part VII-Pro Forma'!K65</f>
        <v/>
      </c>
      <c r="M93" s="1897" t="s">
        <v>3404</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3405</v>
      </c>
      <c r="B97" s="1898"/>
      <c r="C97" s="1898"/>
      <c r="D97" s="958"/>
      <c r="E97" s="958"/>
      <c r="F97" s="958"/>
      <c r="G97" s="958"/>
      <c r="H97" s="958"/>
      <c r="I97" s="958"/>
      <c r="J97" s="974"/>
    </row>
    <row r="98" spans="1:10" ht="37.5" customHeight="1">
      <c r="A98" s="1892" t="s">
        <v>3406</v>
      </c>
      <c r="B98" s="1892"/>
      <c r="C98" s="1892"/>
      <c r="D98" s="1892"/>
      <c r="E98" s="1892"/>
      <c r="F98" s="1892"/>
      <c r="G98" s="1892"/>
      <c r="H98" s="1892"/>
      <c r="I98" s="1892"/>
      <c r="J98" s="1892"/>
    </row>
    <row r="99" spans="1:10" ht="6" customHeight="1">
      <c r="A99" s="957"/>
    </row>
    <row r="100" spans="1:10" ht="15">
      <c r="A100" s="957" t="s">
        <v>3407</v>
      </c>
    </row>
    <row r="101" spans="1:10" ht="43.5" customHeight="1">
      <c r="A101" s="1893" t="s">
        <v>3408</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3409</v>
      </c>
    </row>
    <row r="105" spans="1:10">
      <c r="A105" s="1894" t="s">
        <v>3410</v>
      </c>
      <c r="B105" s="1894"/>
      <c r="C105" s="1894"/>
      <c r="D105" s="1894"/>
      <c r="E105" s="1894"/>
      <c r="F105" s="1894"/>
      <c r="G105" s="1894"/>
      <c r="H105" s="1894"/>
      <c r="I105" s="1894"/>
      <c r="J105" s="1894"/>
    </row>
    <row r="107" spans="1:10" ht="15" thickBot="1">
      <c r="A107" s="980"/>
      <c r="B107" s="949" t="s">
        <v>3411</v>
      </c>
    </row>
    <row r="110" spans="1:10" ht="15" thickBot="1">
      <c r="A110" s="980"/>
      <c r="B110" s="949" t="s">
        <v>3412</v>
      </c>
    </row>
    <row r="112" spans="1:10">
      <c r="A112" s="949" t="s">
        <v>3413</v>
      </c>
    </row>
    <row r="115" spans="1:10" ht="15" thickBot="1">
      <c r="A115" s="980"/>
      <c r="B115" s="980"/>
      <c r="C115" s="980"/>
      <c r="D115" s="980"/>
      <c r="E115" s="980"/>
      <c r="H115" s="980"/>
      <c r="I115" s="980"/>
      <c r="J115" s="980"/>
    </row>
    <row r="116" spans="1:10">
      <c r="A116" s="1895" t="s">
        <v>3414</v>
      </c>
      <c r="B116" s="1895"/>
      <c r="C116" s="1895"/>
      <c r="D116" s="1895"/>
      <c r="E116" s="1895"/>
      <c r="H116" s="1895" t="s">
        <v>3415</v>
      </c>
      <c r="I116" s="1895"/>
      <c r="J116" s="1895"/>
    </row>
    <row r="118" spans="1:10" ht="15" thickBot="1">
      <c r="A118" s="949" t="s">
        <v>3416</v>
      </c>
      <c r="B118" s="980"/>
      <c r="C118" s="980"/>
      <c r="H118" s="949" t="s">
        <v>3416</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3417</v>
      </c>
      <c r="B1" s="982"/>
      <c r="C1" s="982"/>
      <c r="D1" s="982"/>
      <c r="E1" s="982"/>
      <c r="F1" s="982"/>
      <c r="G1" s="982"/>
      <c r="H1" s="982"/>
      <c r="I1" s="982"/>
      <c r="J1" s="982"/>
      <c r="K1" s="982"/>
      <c r="L1" s="935"/>
      <c r="M1" s="935"/>
    </row>
    <row r="2" spans="1:13" ht="18">
      <c r="A2" s="981" t="str">
        <f>+"Financial Analysis for:  "&amp;C8</f>
        <v>Financial Analysis for:  Lakeview Apartments</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3418</v>
      </c>
      <c r="B7" s="935"/>
      <c r="C7" s="986"/>
      <c r="D7" s="987"/>
      <c r="E7" s="987"/>
      <c r="F7" s="938" t="s">
        <v>3768</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08"/>
      <c r="J7" s="1908"/>
      <c r="K7" s="1908"/>
      <c r="L7" s="935"/>
      <c r="M7" s="935"/>
    </row>
    <row r="8" spans="1:13" ht="15.75">
      <c r="A8" s="938" t="s">
        <v>3419</v>
      </c>
      <c r="B8" s="938"/>
      <c r="C8" s="1908" t="str">
        <f>'Part I-Project Information'!F24</f>
        <v>Lakeview Apartments</v>
      </c>
      <c r="D8" s="1908"/>
      <c r="E8" s="988" t="str">
        <f>'Part I-Project Information'!O4</f>
        <v>2015-056</v>
      </c>
      <c r="F8" s="989" t="s">
        <v>3420</v>
      </c>
      <c r="G8" s="987"/>
      <c r="H8" s="1908" t="str">
        <f>CONCATENATE('Part I-Project Information'!F28,", ",'Part I-Project Information'!J29)</f>
        <v>Fort Valley, Peach</v>
      </c>
      <c r="I8" s="1908"/>
      <c r="J8" s="1908"/>
      <c r="K8" s="1908"/>
      <c r="L8" s="935"/>
      <c r="M8" s="990"/>
    </row>
    <row r="9" spans="1:13" ht="15.75">
      <c r="A9" s="938" t="s">
        <v>3422</v>
      </c>
      <c r="B9" s="938"/>
      <c r="C9" s="1908" t="s">
        <v>1859</v>
      </c>
      <c r="D9" s="1908"/>
      <c r="E9" s="987"/>
      <c r="F9" s="989" t="s">
        <v>3423</v>
      </c>
      <c r="G9" s="987"/>
      <c r="H9" s="1908" t="str">
        <f>'Part II-Development Team'!H5</f>
        <v>Lakeview Housing Partners, LP</v>
      </c>
      <c r="I9" s="1908"/>
      <c r="J9" s="1908"/>
      <c r="K9" s="1908"/>
      <c r="L9" s="1908"/>
      <c r="M9" s="990"/>
    </row>
    <row r="10" spans="1:13" ht="15.75">
      <c r="A10" s="938" t="s">
        <v>3425</v>
      </c>
      <c r="B10" s="935"/>
      <c r="C10" s="930" t="str">
        <f>'Part II-Development Team'!H14</f>
        <v>Lakeview Housing HSI GP LLC</v>
      </c>
      <c r="D10" s="987"/>
      <c r="E10" s="987"/>
      <c r="F10" s="989" t="s">
        <v>4353</v>
      </c>
      <c r="G10" s="987"/>
      <c r="H10" s="1908" t="str">
        <f>'Part II-Development Team'!H33</f>
        <v>CREA Lakeview, LLC</v>
      </c>
      <c r="I10" s="1908"/>
      <c r="J10" s="1908"/>
      <c r="K10" s="1908" t="str">
        <f>'Part II-Development Team'!H39</f>
        <v>CREA SLP, LLC</v>
      </c>
      <c r="L10" s="1908"/>
    </row>
    <row r="11" spans="1:13" ht="15.75">
      <c r="A11" s="938" t="s">
        <v>3426</v>
      </c>
      <c r="B11" s="935"/>
      <c r="C11" s="987" t="str">
        <f>IF('Part II-Development Team'!H20="","",'Part II-Development Team'!H20)</f>
        <v/>
      </c>
      <c r="D11" s="987"/>
      <c r="E11" s="987"/>
      <c r="F11" s="989" t="s">
        <v>687</v>
      </c>
      <c r="G11" s="987"/>
      <c r="H11" s="1908" t="str">
        <f>'Part II-Development Team'!H54</f>
        <v>LVH Developers, LLC</v>
      </c>
      <c r="I11" s="1908"/>
      <c r="J11" s="1908"/>
      <c r="K11" s="1908">
        <f>'Part II-Development Team'!H60</f>
        <v>0</v>
      </c>
      <c r="L11" s="1908"/>
    </row>
    <row r="12" spans="1:13" ht="15.75">
      <c r="A12" s="938" t="s">
        <v>3427</v>
      </c>
      <c r="B12" s="935"/>
      <c r="C12" s="930" t="str">
        <f>'Part II-Development Team'!H86</f>
        <v>Formula Construction Group</v>
      </c>
      <c r="D12" s="987"/>
      <c r="E12" s="987"/>
      <c r="F12" s="989" t="s">
        <v>3428</v>
      </c>
      <c r="G12" s="987"/>
      <c r="H12" s="1908" t="str">
        <f>'Part II-Development Team'!H92</f>
        <v>HSI Management, Inc.</v>
      </c>
      <c r="I12" s="1908"/>
      <c r="J12" s="1908"/>
      <c r="K12" s="1908"/>
      <c r="L12" s="935"/>
      <c r="M12" s="935"/>
    </row>
    <row r="13" spans="1:13" ht="15.75">
      <c r="A13" s="938" t="s">
        <v>3429</v>
      </c>
      <c r="B13" s="989"/>
      <c r="C13" s="928">
        <f>'Part VI-Revenues &amp; Expenses'!M62</f>
        <v>96</v>
      </c>
      <c r="D13" s="929">
        <f>'Part VI-Revenues &amp; Expenses'!M58</f>
        <v>96</v>
      </c>
      <c r="E13" s="988"/>
      <c r="F13" s="989" t="s">
        <v>3756</v>
      </c>
      <c r="G13" s="987"/>
      <c r="H13" s="1914">
        <f>'Part I-Project Information'!H61</f>
        <v>7</v>
      </c>
      <c r="I13" s="1914"/>
      <c r="J13" s="1914"/>
      <c r="K13" s="1914"/>
      <c r="L13" s="935"/>
      <c r="M13" s="935"/>
    </row>
    <row r="14" spans="1:13" ht="15.75">
      <c r="A14" s="938" t="s">
        <v>3755</v>
      </c>
      <c r="B14" s="935"/>
      <c r="C14" s="930" t="str">
        <f>'Part I-Project Information'!H67</f>
        <v>Family</v>
      </c>
      <c r="D14" s="1908" t="str">
        <f>IF('Part I-Project Information'!N67=0,"",'Part I-Project Information'!N67)</f>
        <v/>
      </c>
      <c r="E14" s="1908"/>
      <c r="F14" s="989" t="s">
        <v>3430</v>
      </c>
      <c r="G14" s="987"/>
      <c r="H14" s="1909" t="s">
        <v>4283</v>
      </c>
      <c r="I14" s="1909"/>
      <c r="J14" s="1909"/>
      <c r="K14" s="1909" t="s">
        <v>4283</v>
      </c>
      <c r="L14" s="1909"/>
      <c r="M14" s="935"/>
    </row>
    <row r="15" spans="1:13" ht="15.75">
      <c r="A15" s="938" t="s">
        <v>3431</v>
      </c>
      <c r="B15" s="935"/>
      <c r="C15" s="991"/>
      <c r="D15" s="987"/>
      <c r="E15" s="987"/>
      <c r="F15" s="989" t="s">
        <v>3757</v>
      </c>
      <c r="G15" s="987"/>
      <c r="H15" s="987" t="str">
        <f>'Part I-Project Information'!K30</f>
        <v>Rural</v>
      </c>
      <c r="I15" s="987"/>
      <c r="J15" s="987"/>
      <c r="K15" s="987"/>
      <c r="L15" s="935"/>
      <c r="M15" s="935"/>
    </row>
    <row r="16" spans="1:13" ht="15.75">
      <c r="A16" s="938" t="s">
        <v>4321</v>
      </c>
      <c r="B16" s="935"/>
      <c r="C16" s="930" t="str">
        <f>'Part I-Project Information'!H86</f>
        <v>No</v>
      </c>
      <c r="D16" s="992" t="s">
        <v>2820</v>
      </c>
      <c r="E16" s="930">
        <f>'Part I-Project Information'!H88</f>
        <v>0</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3759</v>
      </c>
      <c r="B18" s="935"/>
      <c r="C18" s="993">
        <f>'Part IV-Uses of Funds'!G130</f>
        <v>15780131</v>
      </c>
      <c r="D18" s="994">
        <f>IF(C18=0,"",$C$29/C18)</f>
        <v>0</v>
      </c>
      <c r="E18" s="987" t="s">
        <v>3760</v>
      </c>
      <c r="F18" s="989" t="s">
        <v>3761</v>
      </c>
      <c r="G18" s="987"/>
      <c r="H18" s="1913">
        <f>'Part IV-Uses of Funds'!B44</f>
        <v>9048527</v>
      </c>
      <c r="I18" s="1913"/>
      <c r="J18" s="995">
        <f>IF(H18=0,"",$C$29/H18)</f>
        <v>0</v>
      </c>
      <c r="K18" s="1908" t="s">
        <v>3762</v>
      </c>
      <c r="L18" s="1908"/>
      <c r="M18" s="935"/>
    </row>
    <row r="19" spans="1:13" ht="15.75">
      <c r="A19" s="938" t="s">
        <v>3432</v>
      </c>
      <c r="B19" s="935"/>
      <c r="C19" s="931">
        <f>C18/C13</f>
        <v>164376.36458333334</v>
      </c>
      <c r="D19" s="987"/>
      <c r="E19" s="935"/>
      <c r="F19" s="938" t="s">
        <v>3432</v>
      </c>
      <c r="G19" s="935"/>
      <c r="H19" s="1912">
        <f>H18/C13</f>
        <v>94255.489583333328</v>
      </c>
      <c r="I19" s="1912"/>
      <c r="J19" s="935"/>
      <c r="K19" s="935"/>
      <c r="L19" s="935"/>
      <c r="M19" s="935"/>
    </row>
    <row r="20" spans="1:13" ht="15.75">
      <c r="A20" s="938" t="s">
        <v>3433</v>
      </c>
      <c r="B20" s="935"/>
      <c r="C20" s="931">
        <f>C18/'Part VI-Revenues &amp; Expenses'!M120</f>
        <v>176.99063460373719</v>
      </c>
      <c r="D20" s="996"/>
      <c r="E20" s="997"/>
      <c r="F20" s="938" t="s">
        <v>3433</v>
      </c>
      <c r="G20" s="935"/>
      <c r="H20" s="1912">
        <f>H18/'Part VI-Revenues &amp; Expenses'!M120</f>
        <v>101.4886717961372</v>
      </c>
      <c r="I20" s="1912"/>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3434</v>
      </c>
      <c r="B23" s="1000"/>
      <c r="C23" s="1000"/>
      <c r="D23" s="1000"/>
      <c r="E23" s="987"/>
      <c r="F23" s="987"/>
      <c r="G23" s="987"/>
      <c r="H23" s="987"/>
      <c r="I23" s="987"/>
      <c r="J23" s="987"/>
      <c r="K23" s="987"/>
      <c r="L23" s="935"/>
      <c r="M23" s="990"/>
    </row>
    <row r="24" spans="1:13" ht="27" customHeight="1">
      <c r="A24" s="935"/>
      <c r="B24" s="935"/>
      <c r="C24" s="935"/>
      <c r="D24" s="1001" t="s">
        <v>3435</v>
      </c>
      <c r="E24" s="935"/>
      <c r="F24" s="935"/>
      <c r="G24" s="935"/>
      <c r="H24" s="935"/>
      <c r="I24" s="935"/>
      <c r="J24" s="935"/>
      <c r="K24" s="935"/>
      <c r="L24" s="935"/>
      <c r="M24" s="990"/>
    </row>
    <row r="25" spans="1:13" ht="15.75">
      <c r="A25" s="938" t="s">
        <v>3436</v>
      </c>
      <c r="B25" s="1002">
        <f>'Part III-Sources of Funds'!E36</f>
        <v>0</v>
      </c>
      <c r="C25" s="1003">
        <f>'Part III-Sources of Funds'!I36</f>
        <v>0</v>
      </c>
      <c r="D25" s="1004" t="s">
        <v>3437</v>
      </c>
      <c r="E25" s="935"/>
      <c r="F25" s="987"/>
      <c r="G25" s="935" t="s">
        <v>3438</v>
      </c>
      <c r="H25" s="935"/>
      <c r="I25" s="935"/>
      <c r="K25" s="1003"/>
      <c r="L25" s="987"/>
      <c r="M25" s="990"/>
    </row>
    <row r="26" spans="1:13" ht="15">
      <c r="A26" s="935"/>
      <c r="B26" s="1002"/>
      <c r="C26" s="1003"/>
      <c r="D26" s="1004"/>
      <c r="E26" s="935"/>
      <c r="F26" s="987"/>
      <c r="G26" s="935" t="s">
        <v>3439</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3440</v>
      </c>
      <c r="H28" s="935"/>
      <c r="I28" s="935"/>
      <c r="K28" s="1003"/>
      <c r="L28" s="987"/>
      <c r="M28" s="935"/>
    </row>
    <row r="29" spans="1:13" ht="16.5" thickBot="1">
      <c r="A29" s="935"/>
      <c r="B29" s="1006" t="s">
        <v>3441</v>
      </c>
      <c r="C29" s="1007">
        <f>SUM(C25:C27)</f>
        <v>0</v>
      </c>
      <c r="D29" s="935"/>
      <c r="E29" s="935"/>
      <c r="F29" s="987"/>
      <c r="G29" s="935" t="s">
        <v>3442</v>
      </c>
      <c r="H29" s="935"/>
      <c r="I29" s="935"/>
      <c r="K29" s="1005" t="e">
        <f>C29/K28</f>
        <v>#DIV/0!</v>
      </c>
      <c r="L29" s="987"/>
      <c r="M29" s="935"/>
    </row>
    <row r="30" spans="1:13" ht="16.5" thickTop="1">
      <c r="A30" s="938" t="s">
        <v>3443</v>
      </c>
      <c r="B30" s="1006"/>
      <c r="C30" s="1008">
        <f>'Part III-Sources of Funds'!I44+'Part III-Sources of Funds'!I45</f>
        <v>14997000</v>
      </c>
      <c r="D30" s="935"/>
      <c r="E30" s="935"/>
      <c r="F30" s="987"/>
      <c r="G30" s="935"/>
      <c r="H30" s="935"/>
      <c r="I30" s="935"/>
      <c r="K30" s="1009"/>
      <c r="L30" s="987"/>
      <c r="M30" s="935"/>
    </row>
    <row r="31" spans="1:13" ht="15">
      <c r="A31" s="1010" t="s">
        <v>3444</v>
      </c>
      <c r="B31" s="1002">
        <f>'Part III-Sources of Funds'!E37</f>
        <v>0</v>
      </c>
      <c r="C31" s="1003">
        <f>'Part III-Sources of Funds'!I37</f>
        <v>0</v>
      </c>
      <c r="D31" s="1004"/>
      <c r="E31" s="935"/>
      <c r="F31" s="987"/>
      <c r="G31" s="935"/>
      <c r="H31" s="935"/>
      <c r="I31" s="935"/>
      <c r="K31" s="935"/>
      <c r="L31" s="987"/>
      <c r="M31" s="935"/>
    </row>
    <row r="32" spans="1:13" ht="15">
      <c r="A32" s="1010" t="s">
        <v>3444</v>
      </c>
      <c r="B32" s="1002">
        <f>'Part III-Sources of Funds'!E38</f>
        <v>0</v>
      </c>
      <c r="C32" s="1003">
        <f>'Part III-Sources of Funds'!I38</f>
        <v>0</v>
      </c>
      <c r="D32" s="1004"/>
      <c r="E32" s="935" t="s">
        <v>254</v>
      </c>
      <c r="F32" s="987"/>
      <c r="G32" s="935" t="s">
        <v>3445</v>
      </c>
      <c r="H32" s="935"/>
      <c r="I32" s="935"/>
      <c r="K32" s="1003"/>
      <c r="L32" s="987"/>
      <c r="M32" s="987"/>
    </row>
    <row r="33" spans="1:13" ht="15">
      <c r="A33" s="935"/>
      <c r="B33" s="987"/>
      <c r="C33" s="1011"/>
      <c r="D33" s="935"/>
      <c r="E33" s="935"/>
      <c r="F33" s="987"/>
      <c r="G33" s="935" t="s">
        <v>3446</v>
      </c>
      <c r="H33" s="935"/>
      <c r="I33" s="935"/>
      <c r="K33" s="1012"/>
      <c r="L33" s="987"/>
      <c r="M33" s="1013"/>
    </row>
    <row r="34" spans="1:13" ht="15.75">
      <c r="A34" s="935"/>
      <c r="B34" s="1006" t="s">
        <v>3447</v>
      </c>
      <c r="C34" s="1011">
        <f>SUM(C31:C32)</f>
        <v>0</v>
      </c>
      <c r="D34" s="935"/>
      <c r="E34" s="935"/>
      <c r="F34" s="935"/>
      <c r="G34" s="935"/>
      <c r="H34" s="935"/>
      <c r="I34" s="935"/>
      <c r="K34" s="987"/>
      <c r="L34" s="935"/>
      <c r="M34" s="1013"/>
    </row>
    <row r="35" spans="1:13" ht="15.75">
      <c r="A35" s="935"/>
      <c r="B35" s="1006"/>
      <c r="C35" s="935"/>
      <c r="D35" s="935"/>
      <c r="E35" s="935"/>
      <c r="F35" s="935"/>
      <c r="G35" s="935" t="s">
        <v>3448</v>
      </c>
      <c r="H35" s="935"/>
      <c r="I35" s="935"/>
      <c r="K35" s="1014" t="e">
        <f>(C36)/K25</f>
        <v>#DIV/0!</v>
      </c>
      <c r="L35" s="935"/>
      <c r="M35" s="987"/>
    </row>
    <row r="36" spans="1:13" ht="15.75">
      <c r="A36" s="935"/>
      <c r="B36" s="1006" t="s">
        <v>3449</v>
      </c>
      <c r="C36" s="1011">
        <f>C29+C34</f>
        <v>0</v>
      </c>
      <c r="D36" s="935"/>
      <c r="E36" s="935"/>
      <c r="F36" s="935"/>
      <c r="G36" s="935"/>
      <c r="H36" s="935"/>
      <c r="I36" s="935"/>
      <c r="K36" s="987"/>
      <c r="L36" s="935"/>
      <c r="M36" s="987"/>
    </row>
    <row r="37" spans="1:13" ht="15.75">
      <c r="A37" s="935"/>
      <c r="B37" s="1006"/>
      <c r="C37" s="1015"/>
      <c r="D37" s="935"/>
      <c r="E37" s="935"/>
      <c r="F37" s="935"/>
      <c r="G37" s="935" t="s">
        <v>3450</v>
      </c>
      <c r="H37" s="935"/>
      <c r="I37" s="935"/>
      <c r="K37" s="1014" t="e">
        <f>+(C36)/K32</f>
        <v>#DIV/0!</v>
      </c>
      <c r="L37" s="935"/>
      <c r="M37" s="1013"/>
    </row>
    <row r="38" spans="1:13" ht="15.75">
      <c r="A38" s="935"/>
      <c r="B38" s="1006" t="s">
        <v>3451</v>
      </c>
      <c r="C38" s="1016">
        <f>C36/C18</f>
        <v>0</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3452</v>
      </c>
      <c r="C40" s="1016">
        <f>C36/H18</f>
        <v>0</v>
      </c>
      <c r="D40" s="935"/>
      <c r="E40" s="935"/>
      <c r="F40" s="938"/>
      <c r="G40" s="938" t="s">
        <v>3453</v>
      </c>
      <c r="H40" s="935"/>
      <c r="I40" s="935"/>
      <c r="K40" s="1014">
        <f>C30/C18</f>
        <v>0.95037233848058678</v>
      </c>
      <c r="L40" s="935"/>
      <c r="M40" s="935"/>
    </row>
    <row r="46" spans="1:13" ht="15.75">
      <c r="A46" s="1017" t="s">
        <v>3454</v>
      </c>
      <c r="B46" s="982"/>
      <c r="C46" s="982"/>
      <c r="D46" s="982"/>
      <c r="E46" s="982"/>
      <c r="F46" s="982"/>
      <c r="G46" s="982"/>
      <c r="H46" s="982"/>
      <c r="I46" s="982"/>
      <c r="J46" s="982"/>
      <c r="K46" s="982"/>
      <c r="L46" s="982"/>
      <c r="M46" s="935"/>
    </row>
    <row r="47" spans="1:13" ht="15.75">
      <c r="A47" s="1017" t="str">
        <f>C8</f>
        <v>Lakeview Apartments</v>
      </c>
      <c r="B47" s="982"/>
      <c r="C47" s="982"/>
      <c r="D47" s="982"/>
      <c r="E47" s="982"/>
      <c r="F47" s="982"/>
      <c r="G47" s="982"/>
      <c r="H47" s="982"/>
      <c r="I47" s="982"/>
      <c r="J47" s="982"/>
      <c r="K47" s="982"/>
      <c r="L47" s="982"/>
      <c r="M47" s="935"/>
    </row>
    <row r="50" spans="1:14" s="935" customFormat="1" ht="15.75">
      <c r="A50" s="938" t="s">
        <v>3455</v>
      </c>
      <c r="C50" s="1018" t="s">
        <v>3456</v>
      </c>
      <c r="E50" s="1019" t="s">
        <v>4284</v>
      </c>
      <c r="F50" s="1020">
        <v>0.1</v>
      </c>
      <c r="G50" s="1019" t="s">
        <v>4285</v>
      </c>
      <c r="H50" s="1020">
        <v>0.05</v>
      </c>
      <c r="I50" s="1019" t="s">
        <v>4286</v>
      </c>
      <c r="J50" s="1020">
        <v>0.03</v>
      </c>
      <c r="K50" s="1910" t="s">
        <v>3457</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3458</v>
      </c>
      <c r="C52" s="1023">
        <f>'Part VII-Pro Forma'!$B$14</f>
        <v>816984</v>
      </c>
      <c r="D52" s="1023"/>
      <c r="E52" s="1023">
        <f>$C$52</f>
        <v>816984</v>
      </c>
      <c r="F52" s="1023"/>
      <c r="G52" s="1023">
        <f>$C$52</f>
        <v>816984</v>
      </c>
      <c r="H52" s="1023"/>
      <c r="I52" s="1023">
        <f>$C$52</f>
        <v>816984</v>
      </c>
      <c r="J52" s="1023"/>
      <c r="K52" s="1023">
        <f>$C$52</f>
        <v>816984</v>
      </c>
      <c r="L52" s="1024"/>
      <c r="M52" s="28"/>
      <c r="N52" s="28"/>
    </row>
    <row r="53" spans="1:14" s="935" customFormat="1" ht="18.75" customHeight="1">
      <c r="B53" s="1022" t="s">
        <v>3461</v>
      </c>
      <c r="C53" s="1023">
        <f>'Part VII-Pro Forma'!B15</f>
        <v>16339.68</v>
      </c>
      <c r="D53" s="1023"/>
      <c r="E53" s="1023">
        <f>$C$53</f>
        <v>16339.68</v>
      </c>
      <c r="F53" s="1023"/>
      <c r="G53" s="1023">
        <f>$C$53</f>
        <v>16339.68</v>
      </c>
      <c r="H53" s="1023"/>
      <c r="I53" s="1023">
        <f>$C$53</f>
        <v>16339.68</v>
      </c>
      <c r="J53" s="1023"/>
      <c r="K53" s="1023">
        <f>$C$53</f>
        <v>16339.68</v>
      </c>
      <c r="L53" s="1024"/>
      <c r="M53" s="28"/>
      <c r="N53" s="28"/>
    </row>
    <row r="54" spans="1:14" s="935" customFormat="1" ht="18.75" customHeight="1">
      <c r="B54" s="1022" t="s">
        <v>3459</v>
      </c>
      <c r="C54" s="1023">
        <f>-($C$52+C53)*0.07</f>
        <v>-58332.657600000006</v>
      </c>
      <c r="D54" s="1023"/>
      <c r="E54" s="1023">
        <f>-($C$52+E53)*F50</f>
        <v>-83332.368000000017</v>
      </c>
      <c r="F54" s="1025"/>
      <c r="G54" s="1023">
        <f>-($C$52+G53)*0.07</f>
        <v>-58332.657600000006</v>
      </c>
      <c r="H54" s="1023"/>
      <c r="I54" s="1023">
        <f>-($C$52+I53)*0.07</f>
        <v>-58332.657600000006</v>
      </c>
      <c r="J54" s="1023"/>
      <c r="K54" s="1023">
        <f>-($C$52+K53)*L54</f>
        <v>-83332.368000000017</v>
      </c>
      <c r="L54" s="1026">
        <v>0.1</v>
      </c>
      <c r="M54" s="28"/>
      <c r="N54" s="28"/>
    </row>
    <row r="55" spans="1:14" s="935" customFormat="1" ht="18.75" customHeight="1">
      <c r="B55" s="1022" t="s">
        <v>3460</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3462</v>
      </c>
      <c r="C56" s="1029">
        <f>SUM(C52:C55)</f>
        <v>774991.02240000002</v>
      </c>
      <c r="D56" s="1023"/>
      <c r="E56" s="1029">
        <f>SUM(E52:E55)</f>
        <v>749991.31200000003</v>
      </c>
      <c r="F56" s="1023"/>
      <c r="G56" s="1029">
        <f>SUM(G52:G55)</f>
        <v>774991.02240000002</v>
      </c>
      <c r="H56" s="1023"/>
      <c r="I56" s="1029">
        <f>SUM(I52:I55)</f>
        <v>774991.02240000002</v>
      </c>
      <c r="J56" s="1023"/>
      <c r="K56" s="1029">
        <f>SUM(K52:K55)</f>
        <v>749991.31200000003</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3463</v>
      </c>
      <c r="C58" s="1023">
        <f>'Part VI-Revenues &amp; Expenses'!$F$170+'Part VI-Revenues &amp; Expenses'!$F$179+'Part VI-Revenues &amp; Expenses'!$K$168+'Part VI-Revenues &amp; Expenses'!$K$177</f>
        <v>157457</v>
      </c>
      <c r="D58" s="1023"/>
      <c r="E58" s="1023">
        <f>$C$58</f>
        <v>157457</v>
      </c>
      <c r="F58" s="1023"/>
      <c r="G58" s="1023">
        <f>$C$58</f>
        <v>157457</v>
      </c>
      <c r="H58" s="1023"/>
      <c r="I58" s="1023">
        <f>$C$58</f>
        <v>157457</v>
      </c>
      <c r="J58" s="1023"/>
      <c r="K58" s="1023">
        <f>$C$58</f>
        <v>157457</v>
      </c>
      <c r="L58" s="1024"/>
      <c r="M58" s="28"/>
      <c r="N58" s="28"/>
    </row>
    <row r="59" spans="1:14" s="935" customFormat="1" ht="18.75" customHeight="1">
      <c r="B59" s="1022" t="s">
        <v>3464</v>
      </c>
      <c r="C59" s="1023">
        <f>'Part VI-Revenues &amp; Expenses'!$F$190</f>
        <v>70800</v>
      </c>
      <c r="D59" s="1023"/>
      <c r="E59" s="1023">
        <f>$C$59</f>
        <v>70800</v>
      </c>
      <c r="F59" s="1023"/>
      <c r="G59" s="1023">
        <f>$C$59</f>
        <v>70800</v>
      </c>
      <c r="H59" s="1023"/>
      <c r="I59" s="1023">
        <f>$C$59</f>
        <v>70800</v>
      </c>
      <c r="J59" s="1023"/>
      <c r="K59" s="1023">
        <f>$C$59*(1+$L$59)</f>
        <v>73632</v>
      </c>
      <c r="L59" s="1031">
        <v>0.04</v>
      </c>
      <c r="M59" s="28"/>
      <c r="N59" s="28"/>
    </row>
    <row r="60" spans="1:14" s="935" customFormat="1" ht="18.75" customHeight="1">
      <c r="B60" s="1022" t="s">
        <v>1441</v>
      </c>
      <c r="C60" s="1023">
        <f>'Part VI-Revenues &amp; Expenses'!$K$187</f>
        <v>194263</v>
      </c>
      <c r="D60" s="1023"/>
      <c r="E60" s="1023">
        <f>$C$60</f>
        <v>194263</v>
      </c>
      <c r="F60" s="1023"/>
      <c r="G60" s="1023">
        <f>$C$60</f>
        <v>194263</v>
      </c>
      <c r="H60" s="1023"/>
      <c r="I60" s="1023">
        <f>$C$60*(1+$J$50)</f>
        <v>200090.89</v>
      </c>
      <c r="J60" s="1025"/>
      <c r="K60" s="1023">
        <f>$C$60*(1+$J$50)</f>
        <v>200090.89</v>
      </c>
      <c r="L60" s="1026">
        <v>0.03</v>
      </c>
      <c r="M60" s="28"/>
      <c r="N60" s="28"/>
    </row>
    <row r="61" spans="1:14" s="935" customFormat="1" ht="18.75" customHeight="1">
      <c r="B61" s="1022" t="s">
        <v>1442</v>
      </c>
      <c r="C61" s="1023">
        <f>'Part VI-Revenues &amp; Expenses'!$P$169</f>
        <v>86384</v>
      </c>
      <c r="D61" s="1023"/>
      <c r="E61" s="1023">
        <f>$C$61</f>
        <v>86384</v>
      </c>
      <c r="F61" s="1023"/>
      <c r="G61" s="1023">
        <f>$C$61*(1+H50)</f>
        <v>90703.2</v>
      </c>
      <c r="H61" s="1025"/>
      <c r="I61" s="1023">
        <f>$C$61</f>
        <v>86384</v>
      </c>
      <c r="J61" s="1023"/>
      <c r="K61" s="1023">
        <f>$C$61*(1+$L$61)</f>
        <v>90703.2</v>
      </c>
      <c r="L61" s="1026">
        <v>0.05</v>
      </c>
      <c r="M61" s="28"/>
      <c r="N61" s="28"/>
    </row>
    <row r="62" spans="1:14" s="935" customFormat="1" ht="18.75" customHeight="1">
      <c r="B62" s="1028" t="s">
        <v>3465</v>
      </c>
      <c r="C62" s="1029">
        <f>SUM(C58:C61)</f>
        <v>508904</v>
      </c>
      <c r="D62" s="1023"/>
      <c r="E62" s="1029">
        <f>SUM(E58:E61)</f>
        <v>508904</v>
      </c>
      <c r="F62" s="1023"/>
      <c r="G62" s="1029">
        <f>SUM(G58:G61)</f>
        <v>513223.2</v>
      </c>
      <c r="H62" s="1023"/>
      <c r="I62" s="1029">
        <f>SUM(I58:I61)</f>
        <v>514731.89</v>
      </c>
      <c r="J62" s="1023"/>
      <c r="K62" s="1029">
        <f>SUM(K58:K61)</f>
        <v>521883.09</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3466</v>
      </c>
      <c r="C64" s="1035">
        <f>C56-C62</f>
        <v>266087.02240000002</v>
      </c>
      <c r="D64" s="1035"/>
      <c r="E64" s="1035">
        <f>E56-E62</f>
        <v>241087.31200000003</v>
      </c>
      <c r="F64" s="1035"/>
      <c r="G64" s="1035">
        <f>G56-G62</f>
        <v>261767.8224</v>
      </c>
      <c r="H64" s="1035"/>
      <c r="I64" s="1035">
        <f>I56-I62</f>
        <v>260259.1324</v>
      </c>
      <c r="J64" s="1035"/>
      <c r="K64" s="1035">
        <f>K56-K62</f>
        <v>228108.22200000001</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3467</v>
      </c>
      <c r="C66" s="1030">
        <f>'Part VI-Revenues &amp; Expenses'!$P$181</f>
        <v>50400</v>
      </c>
      <c r="D66" s="1030"/>
      <c r="E66" s="1030">
        <f>$C$66</f>
        <v>50400</v>
      </c>
      <c r="F66" s="1030"/>
      <c r="G66" s="1030">
        <f>$C$66</f>
        <v>50400</v>
      </c>
      <c r="H66" s="1030"/>
      <c r="I66" s="1030">
        <f>$C$66</f>
        <v>50400</v>
      </c>
      <c r="J66" s="1030"/>
      <c r="K66" s="1030">
        <f>$C$66</f>
        <v>50400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3468</v>
      </c>
      <c r="C68" s="1030">
        <f>'Part VI-Revenues &amp; Expenses'!$P$172</f>
        <v>62387</v>
      </c>
      <c r="D68" s="1030"/>
      <c r="E68" s="1030">
        <f>$C$68</f>
        <v>62387</v>
      </c>
      <c r="F68" s="1030"/>
      <c r="G68" s="1030">
        <f>$C$68</f>
        <v>62387</v>
      </c>
      <c r="H68" s="1030"/>
      <c r="I68" s="1030">
        <f>$C$68</f>
        <v>62387</v>
      </c>
      <c r="J68" s="1030"/>
      <c r="K68" s="1030">
        <f>$C$68</f>
        <v>62387</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3469</v>
      </c>
      <c r="C70" s="1038">
        <f>C64-C66-C68</f>
        <v>153300.02240000002</v>
      </c>
      <c r="D70" s="1039"/>
      <c r="E70" s="1038">
        <f>E64-E66-E68</f>
        <v>128300.31200000003</v>
      </c>
      <c r="F70" s="1039"/>
      <c r="G70" s="1038">
        <f>G64-G66-G68</f>
        <v>148980.8224</v>
      </c>
      <c r="H70" s="1039"/>
      <c r="I70" s="1038">
        <f>I64-I66-I68</f>
        <v>147472.1324</v>
      </c>
      <c r="J70" s="1039"/>
      <c r="K70" s="1038">
        <f>K64-K66-K68</f>
        <v>115321.22200000001</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3470</v>
      </c>
      <c r="C72" s="1041" t="e">
        <f>-C70/C75</f>
        <v>#DIV/0!</v>
      </c>
      <c r="D72" s="1041"/>
      <c r="E72" s="1041" t="e">
        <f>-E70/E75</f>
        <v>#DIV/0!</v>
      </c>
      <c r="F72" s="1041"/>
      <c r="G72" s="1041" t="e">
        <f>-G70/G75</f>
        <v>#DIV/0!</v>
      </c>
      <c r="H72" s="1041"/>
      <c r="I72" s="1041" t="e">
        <f>-I70/I75</f>
        <v>#DIV/0!</v>
      </c>
      <c r="J72" s="1041"/>
      <c r="K72" s="1041" t="e">
        <f>-K70/K75</f>
        <v>#DIV/0!</v>
      </c>
      <c r="L72" s="1042"/>
      <c r="M72" s="269"/>
      <c r="N72" s="269"/>
    </row>
    <row r="73" spans="1:14" s="935" customFormat="1" ht="18.75" customHeight="1">
      <c r="A73" s="28"/>
      <c r="B73" s="1022" t="s">
        <v>3471</v>
      </c>
      <c r="C73" s="1043">
        <f>C76/C62</f>
        <v>0.30123564051373153</v>
      </c>
      <c r="D73" s="1043"/>
      <c r="E73" s="1043">
        <f>E76/E62</f>
        <v>0.25211103076415203</v>
      </c>
      <c r="F73" s="1043"/>
      <c r="G73" s="1043">
        <f>G76/G62</f>
        <v>0.29028466055314722</v>
      </c>
      <c r="H73" s="1043"/>
      <c r="I73" s="1043">
        <f>I76/I62</f>
        <v>0.28650280906434611</v>
      </c>
      <c r="J73" s="1043"/>
      <c r="K73" s="1043">
        <f>K76/K62</f>
        <v>0.22097137119349852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3472</v>
      </c>
      <c r="C75" s="1023">
        <f>'Part VII-Pro Forma'!$B$23+'Part VII-Pro Forma'!$B$24+'Part VII-Pro Forma'!$B$25+'Part VII-Pro Forma'!$B$26</f>
        <v>0</v>
      </c>
      <c r="D75" s="1023"/>
      <c r="E75" s="1023">
        <f>$C$75</f>
        <v>0</v>
      </c>
      <c r="F75" s="1023"/>
      <c r="G75" s="1023">
        <f>$C$75</f>
        <v>0</v>
      </c>
      <c r="H75" s="1023"/>
      <c r="I75" s="1023">
        <f>$C$75</f>
        <v>0</v>
      </c>
      <c r="J75" s="1023"/>
      <c r="K75" s="1023">
        <f>$C$75</f>
        <v>0</v>
      </c>
      <c r="L75" s="32"/>
      <c r="M75" s="28"/>
      <c r="N75" s="28"/>
    </row>
    <row r="76" spans="1:14" s="935" customFormat="1" ht="18.75" customHeight="1">
      <c r="A76" s="28"/>
      <c r="B76" s="1022" t="s">
        <v>1220</v>
      </c>
      <c r="C76" s="1023">
        <f>C70+C75</f>
        <v>153300.02240000002</v>
      </c>
      <c r="D76" s="1023"/>
      <c r="E76" s="1023">
        <f>E70+E75</f>
        <v>128300.31200000003</v>
      </c>
      <c r="F76" s="1023"/>
      <c r="G76" s="1023">
        <f>G70+G75</f>
        <v>148980.8224</v>
      </c>
      <c r="H76" s="1023"/>
      <c r="I76" s="1023">
        <f>I70+I75</f>
        <v>147472.1324</v>
      </c>
      <c r="J76" s="1023"/>
      <c r="K76" s="1023">
        <f>K70+K75</f>
        <v>115321.22200000001</v>
      </c>
      <c r="L76" s="32"/>
      <c r="M76" s="28"/>
      <c r="N76" s="28"/>
    </row>
    <row r="77" spans="1:14" s="935" customFormat="1" ht="15" hidden="1">
      <c r="A77" s="28"/>
      <c r="B77" s="1022" t="s">
        <v>3473</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3474</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3475</v>
      </c>
      <c r="C80" s="1046" t="e">
        <f>MIN(C77,E77,G77,I77,K77)</f>
        <v>#NAME?</v>
      </c>
      <c r="D80" s="1032"/>
      <c r="E80" s="1032" t="s">
        <v>3476</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3477</v>
      </c>
      <c r="B1" s="1048"/>
      <c r="C1" s="949" t="str">
        <f>'Part I-Project Information'!F24</f>
        <v>Lakeview Apartments</v>
      </c>
    </row>
    <row r="2" spans="1:15" ht="13.5" customHeight="1"/>
    <row r="3" spans="1:15" ht="13.5" customHeight="1">
      <c r="A3" s="950" t="s">
        <v>3478</v>
      </c>
      <c r="C3" s="949" t="s">
        <v>3479</v>
      </c>
      <c r="E3" s="1049">
        <f>SUM('Part IV-Uses of Funds'!J147,'Part IV-Uses of Funds'!M147,'Part IV-Uses of Funds'!P147)</f>
        <v>14111247</v>
      </c>
      <c r="G3" s="1050" t="s">
        <v>3480</v>
      </c>
      <c r="H3" s="950">
        <v>27.5</v>
      </c>
      <c r="I3" s="949" t="s">
        <v>2592</v>
      </c>
      <c r="K3" s="956" t="s">
        <v>3502</v>
      </c>
      <c r="M3" s="952"/>
      <c r="O3" s="1051"/>
    </row>
    <row r="4" spans="1:15" ht="13.5" customHeight="1">
      <c r="C4" s="949" t="s">
        <v>4348</v>
      </c>
      <c r="E4" s="1049">
        <f>SUM('Part IV-Uses of Funds'!G85:H89)</f>
        <v>0</v>
      </c>
      <c r="G4" s="1050" t="s">
        <v>3481</v>
      </c>
      <c r="H4" s="950">
        <f>'Part III-Sources of Funds'!M36</f>
        <v>0</v>
      </c>
      <c r="I4" s="949" t="s">
        <v>2592</v>
      </c>
      <c r="K4" s="1052" t="s">
        <v>3765</v>
      </c>
      <c r="M4" s="952"/>
    </row>
    <row r="5" spans="1:15" ht="13.5" customHeight="1">
      <c r="C5" s="949" t="s">
        <v>4349</v>
      </c>
      <c r="E5" s="1049">
        <f>SUM('Part IV-Uses of Funds'!G96:H102)</f>
        <v>167800</v>
      </c>
      <c r="G5" s="1050" t="s">
        <v>3481</v>
      </c>
      <c r="H5" s="950">
        <v>15</v>
      </c>
      <c r="I5" s="949" t="s">
        <v>2592</v>
      </c>
      <c r="K5" s="1051">
        <f>-E6</f>
        <v>-14997000</v>
      </c>
    </row>
    <row r="6" spans="1:15" ht="13.5" customHeight="1">
      <c r="C6" s="949" t="s">
        <v>3482</v>
      </c>
      <c r="E6" s="1053">
        <f>'Part III-Sources of Funds'!$I$44+'Part III-Sources of Funds'!$I$45</f>
        <v>14997000</v>
      </c>
      <c r="G6" s="1050" t="s">
        <v>3483</v>
      </c>
      <c r="H6" s="1054">
        <v>0.35</v>
      </c>
      <c r="K6" s="1051" t="e">
        <f>C24</f>
        <v>#VALUE!</v>
      </c>
      <c r="M6" s="949" t="s">
        <v>3484</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3485</v>
      </c>
      <c r="O8" s="1056" t="e">
        <f>'Part VII-Pro Forma'!$K$65+'Part VII-Pro Forma'!$K$66</f>
        <v>#VALUE!</v>
      </c>
    </row>
    <row r="9" spans="1:15" ht="13.5" customHeight="1">
      <c r="A9" s="949" t="s">
        <v>3486</v>
      </c>
      <c r="C9" s="1058">
        <f>'Part VII-Pro Forma'!B30</f>
        <v>0</v>
      </c>
      <c r="D9" s="1058">
        <f>'Part VII-Pro Forma'!C30</f>
        <v>0</v>
      </c>
      <c r="E9" s="1058">
        <f>'Part VII-Pro Forma'!D30</f>
        <v>0</v>
      </c>
      <c r="F9" s="1058">
        <f>'Part VII-Pro Forma'!E30</f>
        <v>0</v>
      </c>
      <c r="G9" s="1058">
        <f>'Part VII-Pro Forma'!F30</f>
        <v>0</v>
      </c>
      <c r="H9" s="1058">
        <f>'Part VII-Pro Forma'!G30</f>
        <v>29571.493921713787</v>
      </c>
      <c r="I9" s="1058">
        <f>'Part VII-Pro Forma'!H30</f>
        <v>122729.01607071905</v>
      </c>
      <c r="K9" s="1051" t="e">
        <f>F24</f>
        <v>#VALUE!</v>
      </c>
      <c r="N9" s="1059" t="s">
        <v>3488</v>
      </c>
    </row>
    <row r="10" spans="1:15" ht="13.5" customHeight="1">
      <c r="A10" s="949" t="s">
        <v>3487</v>
      </c>
      <c r="C10" s="1060" t="e">
        <f>'Part III-Sources of Funds'!I36-'Part VII-Pro Forma'!B36</f>
        <v>#VALUE!</v>
      </c>
      <c r="D10" s="1060" t="e">
        <f>'Part VII-Pro Forma'!B36-'Part VII-Pro Forma'!C36</f>
        <v>#VALUE!</v>
      </c>
      <c r="E10" s="1060" t="e">
        <f>'Part VII-Pro Forma'!C36-'Part VII-Pro Forma'!D36</f>
        <v>#VALUE!</v>
      </c>
      <c r="F10" s="1060" t="e">
        <f>'Part VII-Pro Forma'!D36-'Part VII-Pro Forma'!E36</f>
        <v>#VALUE!</v>
      </c>
      <c r="G10" s="1060" t="e">
        <f>'Part VII-Pro Forma'!E36-'Part VII-Pro Forma'!F36</f>
        <v>#VALUE!</v>
      </c>
      <c r="H10" s="1060" t="e">
        <f>'Part VII-Pro Forma'!F36-'Part VII-Pro Forma'!G36</f>
        <v>#VALUE!</v>
      </c>
      <c r="I10" s="1060" t="e">
        <f>'Part VII-Pro Forma'!G36-'Part VII-Pro Forma'!H36</f>
        <v>#VALUE!</v>
      </c>
      <c r="K10" s="1051" t="e">
        <f>G24</f>
        <v>#VALUE!</v>
      </c>
      <c r="N10" s="1059" t="s">
        <v>3489</v>
      </c>
      <c r="O10" s="1056"/>
    </row>
    <row r="11" spans="1:15" ht="13.5" customHeight="1">
      <c r="A11" s="949" t="s">
        <v>3487</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3487</v>
      </c>
      <c r="C12" s="1060"/>
      <c r="D12" s="1060"/>
      <c r="E12" s="1060"/>
      <c r="F12" s="1060"/>
      <c r="G12" s="1060"/>
      <c r="H12" s="1060"/>
      <c r="I12" s="1060"/>
      <c r="K12" s="1051" t="e">
        <f>I24</f>
        <v>#VALUE!</v>
      </c>
      <c r="M12" s="949" t="s">
        <v>3491</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50400</v>
      </c>
      <c r="D13" s="1064">
        <f>-SUMIF('Part VII-Pro Forma'!$A$13:$L$13,D$8,'Part VII-Pro Forma'!$A$21:$L$21)-SUMIF('Part VII-Pro Forma'!$A$42:$L$42,D$8,'Part VII-Pro Forma'!$A$50:$L$50)-SUMIF('Part VII-Pro Forma'!$A$71:$L$71,D$8,'Part VII-Pro Forma'!$A$79:$L$79)</f>
        <v>51912</v>
      </c>
      <c r="E13" s="1064">
        <f>-SUMIF('Part VII-Pro Forma'!$A$13:$L$13,E$8,'Part VII-Pro Forma'!$A$21:$L$21)-SUMIF('Part VII-Pro Forma'!$A$42:$L$42,E$8,'Part VII-Pro Forma'!$A$50:$L$50)-SUMIF('Part VII-Pro Forma'!$A$71:$L$71,E$8,'Part VII-Pro Forma'!$A$79:$L$79)</f>
        <v>53469.36</v>
      </c>
      <c r="F13" s="1064">
        <f>-SUMIF('Part VII-Pro Forma'!$A$13:$L$13,F$8,'Part VII-Pro Forma'!$A$21:$L$21)-SUMIF('Part VII-Pro Forma'!$A$42:$L$42,F$8,'Part VII-Pro Forma'!$A$50:$L$50)-SUMIF('Part VII-Pro Forma'!$A$71:$L$71,F$8,'Part VII-Pro Forma'!$A$79:$L$79)</f>
        <v>55073.440799999997</v>
      </c>
      <c r="G13" s="1064">
        <f>-SUMIF('Part VII-Pro Forma'!$A$13:$L$13,G$8,'Part VII-Pro Forma'!$A$21:$L$21)-SUMIF('Part VII-Pro Forma'!$A$42:$L$42,G$8,'Part VII-Pro Forma'!$A$50:$L$50)-SUMIF('Part VII-Pro Forma'!$A$71:$L$71,G$8,'Part VII-Pro Forma'!$A$79:$L$79)</f>
        <v>56725.644023999994</v>
      </c>
      <c r="H13" s="1064">
        <f>-SUMIF('Part VII-Pro Forma'!$A$13:$L$13,H$8,'Part VII-Pro Forma'!$A$21:$L$21)-SUMIF('Part VII-Pro Forma'!$A$42:$L$42,H$8,'Part VII-Pro Forma'!$A$50:$L$50)-SUMIF('Part VII-Pro Forma'!$A$71:$L$71,H$8,'Part VII-Pro Forma'!$A$79:$L$79)</f>
        <v>58427.413344719993</v>
      </c>
      <c r="I13" s="1064">
        <f>-SUMIF('Part VII-Pro Forma'!$A$13:$L$13,I$8,'Part VII-Pro Forma'!$A$21:$L$21)-SUMIF('Part VII-Pro Forma'!$A$42:$L$42,I$8,'Part VII-Pro Forma'!$A$50:$L$50)-SUMIF('Part VII-Pro Forma'!$A$71:$L$71,I$8,'Part VII-Pro Forma'!$A$79:$L$79)</f>
        <v>60180.235745061596</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143300.02240000002</v>
      </c>
      <c r="D14" s="1064">
        <f>-SUMIF('Part VII-Pro Forma'!$A$13:$L$13,D$8,'Part VII-Pro Forma'!$A$29:$L$29)-SUMIF('Part VII-Pro Forma'!$A$42:$L$42,D$8,'Part VII-Pro Forma'!$A$58:$L$58)-SUMIF('Part VII-Pro Forma'!$A$71:$L$71,D$8,'Part VII-Pro Forma'!$A$87:$L$87)</f>
        <v>140472.72284800012</v>
      </c>
      <c r="E14" s="1064">
        <f>-SUMIF('Part VII-Pro Forma'!$A$13:$L$13,E$8,'Part VII-Pro Forma'!$A$29:$L$29)-SUMIF('Part VII-Pro Forma'!$A$42:$L$42,E$8,'Part VII-Pro Forma'!$A$58:$L$58)-SUMIF('Part VII-Pro Forma'!$A$71:$L$71,E$8,'Part VII-Pro Forma'!$A$87:$L$87)</f>
        <v>137419.04610496003</v>
      </c>
      <c r="F14" s="1064">
        <f>-SUMIF('Part VII-Pro Forma'!$A$13:$L$13,F$8,'Part VII-Pro Forma'!$A$29:$L$29)-SUMIF('Part VII-Pro Forma'!$A$42:$L$42,F$8,'Part VII-Pro Forma'!$A$58:$L$58)-SUMIF('Part VII-Pro Forma'!$A$71:$L$71,F$8,'Part VII-Pro Forma'!$A$87:$L$87)</f>
        <v>134127.82089105927</v>
      </c>
      <c r="G14" s="1064">
        <f>-SUMIF('Part VII-Pro Forma'!$A$13:$L$13,G$8,'Part VII-Pro Forma'!$A$29:$L$29)-SUMIF('Part VII-Pro Forma'!$A$42:$L$42,G$8,'Part VII-Pro Forma'!$A$58:$L$58)-SUMIF('Part VII-Pro Forma'!$A$71:$L$71,G$8,'Part VII-Pro Forma'!$A$87:$L$87)</f>
        <v>130589.53878880036</v>
      </c>
      <c r="H14" s="1064">
        <f>-SUMIF('Part VII-Pro Forma'!$A$13:$L$13,H$8,'Part VII-Pro Forma'!$A$29:$L$29)-SUMIF('Part VII-Pro Forma'!$A$42:$L$42,H$8,'Part VII-Pro Forma'!$A$58:$L$58)-SUMIF('Part VII-Pro Forma'!$A$71:$L$71,H$8,'Part VII-Pro Forma'!$A$87:$L$87)</f>
        <v>97221.848967180209</v>
      </c>
      <c r="I14" s="1064">
        <f>-SUMIF('Part VII-Pro Forma'!$A$13:$L$13,I$8,'Part VII-Pro Forma'!$A$29:$L$29)-SUMIF('Part VII-Pro Forma'!$A$42:$L$42,I$8,'Part VII-Pro Forma'!$A$58:$L$58)-SUMIF('Part VII-Pro Forma'!$A$71:$L$71,I$8,'Part VII-Pro Forma'!$A$87:$L$87)</f>
        <v>0</v>
      </c>
      <c r="K14" s="1051" t="e">
        <f>D44</f>
        <v>#VALUE!</v>
      </c>
      <c r="M14" s="949" t="s">
        <v>3494</v>
      </c>
      <c r="O14" s="1056" t="e">
        <f>O6-O8-O12</f>
        <v>#VALUE!</v>
      </c>
    </row>
    <row r="15" spans="1:15" ht="13.5" customHeight="1">
      <c r="A15" s="1065" t="s">
        <v>3490</v>
      </c>
      <c r="C15" s="1066">
        <f t="shared" ref="C15:I15" si="0">$E$3/$H$3</f>
        <v>513136.25454545452</v>
      </c>
      <c r="D15" s="1066">
        <f t="shared" si="0"/>
        <v>513136.25454545452</v>
      </c>
      <c r="E15" s="1066">
        <f t="shared" si="0"/>
        <v>513136.25454545452</v>
      </c>
      <c r="F15" s="1066">
        <f t="shared" si="0"/>
        <v>513136.25454545452</v>
      </c>
      <c r="G15" s="1066">
        <f t="shared" si="0"/>
        <v>513136.25454545452</v>
      </c>
      <c r="H15" s="1066">
        <f t="shared" si="0"/>
        <v>513136.25454545452</v>
      </c>
      <c r="I15" s="1066">
        <f t="shared" si="0"/>
        <v>513136.25454545452</v>
      </c>
      <c r="K15" s="1051" t="e">
        <f>E44</f>
        <v>#VALUE!</v>
      </c>
      <c r="O15" s="1056"/>
    </row>
    <row r="16" spans="1:15" ht="13.5" customHeight="1">
      <c r="A16" s="1065" t="s">
        <v>3492</v>
      </c>
      <c r="C16" s="1066">
        <f>IF(C$8&lt;=$H$4,($E$4/$H$4),0)+IF(C$8&lt;=$H$5,($E$5/$H$5),0)</f>
        <v>11186.666666666666</v>
      </c>
      <c r="D16" s="1066">
        <f t="shared" ref="D16:I16" si="1">IF(D$8&lt;=$H$4,($E$4/$H$4),0)+IF(D$8&lt;=$H$5,($E$5/$H$5),0)</f>
        <v>11186.666666666666</v>
      </c>
      <c r="E16" s="1066">
        <f t="shared" si="1"/>
        <v>11186.666666666666</v>
      </c>
      <c r="F16" s="1066">
        <f t="shared" si="1"/>
        <v>11186.666666666666</v>
      </c>
      <c r="G16" s="1066">
        <f t="shared" si="1"/>
        <v>11186.666666666666</v>
      </c>
      <c r="H16" s="1066">
        <f t="shared" si="1"/>
        <v>11186.666666666666</v>
      </c>
      <c r="I16" s="1066">
        <f t="shared" si="1"/>
        <v>11186.666666666666</v>
      </c>
      <c r="K16" s="1051" t="e">
        <f>F44</f>
        <v>#VALUE!</v>
      </c>
      <c r="M16" s="949" t="s">
        <v>3496</v>
      </c>
      <c r="O16" s="1056">
        <f>E3</f>
        <v>14111247</v>
      </c>
    </row>
    <row r="17" spans="1:17" ht="13.5" customHeight="1">
      <c r="A17" s="1065" t="s">
        <v>3493</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3490</v>
      </c>
      <c r="O17" s="1056">
        <f>20*(E3/H3)</f>
        <v>10262725.09090909</v>
      </c>
    </row>
    <row r="18" spans="1:17" ht="13.5" customHeight="1">
      <c r="A18" s="1065" t="s">
        <v>3495</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3500</v>
      </c>
      <c r="O19" s="1056">
        <f>O16-O17</f>
        <v>3848521.9090909101</v>
      </c>
    </row>
    <row r="20" spans="1:17" ht="13.5" customHeight="1">
      <c r="A20" s="949" t="s">
        <v>3497</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3498</v>
      </c>
      <c r="C21" s="1067">
        <f>'Part IV-Uses of Funds'!$J$173</f>
        <v>1000000</v>
      </c>
      <c r="D21" s="1067">
        <f t="shared" ref="D21:I21" si="5">C21</f>
        <v>1000000</v>
      </c>
      <c r="E21" s="1067">
        <f t="shared" si="5"/>
        <v>1000000</v>
      </c>
      <c r="F21" s="1067">
        <f t="shared" si="5"/>
        <v>1000000</v>
      </c>
      <c r="G21" s="1067">
        <f t="shared" si="5"/>
        <v>1000000</v>
      </c>
      <c r="H21" s="1067">
        <f t="shared" si="5"/>
        <v>1000000</v>
      </c>
      <c r="I21" s="1067">
        <f t="shared" si="5"/>
        <v>1000000</v>
      </c>
      <c r="J21" s="949" t="s">
        <v>254</v>
      </c>
      <c r="K21" s="1051" t="e">
        <f>D64</f>
        <v>#VALUE!</v>
      </c>
      <c r="O21" s="1056"/>
    </row>
    <row r="22" spans="1:17" ht="13.5" customHeight="1">
      <c r="A22" s="949" t="s">
        <v>3499</v>
      </c>
      <c r="C22" s="1067">
        <f>C21</f>
        <v>1000000</v>
      </c>
      <c r="D22" s="1067">
        <f t="shared" ref="D22:I22" si="6">D21</f>
        <v>1000000</v>
      </c>
      <c r="E22" s="1067">
        <f t="shared" si="6"/>
        <v>1000000</v>
      </c>
      <c r="F22" s="1067">
        <f t="shared" si="6"/>
        <v>1000000</v>
      </c>
      <c r="G22" s="1067">
        <f t="shared" si="6"/>
        <v>1000000</v>
      </c>
      <c r="H22" s="1067">
        <f t="shared" si="6"/>
        <v>1000000</v>
      </c>
      <c r="I22" s="1067">
        <f t="shared" si="6"/>
        <v>1000000</v>
      </c>
      <c r="K22" s="1051" t="e">
        <f>E64</f>
        <v>#VALUE!</v>
      </c>
      <c r="M22" s="949" t="s">
        <v>3484</v>
      </c>
      <c r="O22" s="1056">
        <f>O6</f>
        <v>0</v>
      </c>
    </row>
    <row r="23" spans="1:17" ht="13.5" customHeight="1">
      <c r="A23" s="949" t="s">
        <v>3501</v>
      </c>
      <c r="C23" s="1058">
        <v>0</v>
      </c>
      <c r="D23" s="1058">
        <v>0</v>
      </c>
      <c r="E23" s="1058">
        <v>0</v>
      </c>
      <c r="F23" s="1058">
        <v>0</v>
      </c>
      <c r="G23" s="1058">
        <v>0</v>
      </c>
      <c r="H23" s="1058">
        <v>0</v>
      </c>
      <c r="I23" s="1058">
        <v>0</v>
      </c>
      <c r="K23" s="1051" t="e">
        <f>F64</f>
        <v>#VALUE!</v>
      </c>
      <c r="M23" s="949" t="s">
        <v>3503</v>
      </c>
      <c r="O23" s="1056">
        <f>O19</f>
        <v>3848521.9090909101</v>
      </c>
    </row>
    <row r="24" spans="1:17" ht="13.5" customHeight="1">
      <c r="A24" s="949" t="s">
        <v>3502</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3504</v>
      </c>
      <c r="O25" s="1056">
        <f>O22-O23</f>
        <v>-3848521.9090909101</v>
      </c>
      <c r="Q25" s="1068"/>
    </row>
    <row r="26" spans="1:17" ht="13.5" customHeight="1">
      <c r="A26" s="1069"/>
      <c r="B26" s="1069"/>
      <c r="C26" s="1069"/>
      <c r="D26" s="1069"/>
      <c r="E26" s="1069"/>
      <c r="F26" s="1069"/>
      <c r="G26" s="1069"/>
      <c r="H26" s="1069"/>
      <c r="I26" s="1069"/>
      <c r="K26" s="1051"/>
      <c r="O26" s="1056"/>
    </row>
    <row r="27" spans="1:17" ht="13.5" customHeight="1">
      <c r="K27" s="1051"/>
      <c r="M27" s="949" t="s">
        <v>3505</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3486</v>
      </c>
      <c r="C29" s="1058">
        <f>'Part VII-Pro Forma'!I30</f>
        <v>118385.96890590183</v>
      </c>
      <c r="D29" s="1058">
        <f>'Part VII-Pro Forma'!J30</f>
        <v>113752.22717320149</v>
      </c>
      <c r="E29" s="1058">
        <f>'Part VII-Pro Forma'!K30</f>
        <v>108815.41897252265</v>
      </c>
      <c r="F29" s="1058">
        <f>'Part VII-Pro Forma'!B59</f>
        <v>103563.76142550583</v>
      </c>
      <c r="G29" s="1058">
        <f>'Part VII-Pro Forma'!C59</f>
        <v>97984.046949754484</v>
      </c>
      <c r="H29" s="1058">
        <f>'Part VII-Pro Forma'!D59</f>
        <v>92062.629093360796</v>
      </c>
      <c r="I29" s="1058">
        <f>'Part VII-Pro Forma'!E59</f>
        <v>85787.407915977223</v>
      </c>
      <c r="N29" s="1070"/>
      <c r="O29" s="1070"/>
    </row>
    <row r="30" spans="1:17" ht="13.5" customHeight="1">
      <c r="A30" s="949" t="s">
        <v>3487</v>
      </c>
      <c r="C30" s="1060" t="e">
        <f>'Part VII-Pro Forma'!H36-'Part VII-Pro Forma'!I36</f>
        <v>#VALUE!</v>
      </c>
      <c r="D30" s="1060" t="e">
        <f>'Part VII-Pro Forma'!I36-'Part VII-Pro Forma'!J36</f>
        <v>#VALUE!</v>
      </c>
      <c r="E30" s="1060" t="e">
        <f>'Part VII-Pro Forma'!J36-'Part VII-Pro Forma'!K36</f>
        <v>#VALUE!</v>
      </c>
      <c r="F30" s="1060" t="e">
        <f>'Part VII-Pro Forma'!K36-'Part VII-Pro Forma'!B65</f>
        <v>#VALUE!</v>
      </c>
      <c r="G30" s="1060" t="e">
        <f>'Part VII-Pro Forma'!B65-'Part VII-Pro Forma'!C65</f>
        <v>#VALUE!</v>
      </c>
      <c r="H30" s="1060" t="e">
        <f>'Part VII-Pro Forma'!C65-'Part VII-Pro Forma'!D65</f>
        <v>#VALUE!</v>
      </c>
      <c r="I30" s="1060" t="e">
        <f>'Part VII-Pro Forma'!D65-'Part VII-Pro Forma'!E65</f>
        <v>#VALUE!</v>
      </c>
    </row>
    <row r="31" spans="1:17" ht="13.5" customHeight="1">
      <c r="A31" s="949" t="s">
        <v>3487</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3506</v>
      </c>
      <c r="O31" s="1058">
        <f>O25*O27</f>
        <v>-769704.38181818207</v>
      </c>
    </row>
    <row r="32" spans="1:17" ht="13.5" customHeight="1">
      <c r="A32" s="949" t="s">
        <v>3487</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61985.642817413449</v>
      </c>
      <c r="D33" s="1064">
        <f>-SUMIF('Part VII-Pro Forma'!$A$13:$L$13,D$28,'Part VII-Pro Forma'!$A$21:$L$21)-SUMIF('Part VII-Pro Forma'!$A$42:$L$42,D$28,'Part VII-Pro Forma'!$A$50:$L$50)-SUMIF('Part VII-Pro Forma'!$A$71:$L$71,D$28,'Part VII-Pro Forma'!$A$79:$L$79)</f>
        <v>63845.212101935846</v>
      </c>
      <c r="E33" s="1064">
        <f>-SUMIF('Part VII-Pro Forma'!$A$13:$L$13,E$28,'Part VII-Pro Forma'!$A$21:$L$21)-SUMIF('Part VII-Pro Forma'!$A$42:$L$42,E$28,'Part VII-Pro Forma'!$A$50:$L$50)-SUMIF('Part VII-Pro Forma'!$A$71:$L$71,E$28,'Part VII-Pro Forma'!$A$79:$L$79)</f>
        <v>65760.568464993921</v>
      </c>
      <c r="F33" s="1064">
        <f>-SUMIF('Part VII-Pro Forma'!$A$13:$L$13,F$28,'Part VII-Pro Forma'!$A$21:$L$21)-SUMIF('Part VII-Pro Forma'!$A$42:$L$42,F$28,'Part VII-Pro Forma'!$A$50:$L$50)-SUMIF('Part VII-Pro Forma'!$A$71:$L$71,F$28,'Part VII-Pro Forma'!$A$79:$L$79)</f>
        <v>67733.385518943731</v>
      </c>
      <c r="G33" s="1064">
        <f>-SUMIF('Part VII-Pro Forma'!$A$13:$L$13,G$28,'Part VII-Pro Forma'!$A$21:$L$21)-SUMIF('Part VII-Pro Forma'!$A$42:$L$42,G$28,'Part VII-Pro Forma'!$A$50:$L$50)-SUMIF('Part VII-Pro Forma'!$A$71:$L$71,G$28,'Part VII-Pro Forma'!$A$79:$L$79)</f>
        <v>69765.387084512055</v>
      </c>
      <c r="H33" s="1064">
        <f>-SUMIF('Part VII-Pro Forma'!$A$13:$L$13,H$28,'Part VII-Pro Forma'!$A$21:$L$21)-SUMIF('Part VII-Pro Forma'!$A$42:$L$42,H$28,'Part VII-Pro Forma'!$A$50:$L$50)-SUMIF('Part VII-Pro Forma'!$A$71:$L$71,H$28,'Part VII-Pro Forma'!$A$79:$L$79)</f>
        <v>71858.348697047404</v>
      </c>
      <c r="I33" s="1064">
        <f>-SUMIF('Part VII-Pro Forma'!$A$13:$L$13,I$28,'Part VII-Pro Forma'!$A$21:$L$21)-SUMIF('Part VII-Pro Forma'!$A$42:$L$42,I$28,'Part VII-Pro Forma'!$A$50:$L$50)-SUMIF('Part VII-Pro Forma'!$A$71:$L$71,I$28,'Part VII-Pro Forma'!$A$79:$L$79)</f>
        <v>74014.099157958815</v>
      </c>
      <c r="K33" s="949" t="s">
        <v>254</v>
      </c>
      <c r="M33" s="949" t="s">
        <v>3507</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3490</v>
      </c>
      <c r="C35" s="1066">
        <f t="shared" ref="C35:I35" si="8">$E$3/$H$3</f>
        <v>513136.25454545452</v>
      </c>
      <c r="D35" s="1066">
        <f t="shared" si="8"/>
        <v>513136.25454545452</v>
      </c>
      <c r="E35" s="1066">
        <f t="shared" si="8"/>
        <v>513136.25454545452</v>
      </c>
      <c r="F35" s="1066">
        <f t="shared" si="8"/>
        <v>513136.25454545452</v>
      </c>
      <c r="G35" s="1066">
        <f t="shared" si="8"/>
        <v>513136.25454545452</v>
      </c>
      <c r="H35" s="1066">
        <f t="shared" si="8"/>
        <v>513136.25454545452</v>
      </c>
      <c r="I35" s="1066">
        <f t="shared" si="8"/>
        <v>513136.25454545452</v>
      </c>
    </row>
    <row r="36" spans="1:15" ht="13.5" customHeight="1">
      <c r="A36" s="1065" t="s">
        <v>3492</v>
      </c>
      <c r="C36" s="1058">
        <f>IF(C$28&lt;=$H$4,($E$4/$H$4),0)+IF(C$28&lt;=$H$5,($E$5/$H$5),0)</f>
        <v>11186.666666666666</v>
      </c>
      <c r="D36" s="1058">
        <f t="shared" ref="D36:I36" si="9">IF(D$28&lt;=$H$4,($E$4/$H$4),0)+IF(D$28&lt;=$H$5,($E$5/$H$5),0)</f>
        <v>11186.666666666666</v>
      </c>
      <c r="E36" s="1058">
        <f t="shared" si="9"/>
        <v>11186.666666666666</v>
      </c>
      <c r="F36" s="1058">
        <f t="shared" si="9"/>
        <v>11186.666666666666</v>
      </c>
      <c r="G36" s="1058">
        <f t="shared" si="9"/>
        <v>11186.666666666666</v>
      </c>
      <c r="H36" s="1058">
        <f t="shared" si="9"/>
        <v>11186.666666666666</v>
      </c>
      <c r="I36" s="1058">
        <f t="shared" si="9"/>
        <v>11186.666666666666</v>
      </c>
    </row>
    <row r="37" spans="1:15" ht="13.5" customHeight="1">
      <c r="A37" s="1065" t="s">
        <v>3493</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3495</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3497</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3498</v>
      </c>
      <c r="C41" s="1067">
        <f>C21</f>
        <v>1000000</v>
      </c>
      <c r="D41" s="1067">
        <f>C41</f>
        <v>1000000</v>
      </c>
      <c r="E41" s="1067">
        <f>D41</f>
        <v>1000000</v>
      </c>
      <c r="F41" s="1067">
        <v>0</v>
      </c>
      <c r="G41" s="1067">
        <v>0</v>
      </c>
      <c r="H41" s="1067">
        <v>0</v>
      </c>
      <c r="I41" s="1067">
        <v>0</v>
      </c>
    </row>
    <row r="42" spans="1:15" ht="13.5" customHeight="1">
      <c r="A42" s="949" t="s">
        <v>3499</v>
      </c>
      <c r="C42" s="1067">
        <f>C22</f>
        <v>1000000</v>
      </c>
      <c r="D42" s="1067">
        <f>C42</f>
        <v>1000000</v>
      </c>
      <c r="E42" s="1067">
        <f>D42</f>
        <v>1000000</v>
      </c>
      <c r="F42" s="1067">
        <v>0</v>
      </c>
      <c r="G42" s="1067">
        <v>0</v>
      </c>
      <c r="H42" s="1067">
        <v>0</v>
      </c>
      <c r="I42" s="1067">
        <v>0</v>
      </c>
    </row>
    <row r="43" spans="1:15" ht="13.5" customHeight="1">
      <c r="A43" s="949" t="s">
        <v>3501</v>
      </c>
      <c r="C43" s="1060">
        <v>0</v>
      </c>
      <c r="D43" s="1060">
        <v>0</v>
      </c>
      <c r="E43" s="1060">
        <v>0</v>
      </c>
      <c r="F43" s="1060">
        <v>0</v>
      </c>
      <c r="G43" s="1060">
        <v>0</v>
      </c>
      <c r="H43" s="1060">
        <v>0</v>
      </c>
      <c r="I43" s="1060">
        <v>0</v>
      </c>
    </row>
    <row r="44" spans="1:15" ht="13.5" customHeight="1">
      <c r="A44" s="949" t="s">
        <v>3502</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3486</v>
      </c>
      <c r="C49" s="1058">
        <f>'Part VII-Pro Forma'!F59</f>
        <v>79142.814902268525</v>
      </c>
      <c r="D49" s="1058">
        <f>'Part VII-Pro Forma'!G59</f>
        <v>87694.471559132202</v>
      </c>
      <c r="E49" s="1058">
        <f>'Part VII-Pro Forma'!H59</f>
        <v>80733.866910570359</v>
      </c>
      <c r="F49" s="1058">
        <f>'Part VII-Pro Forma'!I59</f>
        <v>73373.236946644625</v>
      </c>
      <c r="G49" s="1058">
        <f>'Part VII-Pro Forma'!J59</f>
        <v>65596.398764376456</v>
      </c>
      <c r="H49" s="1058">
        <f>'Part VII-Pro Forma'!K59</f>
        <v>57386.630530826646</v>
      </c>
    </row>
    <row r="50" spans="1:10" ht="13.5" customHeight="1">
      <c r="A50" s="949" t="s">
        <v>3487</v>
      </c>
      <c r="C50" s="1058" t="e">
        <f>'Part VII-Pro Forma'!E65-'Part VII-Pro Forma'!F65</f>
        <v>#VALUE!</v>
      </c>
      <c r="D50" s="1058" t="e">
        <f>'Part VII-Pro Forma'!F65-'Part VII-Pro Forma'!G65</f>
        <v>#VALUE!</v>
      </c>
      <c r="E50" s="1058" t="e">
        <f>'Part VII-Pro Forma'!G65-'Part VII-Pro Forma'!H65</f>
        <v>#VALUE!</v>
      </c>
      <c r="F50" s="1058" t="e">
        <f>'Part VII-Pro Forma'!H65-'Part VII-Pro Forma'!I65</f>
        <v>#VALUE!</v>
      </c>
      <c r="G50" s="1058" t="e">
        <f>'Part VII-Pro Forma'!I65-'Part VII-Pro Forma'!J65</f>
        <v>#VALUE!</v>
      </c>
      <c r="H50" s="1058" t="e">
        <f>'Part VII-Pro Forma'!J65-'Part VII-Pro Forma'!K65</f>
        <v>#VALUE!</v>
      </c>
    </row>
    <row r="51" spans="1:10" ht="13.5" customHeight="1">
      <c r="A51" s="949" t="s">
        <v>3487</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3487</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76234.522132697588</v>
      </c>
      <c r="D53" s="1064">
        <f>-SUMIF('Part VII-Pro Forma'!$A$13:$L$13,D$48,'Part VII-Pro Forma'!$A$21:$L$21)-SUMIF('Part VII-Pro Forma'!$A$42:$L$42,D$48,'Part VII-Pro Forma'!$A$50:$L$50)-SUMIF('Part VII-Pro Forma'!$A$71:$L$71,D$48,'Part VII-Pro Forma'!$A$79:$L$79)</f>
        <v>78521.55779667852</v>
      </c>
      <c r="E53" s="1064">
        <f>-SUMIF('Part VII-Pro Forma'!$A$13:$L$13,E$48,'Part VII-Pro Forma'!$A$21:$L$21)-SUMIF('Part VII-Pro Forma'!$A$42:$L$42,E$48,'Part VII-Pro Forma'!$A$50:$L$50)-SUMIF('Part VII-Pro Forma'!$A$71:$L$71,E$48,'Part VII-Pro Forma'!$A$79:$L$79)</f>
        <v>80877.204530578863</v>
      </c>
      <c r="F53" s="1064">
        <f>-SUMIF('Part VII-Pro Forma'!$A$13:$L$13,F$48,'Part VII-Pro Forma'!$A$21:$L$21)-SUMIF('Part VII-Pro Forma'!$A$42:$L$42,F$48,'Part VII-Pro Forma'!$A$50:$L$50)-SUMIF('Part VII-Pro Forma'!$A$71:$L$71,F$48,'Part VII-Pro Forma'!$A$79:$L$79)</f>
        <v>83303.520666496232</v>
      </c>
      <c r="G53" s="1064">
        <f>-SUMIF('Part VII-Pro Forma'!$A$13:$L$13,G$48,'Part VII-Pro Forma'!$A$21:$L$21)-SUMIF('Part VII-Pro Forma'!$A$42:$L$42,G$48,'Part VII-Pro Forma'!$A$50:$L$50)-SUMIF('Part VII-Pro Forma'!$A$71:$L$71,G$48,'Part VII-Pro Forma'!$A$79:$L$79)</f>
        <v>85802.626286491126</v>
      </c>
      <c r="H53" s="1064">
        <f>-SUMIF('Part VII-Pro Forma'!$A$13:$L$13,H$48,'Part VII-Pro Forma'!$A$21:$L$21)-SUMIF('Part VII-Pro Forma'!$A$42:$L$42,H$48,'Part VII-Pro Forma'!$A$50:$L$50)-SUMIF('Part VII-Pro Forma'!$A$71:$L$71,H$48,'Part VII-Pro Forma'!$A$79:$L$79)</f>
        <v>88376.705075085847</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3490</v>
      </c>
      <c r="C55" s="1066">
        <f t="shared" ref="C55:H55" si="14">$E$3/$H$3</f>
        <v>513136.25454545452</v>
      </c>
      <c r="D55" s="1066">
        <f t="shared" si="14"/>
        <v>513136.25454545452</v>
      </c>
      <c r="E55" s="1066">
        <f t="shared" si="14"/>
        <v>513136.25454545452</v>
      </c>
      <c r="F55" s="1066">
        <f t="shared" si="14"/>
        <v>513136.25454545452</v>
      </c>
      <c r="G55" s="1066">
        <f t="shared" si="14"/>
        <v>513136.25454545452</v>
      </c>
      <c r="H55" s="1066">
        <f t="shared" si="14"/>
        <v>513136.25454545452</v>
      </c>
    </row>
    <row r="56" spans="1:10" ht="13.5" customHeight="1">
      <c r="A56" s="1065" t="s">
        <v>3492</v>
      </c>
      <c r="C56" s="1058">
        <f t="shared" ref="C56:H56" si="15">IF(C$48&lt;=$H$4,($E$4/$H$4),0)+IF(C$48&lt;=$H$5,($E$5/$H$5),0)</f>
        <v>11186.666666666666</v>
      </c>
      <c r="D56" s="1058">
        <f t="shared" si="15"/>
        <v>0</v>
      </c>
      <c r="E56" s="1058">
        <f t="shared" si="15"/>
        <v>0</v>
      </c>
      <c r="F56" s="1058">
        <f t="shared" si="15"/>
        <v>0</v>
      </c>
      <c r="G56" s="1058">
        <f t="shared" si="15"/>
        <v>0</v>
      </c>
      <c r="H56" s="1058">
        <f t="shared" si="15"/>
        <v>0</v>
      </c>
    </row>
    <row r="57" spans="1:10" ht="13.5" customHeight="1">
      <c r="A57" s="1065" t="s">
        <v>3493</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3495</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3497</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3498</v>
      </c>
      <c r="C61" s="1066">
        <v>0</v>
      </c>
      <c r="D61" s="1066">
        <v>0</v>
      </c>
      <c r="E61" s="1066">
        <v>0</v>
      </c>
      <c r="F61" s="1066">
        <v>0</v>
      </c>
      <c r="G61" s="1066">
        <v>0</v>
      </c>
      <c r="H61" s="1058">
        <v>0</v>
      </c>
    </row>
    <row r="62" spans="1:10">
      <c r="A62" s="949" t="s">
        <v>3499</v>
      </c>
      <c r="C62" s="1066">
        <v>0</v>
      </c>
      <c r="D62" s="1058">
        <v>0</v>
      </c>
      <c r="E62" s="1058">
        <v>0</v>
      </c>
      <c r="F62" s="1058">
        <v>0</v>
      </c>
      <c r="G62" s="1058">
        <v>0</v>
      </c>
      <c r="H62" s="1058">
        <v>0</v>
      </c>
    </row>
    <row r="63" spans="1:10">
      <c r="A63" s="949" t="s">
        <v>3501</v>
      </c>
      <c r="C63" s="1058">
        <v>0</v>
      </c>
      <c r="D63" s="1058">
        <v>0</v>
      </c>
      <c r="E63" s="1058">
        <v>0</v>
      </c>
      <c r="F63" s="1058">
        <v>0</v>
      </c>
      <c r="G63" s="1058">
        <v>0</v>
      </c>
      <c r="H63" s="1058" t="e">
        <f>O33</f>
        <v>#VALUE!</v>
      </c>
    </row>
    <row r="64" spans="1:10">
      <c r="A64" s="949" t="s">
        <v>3502</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3508</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Lakeview Apartments</v>
      </c>
      <c r="B1" s="1918"/>
      <c r="C1" s="1918"/>
      <c r="D1" s="1918"/>
      <c r="E1" s="1918"/>
      <c r="F1" s="1918"/>
      <c r="G1" s="1918"/>
      <c r="H1" s="1918"/>
    </row>
    <row r="2" spans="1:8" ht="21.95" customHeight="1">
      <c r="A2" s="934"/>
      <c r="B2" s="934"/>
      <c r="C2" s="934"/>
      <c r="D2" s="934"/>
      <c r="E2" s="934"/>
      <c r="F2" s="934"/>
      <c r="G2" s="934"/>
      <c r="H2" s="934"/>
    </row>
    <row r="3" spans="1:8" ht="20.25" customHeight="1">
      <c r="C3" s="1917" t="s">
        <v>3509</v>
      </c>
      <c r="D3" s="1917"/>
      <c r="E3" s="1917"/>
      <c r="F3" s="1917"/>
    </row>
    <row r="5" spans="1:8" ht="15.75">
      <c r="D5" s="646"/>
      <c r="E5" s="646" t="s">
        <v>3510</v>
      </c>
    </row>
    <row r="6" spans="1:8" ht="15.75">
      <c r="D6" s="646" t="s">
        <v>2603</v>
      </c>
      <c r="E6" s="646" t="s">
        <v>3511</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Lakeview Apartments</v>
      </c>
    </row>
    <row r="3" spans="1:6" ht="15" customHeight="1">
      <c r="A3" s="1196" t="str">
        <f>CONCATENATE('Part I-Project Information'!F28,", ", 'Part I-Project Information'!J29," County")</f>
        <v>Fort Valley, Peach County</v>
      </c>
    </row>
    <row r="4" spans="1:6" ht="12" customHeight="1"/>
    <row r="5" spans="1:6" ht="111" customHeight="1">
      <c r="A5" s="2194" t="s">
        <v>4533</v>
      </c>
      <c r="B5" s="1351" t="s">
        <v>3334</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M0FFwxaH8a2ZAdsZd4erMvDd0V/RjYkam/E9XIQi9l/MaOmyr7LfZ5N/Pi4emjmtiM30G/LgPjA81i7P7V385g==" saltValue="zxmFsU9zN+zRC5vbOKi1j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3512</v>
      </c>
      <c r="B1" s="1919"/>
      <c r="C1" s="1919"/>
      <c r="D1" s="1919"/>
      <c r="E1" s="1919"/>
      <c r="F1" s="1919"/>
      <c r="G1" s="1919"/>
      <c r="H1" s="1919"/>
      <c r="I1" s="1919"/>
      <c r="J1" s="1919"/>
      <c r="K1" s="1919"/>
    </row>
    <row r="2" spans="1:11" ht="15">
      <c r="A2" s="1078" t="str">
        <f>Overview!E8</f>
        <v>2015-056</v>
      </c>
      <c r="B2" s="1078" t="str">
        <f>Overview!C8</f>
        <v>Lakeview Apartments</v>
      </c>
      <c r="C2" s="1079"/>
    </row>
    <row r="3" spans="1:11" ht="12.6" customHeight="1">
      <c r="A3" s="1079"/>
      <c r="B3" s="1079"/>
      <c r="C3" s="1079"/>
    </row>
    <row r="4" spans="1:11" ht="18">
      <c r="A4" s="1080" t="s">
        <v>4344</v>
      </c>
      <c r="B4" s="1079"/>
      <c r="C4" s="1079"/>
    </row>
    <row r="5" spans="1:11" s="1032" customFormat="1" ht="17.25" customHeight="1">
      <c r="C5" s="1922" t="s">
        <v>4327</v>
      </c>
      <c r="D5" s="1923"/>
      <c r="E5" s="1924"/>
      <c r="F5" s="696"/>
      <c r="G5" s="1922" t="s">
        <v>4328</v>
      </c>
      <c r="H5" s="1923"/>
      <c r="I5" s="1924"/>
      <c r="J5" s="1077"/>
      <c r="K5" s="1081" t="s">
        <v>4333</v>
      </c>
    </row>
    <row r="6" spans="1:11" s="1083" customFormat="1" ht="15" customHeight="1">
      <c r="A6" s="1082" t="s">
        <v>2886</v>
      </c>
      <c r="C6" s="1084" t="s">
        <v>4323</v>
      </c>
      <c r="D6" s="1084" t="s">
        <v>3513</v>
      </c>
      <c r="E6" s="1084" t="s">
        <v>2089</v>
      </c>
      <c r="G6" s="1084" t="s">
        <v>4324</v>
      </c>
      <c r="H6" s="1084" t="s">
        <v>3513</v>
      </c>
      <c r="I6" s="1084" t="s">
        <v>2089</v>
      </c>
      <c r="K6" s="1085" t="s">
        <v>3516</v>
      </c>
    </row>
    <row r="7" spans="1:11" s="696" customFormat="1" ht="13.5" customHeight="1">
      <c r="A7" s="696" t="s">
        <v>3514</v>
      </c>
      <c r="C7" s="1086">
        <f>'DCA Underwriting Assumptions'!$J$45</f>
        <v>110481</v>
      </c>
      <c r="D7" s="1087">
        <f>'Part VI-Revenues &amp; Expenses'!$H$62</f>
        <v>10</v>
      </c>
      <c r="E7" s="1088">
        <f>C7*D7</f>
        <v>1104810</v>
      </c>
      <c r="G7" s="1086">
        <f>'DCA Underwriting Assumptions'!$J$45</f>
        <v>110481</v>
      </c>
      <c r="H7" s="1087">
        <f>'Part VI-Revenues &amp; Expenses'!$H$62</f>
        <v>10</v>
      </c>
      <c r="I7" s="1088">
        <f>G7*H7</f>
        <v>1104810</v>
      </c>
      <c r="K7" s="1089">
        <f>'Part I-Project Information'!$O$165</f>
        <v>0</v>
      </c>
    </row>
    <row r="8" spans="1:11" s="696" customFormat="1" ht="13.5" customHeight="1">
      <c r="A8" s="696" t="s">
        <v>2884</v>
      </c>
      <c r="C8" s="1086">
        <f>'DCA Underwriting Assumptions'!$K$45</f>
        <v>126647</v>
      </c>
      <c r="D8" s="1087">
        <f>'Part VI-Revenues &amp; Expenses'!$I$62</f>
        <v>14</v>
      </c>
      <c r="E8" s="1088">
        <f>C8*D8</f>
        <v>1773058</v>
      </c>
      <c r="G8" s="1086">
        <f>'DCA Underwriting Assumptions'!$K$45</f>
        <v>126647</v>
      </c>
      <c r="H8" s="1087">
        <f>'Part VI-Revenues &amp; Expenses'!$I$62</f>
        <v>14</v>
      </c>
      <c r="I8" s="1088">
        <f>G8*H8</f>
        <v>1773058</v>
      </c>
      <c r="K8" s="1085" t="s">
        <v>4325</v>
      </c>
    </row>
    <row r="9" spans="1:11" s="696" customFormat="1" ht="13.5" customHeight="1">
      <c r="A9" s="696" t="s">
        <v>2885</v>
      </c>
      <c r="C9" s="1086">
        <f>'DCA Underwriting Assumptions'!$L$45</f>
        <v>154003</v>
      </c>
      <c r="D9" s="1087">
        <f>'Part VI-Revenues &amp; Expenses'!$J$62</f>
        <v>34</v>
      </c>
      <c r="E9" s="1088">
        <f>C9*D9</f>
        <v>5236102</v>
      </c>
      <c r="G9" s="1086">
        <f>'DCA Underwriting Assumptions'!$L$45</f>
        <v>154003</v>
      </c>
      <c r="H9" s="1087">
        <f>'Part VI-Revenues &amp; Expenses'!$J$62</f>
        <v>34</v>
      </c>
      <c r="I9" s="1088">
        <f>G9*H9</f>
        <v>5236102</v>
      </c>
      <c r="K9" s="1089">
        <f>'Part IV-Uses of Funds'!$G$130</f>
        <v>15780131</v>
      </c>
    </row>
    <row r="10" spans="1:11" s="696" customFormat="1" ht="13.5" customHeight="1">
      <c r="A10" s="696" t="s">
        <v>2888</v>
      </c>
      <c r="C10" s="1086">
        <f>'DCA Underwriting Assumptions'!$M$45</f>
        <v>199229</v>
      </c>
      <c r="D10" s="1087">
        <f>'Part VI-Revenues &amp; Expenses'!$K$62</f>
        <v>26</v>
      </c>
      <c r="E10" s="1088">
        <f>C10*D10</f>
        <v>5179954</v>
      </c>
      <c r="G10" s="1086">
        <f>'DCA Underwriting Assumptions'!$M$45</f>
        <v>199229</v>
      </c>
      <c r="H10" s="1087">
        <f>'Part VI-Revenues &amp; Expenses'!$K$62</f>
        <v>26</v>
      </c>
      <c r="I10" s="1088">
        <f>G10*H10</f>
        <v>5179954</v>
      </c>
      <c r="K10" s="1085" t="s">
        <v>4326</v>
      </c>
    </row>
    <row r="11" spans="1:11" s="696" customFormat="1" ht="13.5" customHeight="1">
      <c r="A11" s="1090" t="s">
        <v>4322</v>
      </c>
      <c r="C11" s="1091">
        <f>'DCA Underwriting Assumptions'!$N$45</f>
        <v>199229</v>
      </c>
      <c r="D11" s="1092">
        <f>'Part VI-Revenues &amp; Expenses'!$L$62</f>
        <v>12</v>
      </c>
      <c r="E11" s="1093">
        <f>C11*D11</f>
        <v>2390748</v>
      </c>
      <c r="G11" s="1091">
        <f>'DCA Underwriting Assumptions'!$N$45</f>
        <v>199229</v>
      </c>
      <c r="H11" s="1092">
        <f>'Part VI-Revenues &amp; Expenses'!$L$62</f>
        <v>12</v>
      </c>
      <c r="I11" s="1093">
        <f>G11*H11</f>
        <v>2390748</v>
      </c>
      <c r="K11" s="1925" t="s">
        <v>4334</v>
      </c>
    </row>
    <row r="12" spans="1:11" ht="13.5" customHeight="1" thickBot="1">
      <c r="A12" s="1094" t="s">
        <v>4288</v>
      </c>
      <c r="D12" s="1095">
        <f>SUM(D7:D11)</f>
        <v>96</v>
      </c>
      <c r="E12" s="1096"/>
      <c r="G12" s="1094" t="s">
        <v>1881</v>
      </c>
      <c r="H12" s="1095">
        <f>SUM(H7:H11)</f>
        <v>96</v>
      </c>
      <c r="I12" s="1096"/>
      <c r="K12" s="1926"/>
    </row>
    <row r="13" spans="1:11" s="696" customFormat="1" ht="13.5" customHeight="1" thickBot="1">
      <c r="A13" s="1094" t="s">
        <v>3515</v>
      </c>
      <c r="B13" s="1097"/>
      <c r="E13" s="1098">
        <f>SUM(E7:E11)</f>
        <v>15684672</v>
      </c>
      <c r="G13" s="1094" t="s">
        <v>3769</v>
      </c>
      <c r="H13" s="1097"/>
      <c r="I13" s="1099">
        <f>SUM(I7:I11)</f>
        <v>15684672</v>
      </c>
      <c r="K13" s="1089">
        <f>'Part VIII-Threshold Criteria'!$P$60</f>
        <v>16227932</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3767</v>
      </c>
      <c r="K18" s="1102">
        <f>Overview!D13</f>
        <v>96</v>
      </c>
    </row>
    <row r="19" spans="1:11" s="696" customFormat="1" ht="13.5" customHeight="1">
      <c r="A19" s="696" t="s">
        <v>3517</v>
      </c>
      <c r="K19" s="923">
        <f>Overview!C13</f>
        <v>96</v>
      </c>
    </row>
    <row r="20" spans="1:11" ht="3" customHeight="1">
      <c r="A20" s="1103"/>
    </row>
    <row r="21" spans="1:11" s="696" customFormat="1" ht="13.5" customHeight="1">
      <c r="A21" s="696" t="s">
        <v>3518</v>
      </c>
      <c r="E21" s="1101" t="s">
        <v>4331</v>
      </c>
      <c r="K21" s="1104">
        <f>K18/K19</f>
        <v>1</v>
      </c>
    </row>
    <row r="22" spans="1:11" ht="9" customHeight="1"/>
    <row r="23" spans="1:11" s="696" customFormat="1" ht="13.5" customHeight="1">
      <c r="A23" s="696" t="s">
        <v>4287</v>
      </c>
      <c r="C23" s="1105"/>
      <c r="E23" s="1101" t="s">
        <v>3521</v>
      </c>
      <c r="K23" s="923">
        <f>K9</f>
        <v>15780131</v>
      </c>
    </row>
    <row r="24" spans="1:11" s="696" customFormat="1" ht="13.5" customHeight="1">
      <c r="A24" s="1106" t="s">
        <v>1848</v>
      </c>
      <c r="K24" s="1089">
        <f>'Part IV-Uses of Funds'!$G$120</f>
        <v>313395</v>
      </c>
    </row>
    <row r="25" spans="1:11" s="696" customFormat="1" ht="13.5" customHeight="1">
      <c r="A25" s="1106" t="s">
        <v>3522</v>
      </c>
      <c r="K25" s="1107">
        <v>0</v>
      </c>
    </row>
    <row r="26" spans="1:11" s="696" customFormat="1" ht="13.5" customHeight="1">
      <c r="A26" s="1106" t="s">
        <v>3522</v>
      </c>
      <c r="K26" s="1107">
        <v>0</v>
      </c>
    </row>
    <row r="27" spans="1:11" ht="3" customHeight="1">
      <c r="A27" s="1108"/>
      <c r="K27" s="1109">
        <v>0</v>
      </c>
    </row>
    <row r="28" spans="1:11" s="1097" customFormat="1" ht="13.5" customHeight="1">
      <c r="A28" s="1097" t="s">
        <v>3523</v>
      </c>
      <c r="K28" s="1110">
        <f>K23-SUM(K24:K27)</f>
        <v>15466736</v>
      </c>
    </row>
    <row r="29" spans="1:11" ht="9" customHeight="1">
      <c r="A29" s="1103"/>
      <c r="K29" s="1111"/>
    </row>
    <row r="30" spans="1:11" s="696" customFormat="1" ht="15" customHeight="1">
      <c r="A30" s="1097" t="s">
        <v>3524</v>
      </c>
      <c r="E30" s="1101" t="s">
        <v>4339</v>
      </c>
      <c r="F30" s="1112"/>
      <c r="G30" s="1112"/>
      <c r="H30" s="1112"/>
      <c r="I30" s="1112"/>
      <c r="K30" s="1113">
        <f>K21*K28</f>
        <v>15466736</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15466736</v>
      </c>
    </row>
    <row r="35" spans="1:11" ht="6" customHeight="1"/>
    <row r="36" spans="1:11" s="696" customFormat="1" ht="15" customHeight="1">
      <c r="A36" s="1097" t="s">
        <v>4343</v>
      </c>
      <c r="E36" s="1101" t="s">
        <v>4341</v>
      </c>
      <c r="K36" s="1117">
        <f>Overview!C25</f>
        <v>0</v>
      </c>
    </row>
    <row r="37" spans="1:11" s="696" customFormat="1" ht="9" customHeight="1" thickBot="1">
      <c r="E37" s="1118"/>
      <c r="F37" s="1118"/>
      <c r="G37" s="1118"/>
      <c r="H37" s="1118"/>
      <c r="K37" s="1119"/>
    </row>
    <row r="38" spans="1:11" s="696" customFormat="1" ht="15.75" customHeight="1">
      <c r="A38" s="1927" t="s">
        <v>4337</v>
      </c>
      <c r="B38" s="1927"/>
      <c r="C38" s="1927"/>
      <c r="D38" s="1930" t="s">
        <v>3519</v>
      </c>
      <c r="E38" s="1930"/>
      <c r="F38" s="1930" t="s">
        <v>3520</v>
      </c>
      <c r="G38" s="1930"/>
      <c r="H38" s="1930"/>
      <c r="I38" s="1120" t="s">
        <v>3156</v>
      </c>
      <c r="K38" s="1920">
        <f>ROUND((D39/F39)*I39,0)</f>
        <v>0</v>
      </c>
    </row>
    <row r="39" spans="1:11" s="696" customFormat="1" ht="15.75" customHeight="1" thickBot="1">
      <c r="A39" s="1927"/>
      <c r="B39" s="1927"/>
      <c r="C39" s="1927"/>
      <c r="D39" s="1929">
        <f>K36</f>
        <v>0</v>
      </c>
      <c r="E39" s="1929"/>
      <c r="F39" s="1928">
        <f>K28</f>
        <v>15466736</v>
      </c>
      <c r="G39" s="1928"/>
      <c r="H39" s="1928"/>
      <c r="I39" s="1121">
        <f>K19</f>
        <v>96</v>
      </c>
      <c r="K39" s="1921"/>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2015-056  Lakeview Apartments</v>
      </c>
      <c r="B1" s="1931"/>
      <c r="C1" s="1931"/>
      <c r="D1" s="1931"/>
      <c r="E1" s="1931"/>
      <c r="F1" s="1931"/>
      <c r="G1" s="1931"/>
      <c r="H1" s="1931"/>
    </row>
    <row r="3" spans="1:13" ht="12" customHeight="1">
      <c r="A3" s="1932" t="s">
        <v>4291</v>
      </c>
      <c r="B3" s="1932"/>
      <c r="C3" s="1932"/>
      <c r="D3" s="1932"/>
      <c r="E3" s="1932"/>
      <c r="F3" s="1932"/>
      <c r="G3" s="1932"/>
      <c r="H3" s="1932"/>
      <c r="I3" s="680"/>
      <c r="J3" s="653" t="s">
        <v>3525</v>
      </c>
      <c r="K3" s="653"/>
      <c r="L3" s="653"/>
      <c r="M3" s="653"/>
    </row>
    <row r="5" spans="1:13" ht="12" customHeight="1">
      <c r="A5" s="651">
        <v>1</v>
      </c>
      <c r="C5" s="651" t="s">
        <v>3526</v>
      </c>
      <c r="E5" s="681" t="str">
        <f>Overview!H9</f>
        <v>Lakeview Housing Partners, LP</v>
      </c>
    </row>
    <row r="6" spans="1:13" ht="3" customHeight="1">
      <c r="H6" s="932"/>
    </row>
    <row r="7" spans="1:13" ht="12" customHeight="1">
      <c r="A7" s="651">
        <v>2</v>
      </c>
      <c r="C7" s="651" t="s">
        <v>3527</v>
      </c>
      <c r="E7" s="681" t="str">
        <f>'Part II-Development Team'!H6</f>
        <v>5505 Interstate North Parkway, NW</v>
      </c>
    </row>
    <row r="8" spans="1:13" ht="12" customHeight="1">
      <c r="E8" s="681" t="str">
        <f>+'Part II-Development Team'!H7&amp;","&amp;" "&amp;'Part II-Development Team'!H8&amp;" "&amp;LEFT('Part II-Development Team'!J8,5)</f>
        <v>Atlanta, GA 30328</v>
      </c>
    </row>
    <row r="9" spans="1:13" ht="12" customHeight="1">
      <c r="C9" s="651" t="s">
        <v>3528</v>
      </c>
      <c r="E9" s="1933"/>
      <c r="F9" s="1933"/>
    </row>
    <row r="10" spans="1:13" ht="12" customHeight="1">
      <c r="C10" s="651" t="s">
        <v>3529</v>
      </c>
      <c r="E10" s="681" t="str">
        <f>'Part II-Development Team'!Q5</f>
        <v>Jack Hammer</v>
      </c>
    </row>
    <row r="11" spans="1:13" ht="12" customHeight="1">
      <c r="C11" s="651" t="s">
        <v>3530</v>
      </c>
      <c r="E11" s="681" t="str">
        <f>'Part II-Development Team'!O9</f>
        <v>jhammer@hsimanagement.com</v>
      </c>
    </row>
    <row r="12" spans="1:13" ht="12" customHeight="1">
      <c r="C12" s="651" t="s">
        <v>3531</v>
      </c>
      <c r="E12" s="690">
        <f>'Part II-Development Team'!H9</f>
        <v>6788161329</v>
      </c>
    </row>
    <row r="13" spans="1:13" ht="12" customHeight="1">
      <c r="C13" s="651" t="s">
        <v>3532</v>
      </c>
      <c r="E13" s="690">
        <f>'Part II-Development Team'!L9</f>
        <v>6788161299</v>
      </c>
    </row>
    <row r="14" spans="1:13" ht="3" customHeight="1"/>
    <row r="15" spans="1:13" ht="12" customHeight="1">
      <c r="A15" s="651">
        <v>3</v>
      </c>
      <c r="C15" s="651" t="s">
        <v>3533</v>
      </c>
      <c r="E15" s="681" t="str">
        <f>Overview!C8</f>
        <v>Lakeview Apartments</v>
      </c>
    </row>
    <row r="16" spans="1:13" ht="12" customHeight="1">
      <c r="C16" s="651" t="s">
        <v>3534</v>
      </c>
      <c r="E16" s="681" t="str">
        <f>'Part I-Project Information'!$F$25</f>
        <v>1105 Edward Street</v>
      </c>
    </row>
    <row r="17" spans="1:8" ht="12" customHeight="1">
      <c r="E17" s="681" t="str">
        <f>+'Part I-Project Information'!$F$28&amp;","&amp;" "&amp;'Part I-Project Information'!$J$29&amp;" "&amp;LEFT('Part I-Project Information'!$J$28,5)</f>
        <v>Fort Valley, Peach 31030</v>
      </c>
    </row>
    <row r="18" spans="1:8" ht="3" customHeight="1"/>
    <row r="19" spans="1:8" ht="12" customHeight="1">
      <c r="A19" s="651">
        <v>4</v>
      </c>
      <c r="C19" s="651" t="s">
        <v>3535</v>
      </c>
      <c r="E19" s="681" t="str">
        <f>'Part II-Development Team'!H92</f>
        <v>HSI Management, Inc.</v>
      </c>
    </row>
    <row r="20" spans="1:8" ht="12" customHeight="1">
      <c r="C20" s="651" t="s">
        <v>3536</v>
      </c>
      <c r="E20" s="681" t="str">
        <f>'Part II-Development Team'!H93</f>
        <v>5505 Interstate North Parkway, NW</v>
      </c>
    </row>
    <row r="21" spans="1:8" ht="12" customHeight="1">
      <c r="E21" s="681" t="str">
        <f>+'Part II-Development Team'!H94&amp;","&amp;" "&amp;'Part II-Development Team'!H95&amp;" "&amp;LEFT('Part II-Development Team'!J95,5)</f>
        <v>Atlanta, GA 30328</v>
      </c>
    </row>
    <row r="22" spans="1:8" ht="12" customHeight="1">
      <c r="C22" s="651" t="s">
        <v>3531</v>
      </c>
      <c r="E22" s="690">
        <f>'Part II-Development Team'!H96</f>
        <v>6788161329</v>
      </c>
    </row>
    <row r="23" spans="1:8" ht="12" customHeight="1">
      <c r="C23" s="651" t="s">
        <v>3532</v>
      </c>
      <c r="E23" s="690">
        <f>'Part II-Development Team'!L96</f>
        <v>6788161299</v>
      </c>
    </row>
    <row r="24" spans="1:8" ht="12" customHeight="1">
      <c r="C24" s="651" t="s">
        <v>1888</v>
      </c>
      <c r="E24" s="690" t="str">
        <f>'Part II-Development Team'!O96</f>
        <v>dtrivers@hsimanagement.com</v>
      </c>
    </row>
    <row r="25" spans="1:8" ht="3" customHeight="1">
      <c r="E25" s="681"/>
    </row>
    <row r="26" spans="1:8" ht="12" customHeight="1">
      <c r="A26" s="651">
        <v>5</v>
      </c>
      <c r="C26" s="651" t="s">
        <v>3537</v>
      </c>
      <c r="E26" s="681" t="str">
        <f>Overview!$H$7</f>
        <v>Acquisition/Rehabilitation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3538</v>
      </c>
      <c r="E30" s="651" t="s">
        <v>2529</v>
      </c>
      <c r="F30" s="682">
        <f>'Part III-Sources of Funds'!L18</f>
        <v>0</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2"/>
    </row>
    <row r="47" spans="1:7" ht="12" customHeight="1">
      <c r="A47" s="651">
        <v>14</v>
      </c>
      <c r="C47" s="651" t="s">
        <v>3552</v>
      </c>
      <c r="E47" s="681" t="str">
        <f>'Part II-Development Team'!H14</f>
        <v>Lakeview Housing HSI GP LLC</v>
      </c>
    </row>
    <row r="48" spans="1:7" ht="3" customHeight="1">
      <c r="E48" s="681"/>
    </row>
    <row r="49" spans="1:7" ht="12" customHeight="1">
      <c r="A49" s="651">
        <v>15</v>
      </c>
      <c r="C49" s="651" t="s">
        <v>3553</v>
      </c>
      <c r="E49" s="681" t="str">
        <f>'Part II-Development Team'!Q98</f>
        <v>Holly Heer</v>
      </c>
    </row>
    <row r="50" spans="1:7" ht="12" customHeight="1">
      <c r="C50" s="651" t="s">
        <v>3554</v>
      </c>
      <c r="E50" s="681" t="str">
        <f>'Part II-Development Team'!O102</f>
        <v>holly.heer@btlaw.com</v>
      </c>
      <c r="F50" s="658"/>
    </row>
    <row r="51" spans="1:7" ht="3" customHeight="1">
      <c r="F51" s="658"/>
    </row>
    <row r="52" spans="1:7" ht="12" customHeight="1">
      <c r="A52" s="651">
        <v>16</v>
      </c>
      <c r="C52" s="651" t="s">
        <v>3555</v>
      </c>
      <c r="F52" s="658">
        <f>'Part VI-Revenues &amp; Expenses'!$M$62</f>
        <v>96</v>
      </c>
    </row>
    <row r="53" spans="1:7" ht="3" customHeight="1">
      <c r="F53" s="658"/>
    </row>
    <row r="54" spans="1:7" ht="12" customHeight="1">
      <c r="A54" s="686">
        <v>17</v>
      </c>
      <c r="B54" s="686"/>
      <c r="C54" s="686" t="s">
        <v>3556</v>
      </c>
      <c r="D54" s="686"/>
      <c r="E54" s="686"/>
      <c r="F54" s="917">
        <f>'Subsidy Layering WS'!D12</f>
        <v>96</v>
      </c>
      <c r="G54" s="686"/>
    </row>
    <row r="55" spans="1:7" ht="3" customHeight="1">
      <c r="F55" s="658"/>
    </row>
    <row r="56" spans="1:7" ht="12" customHeight="1">
      <c r="A56" s="651">
        <v>18</v>
      </c>
      <c r="C56" s="651" t="s">
        <v>3557</v>
      </c>
      <c r="E56" s="651" t="s">
        <v>2637</v>
      </c>
      <c r="F56" s="658">
        <f>'Part VI-Revenues &amp; Expenses'!$M$61</f>
        <v>0</v>
      </c>
    </row>
    <row r="57" spans="1:7" ht="3" customHeight="1">
      <c r="F57" s="658"/>
    </row>
    <row r="58" spans="1:7" ht="12" customHeight="1">
      <c r="A58" s="651">
        <v>19</v>
      </c>
      <c r="C58" s="651" t="s">
        <v>3558</v>
      </c>
      <c r="F58" s="692"/>
      <c r="G58" s="651" t="s">
        <v>4292</v>
      </c>
    </row>
    <row r="59" spans="1:7" ht="3" customHeight="1">
      <c r="F59" s="658"/>
    </row>
    <row r="60" spans="1:7" ht="12" customHeight="1">
      <c r="A60" s="651">
        <v>20</v>
      </c>
      <c r="C60" s="651" t="s">
        <v>3559</v>
      </c>
      <c r="F60" s="687" t="str">
        <f>'Part VII-Pro Forma'!$K$65</f>
        <v/>
      </c>
      <c r="G60" s="686">
        <v>300</v>
      </c>
    </row>
    <row r="61" spans="1:7" ht="3" customHeight="1"/>
    <row r="62" spans="1:7" ht="12" customHeight="1">
      <c r="A62" s="651">
        <v>21</v>
      </c>
      <c r="C62" s="651" t="s">
        <v>4310</v>
      </c>
      <c r="E62" s="653" t="s">
        <v>4293</v>
      </c>
      <c r="F62" s="918" t="s">
        <v>4294</v>
      </c>
      <c r="G62" s="653" t="s">
        <v>3560</v>
      </c>
    </row>
    <row r="63" spans="1:7" ht="12" customHeight="1">
      <c r="E63" s="653" t="s">
        <v>4293</v>
      </c>
      <c r="F63" s="918" t="s">
        <v>4294</v>
      </c>
      <c r="G63" s="653"/>
    </row>
    <row r="64" spans="1:7" ht="3" customHeight="1"/>
    <row r="65" spans="1:6" ht="12" customHeight="1">
      <c r="A65" s="651">
        <v>22</v>
      </c>
      <c r="C65" s="651" t="s">
        <v>3561</v>
      </c>
      <c r="E65" s="681" t="str">
        <f>Overview!H9</f>
        <v>Lakeview Housing Partners,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313395</v>
      </c>
    </row>
    <row r="72" spans="1:6" ht="3" customHeight="1">
      <c r="F72" s="688"/>
    </row>
    <row r="73" spans="1:6" ht="12" customHeight="1">
      <c r="A73" s="651">
        <v>26</v>
      </c>
      <c r="C73" s="651" t="s">
        <v>3566</v>
      </c>
      <c r="F73" s="688">
        <f>'Part IV-Uses of Funds'!$G$121</f>
        <v>405000</v>
      </c>
    </row>
    <row r="74" spans="1:6" ht="3" customHeight="1">
      <c r="F74" s="688"/>
    </row>
    <row r="75" spans="1:6" ht="12" customHeight="1">
      <c r="A75" s="651">
        <v>27</v>
      </c>
      <c r="C75" s="651" t="s">
        <v>3567</v>
      </c>
      <c r="F75" s="689">
        <f>'Part IV-Uses of Funds'!$G$119</f>
        <v>142823</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3772</v>
      </c>
      <c r="B1" s="1934"/>
      <c r="C1" s="1934"/>
      <c r="D1" s="1934"/>
      <c r="E1" s="1934"/>
      <c r="F1" s="1934"/>
      <c r="G1" s="1934"/>
      <c r="H1" s="1934"/>
      <c r="I1" s="1934"/>
      <c r="J1" s="1934"/>
    </row>
    <row r="2" spans="1:10" ht="15">
      <c r="A2" s="1934" t="str">
        <f>Overview!E8&amp;"  "&amp;Overview!C8</f>
        <v>2015-056  Lakeview Apartments</v>
      </c>
      <c r="B2" s="1934"/>
      <c r="C2" s="1934"/>
      <c r="D2" s="1934"/>
      <c r="E2" s="1934"/>
      <c r="F2" s="1934"/>
      <c r="G2" s="1934"/>
      <c r="H2" s="1934"/>
      <c r="I2" s="1934"/>
      <c r="J2" s="1934"/>
    </row>
    <row r="3" spans="1:10" ht="6" customHeight="1"/>
    <row r="4" spans="1:10" ht="12" customHeight="1">
      <c r="A4" s="1123" t="s">
        <v>3569</v>
      </c>
    </row>
    <row r="5" spans="1:10" ht="12" customHeight="1">
      <c r="A5" s="1077" t="s">
        <v>3570</v>
      </c>
      <c r="C5" s="1124" t="str">
        <f>'Subsidy Layering Memo'!D6</f>
        <v>(Underwriter)</v>
      </c>
      <c r="F5" s="1937" t="s">
        <v>3525</v>
      </c>
      <c r="G5" s="1937"/>
      <c r="H5" s="1937"/>
      <c r="I5" s="1124"/>
    </row>
    <row r="6" spans="1:10" ht="6" customHeight="1">
      <c r="C6" s="1010"/>
      <c r="D6" s="1124"/>
      <c r="I6" s="1124"/>
    </row>
    <row r="7" spans="1:10" ht="12" customHeight="1">
      <c r="A7" s="1123" t="s">
        <v>3571</v>
      </c>
      <c r="C7" s="1010"/>
      <c r="D7" s="1124"/>
      <c r="I7" s="1124"/>
    </row>
    <row r="8" spans="1:10" ht="12" customHeight="1">
      <c r="A8" s="1077" t="s">
        <v>3572</v>
      </c>
      <c r="C8" s="1124" t="str">
        <f>Overview!$H$9</f>
        <v>Lakeview Housing Partners, LP</v>
      </c>
      <c r="I8" s="1124"/>
    </row>
    <row r="9" spans="1:10" ht="3" customHeight="1">
      <c r="C9" s="1010"/>
      <c r="D9" s="1124"/>
      <c r="I9" s="1124"/>
    </row>
    <row r="10" spans="1:10" ht="12" customHeight="1">
      <c r="A10" s="1077" t="s">
        <v>3573</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3574</v>
      </c>
      <c r="D13" s="1126"/>
      <c r="I13" s="1124"/>
    </row>
    <row r="14" spans="1:10" ht="3" customHeight="1">
      <c r="G14" s="1010"/>
      <c r="H14" s="1124"/>
      <c r="I14" s="1124"/>
    </row>
    <row r="15" spans="1:10" ht="12" customHeight="1">
      <c r="A15" s="1077" t="s">
        <v>3575</v>
      </c>
      <c r="C15" s="1127" t="str">
        <f>'Part II-Development Team'!$Q$5</f>
        <v>Jack Hammer</v>
      </c>
      <c r="G15" s="1010"/>
      <c r="I15" s="1124"/>
    </row>
    <row r="16" spans="1:10" ht="12" customHeight="1">
      <c r="A16" s="1128" t="s">
        <v>2078</v>
      </c>
      <c r="C16" s="1127" t="str">
        <f>'Part II-Development Team'!$Q$6</f>
        <v>President</v>
      </c>
      <c r="G16" s="1010"/>
      <c r="I16" s="1124"/>
    </row>
    <row r="17" spans="1:9" ht="3" customHeight="1">
      <c r="G17" s="1010"/>
      <c r="H17" s="1124"/>
      <c r="I17" s="1124"/>
    </row>
    <row r="18" spans="1:9" ht="12" customHeight="1">
      <c r="A18" s="1077" t="s">
        <v>3576</v>
      </c>
      <c r="C18" s="1127" t="str">
        <f>'Preview term'!$E$7</f>
        <v>5505 Interstate North Parkway, NW</v>
      </c>
      <c r="G18" s="1010"/>
      <c r="I18" s="1124"/>
    </row>
    <row r="19" spans="1:9" ht="12" customHeight="1">
      <c r="C19" s="1127" t="str">
        <f>'Preview term'!$E$8</f>
        <v>Atlanta, GA 30328</v>
      </c>
      <c r="G19" s="1010"/>
      <c r="I19" s="1124"/>
    </row>
    <row r="20" spans="1:9" ht="3" customHeight="1">
      <c r="G20" s="1010"/>
      <c r="H20" s="1124"/>
      <c r="I20" s="1124"/>
    </row>
    <row r="21" spans="1:9" ht="12" customHeight="1">
      <c r="A21" s="1077" t="s">
        <v>3577</v>
      </c>
      <c r="C21" s="1127" t="str">
        <f>'Preview term'!$E$49</f>
        <v>Holly Heer</v>
      </c>
      <c r="G21" s="1010"/>
      <c r="I21" s="1124"/>
    </row>
    <row r="22" spans="1:9" ht="3" customHeight="1">
      <c r="C22" s="1127"/>
      <c r="G22" s="1010"/>
      <c r="I22" s="1124"/>
    </row>
    <row r="23" spans="1:9" ht="12" customHeight="1">
      <c r="A23" s="1077" t="s">
        <v>3578</v>
      </c>
      <c r="C23" s="1127">
        <f>'Part II-Development Team'!$H$102</f>
        <v>6146280096</v>
      </c>
      <c r="G23" s="1010"/>
      <c r="I23" s="1124"/>
    </row>
    <row r="24" spans="1:9" ht="3" customHeight="1">
      <c r="C24" s="1127"/>
      <c r="G24" s="1010"/>
      <c r="I24" s="1124"/>
    </row>
    <row r="25" spans="1:9" ht="12" customHeight="1">
      <c r="A25" s="1077" t="s">
        <v>3579</v>
      </c>
      <c r="C25" s="919" t="str">
        <f>'Preview term'!$E$50</f>
        <v>holly.heer@btlaw.com</v>
      </c>
      <c r="G25" s="1010"/>
    </row>
    <row r="26" spans="1:9" ht="6" customHeight="1">
      <c r="G26" s="1010"/>
      <c r="H26" s="1124"/>
      <c r="I26" s="1124"/>
    </row>
    <row r="27" spans="1:9" ht="12" customHeight="1">
      <c r="A27" s="1123" t="s">
        <v>3580</v>
      </c>
      <c r="G27" s="1010"/>
      <c r="H27" s="1124"/>
      <c r="I27" s="1124"/>
    </row>
    <row r="28" spans="1:9" ht="12" customHeight="1">
      <c r="A28" s="1077" t="s">
        <v>3581</v>
      </c>
      <c r="C28" s="1127" t="str">
        <f>Overview!$C$8</f>
        <v>Lakeview Apartments</v>
      </c>
      <c r="I28" s="1124"/>
    </row>
    <row r="29" spans="1:9" ht="3" customHeight="1">
      <c r="C29" s="1127"/>
      <c r="I29" s="1124"/>
    </row>
    <row r="30" spans="1:9" ht="12" customHeight="1">
      <c r="A30" s="1077" t="s">
        <v>3582</v>
      </c>
      <c r="C30" s="1127" t="str">
        <f>'Preview term'!E16</f>
        <v>1105 Edward Street</v>
      </c>
      <c r="I30" s="1124"/>
    </row>
    <row r="31" spans="1:9">
      <c r="C31" s="1124" t="str">
        <f>'Preview term'!E17</f>
        <v>Fort Valley, Peach 31030</v>
      </c>
      <c r="I31" s="1124"/>
    </row>
    <row r="32" spans="1:9" ht="3" customHeight="1">
      <c r="C32" s="1010"/>
      <c r="D32" s="1010"/>
      <c r="I32" s="1010"/>
    </row>
    <row r="33" spans="1:10" ht="12" customHeight="1">
      <c r="A33" s="1077" t="s">
        <v>3583</v>
      </c>
      <c r="C33" s="1010" t="s">
        <v>3584</v>
      </c>
      <c r="D33" s="1129">
        <f>'Preview term'!F54</f>
        <v>96</v>
      </c>
      <c r="I33" s="1010"/>
    </row>
    <row r="34" spans="1:10" ht="12" customHeight="1">
      <c r="C34" s="1010" t="s">
        <v>3585</v>
      </c>
      <c r="D34" s="1130">
        <f>'Part VI-Revenues &amp; Expenses'!$M$59+'Part VI-Revenues &amp; Expenses'!$M$61</f>
        <v>0</v>
      </c>
      <c r="I34" s="1010"/>
    </row>
    <row r="35" spans="1:10" ht="12" customHeight="1">
      <c r="C35" s="1010" t="s">
        <v>3586</v>
      </c>
      <c r="D35" s="1131">
        <f>SUM(D33:D34)</f>
        <v>96</v>
      </c>
      <c r="I35" s="1010"/>
    </row>
    <row r="36" spans="1:10" ht="3" customHeight="1">
      <c r="C36" s="1010"/>
      <c r="D36" s="1010"/>
      <c r="I36" s="1010"/>
    </row>
    <row r="37" spans="1:10" ht="12" customHeight="1">
      <c r="A37" s="1077" t="s">
        <v>3587</v>
      </c>
      <c r="C37" s="1010" t="s">
        <v>3421</v>
      </c>
      <c r="D37" s="1132"/>
      <c r="I37" s="1010"/>
    </row>
    <row r="38" spans="1:10" ht="12" customHeight="1">
      <c r="C38" s="1010" t="s">
        <v>3424</v>
      </c>
      <c r="D38" s="1133"/>
      <c r="I38" s="1010"/>
    </row>
    <row r="39" spans="1:10" ht="12" customHeight="1">
      <c r="C39" s="1010" t="s">
        <v>3588</v>
      </c>
      <c r="D39" s="1134">
        <f>'Part VI-Revenues &amp; Expenses'!$M$61</f>
        <v>0</v>
      </c>
      <c r="I39" s="1010"/>
    </row>
    <row r="40" spans="1:10" ht="3" customHeight="1">
      <c r="G40" s="1135"/>
      <c r="H40" s="1010"/>
      <c r="I40" s="1010"/>
    </row>
    <row r="41" spans="1:10" ht="25.5" customHeight="1">
      <c r="A41" s="1136" t="s">
        <v>3589</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Equipped playground, Equipped computer center, Arts &amp; Craft Activity Center, Covered Pavilion with Picnic/Barbecue Facilities</v>
      </c>
      <c r="D41" s="1940"/>
      <c r="E41" s="1940"/>
      <c r="F41" s="1940"/>
      <c r="G41" s="1940"/>
      <c r="H41" s="1940"/>
      <c r="I41" s="1940"/>
      <c r="J41" s="1940"/>
    </row>
    <row r="42" spans="1:10" ht="3" customHeight="1">
      <c r="G42" s="1010"/>
      <c r="H42" s="1010"/>
      <c r="I42" s="1010"/>
    </row>
    <row r="43" spans="1:10" ht="25.5" customHeight="1">
      <c r="A43" s="1136" t="s">
        <v>3590</v>
      </c>
      <c r="C43" s="1941" t="s">
        <v>4295</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3591</v>
      </c>
      <c r="C45" s="920" t="str">
        <f>'Part I-Project Information'!$J$29</f>
        <v>Peach</v>
      </c>
      <c r="D45" s="694"/>
      <c r="F45" s="695"/>
      <c r="I45" s="696"/>
      <c r="J45" s="695"/>
    </row>
    <row r="46" spans="1:10" ht="3" customHeight="1">
      <c r="C46" s="694"/>
      <c r="D46" s="694"/>
      <c r="E46" s="694"/>
      <c r="F46" s="695"/>
      <c r="I46" s="696"/>
      <c r="J46" s="695"/>
    </row>
    <row r="47" spans="1:10" ht="12" customHeight="1">
      <c r="A47" s="1077" t="s">
        <v>3592</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3593</v>
      </c>
      <c r="C49" s="1010" t="s">
        <v>3594</v>
      </c>
      <c r="D49" s="1138">
        <v>2</v>
      </c>
      <c r="I49" s="1139"/>
      <c r="J49" s="1139"/>
    </row>
    <row r="50" spans="1:10" ht="3" customHeight="1">
      <c r="D50" s="1139"/>
      <c r="E50" s="1139"/>
      <c r="F50" s="1139"/>
      <c r="G50" s="1140"/>
      <c r="H50" s="1010"/>
      <c r="I50" s="1139"/>
      <c r="J50" s="1139"/>
    </row>
    <row r="51" spans="1:10" ht="12" customHeight="1">
      <c r="B51" s="1077" t="s">
        <v>3595</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3596</v>
      </c>
      <c r="B54" s="1136"/>
      <c r="C54" s="1141" t="s">
        <v>3597</v>
      </c>
      <c r="D54" s="1141" t="s">
        <v>4296</v>
      </c>
      <c r="E54" s="1943"/>
      <c r="F54" s="1943"/>
      <c r="G54" s="1943"/>
      <c r="H54" s="1943"/>
      <c r="I54" s="1943"/>
      <c r="J54" s="1943"/>
    </row>
    <row r="55" spans="1:10" ht="12" customHeight="1">
      <c r="A55" s="1136"/>
      <c r="B55" s="1136"/>
      <c r="C55" s="1136"/>
      <c r="D55" s="1141" t="s">
        <v>4297</v>
      </c>
      <c r="E55" s="1944"/>
      <c r="F55" s="1944"/>
      <c r="G55" s="1944"/>
      <c r="H55" s="1944"/>
      <c r="I55" s="1944"/>
      <c r="J55" s="1944"/>
    </row>
    <row r="56" spans="1:10" ht="12" customHeight="1">
      <c r="A56" s="1123" t="s">
        <v>3598</v>
      </c>
      <c r="G56" s="1010"/>
      <c r="H56" s="1010"/>
      <c r="I56" s="1010"/>
    </row>
    <row r="57" spans="1:10" ht="18" customHeight="1">
      <c r="A57" s="1077" t="s">
        <v>3599</v>
      </c>
      <c r="C57" s="1125" t="str">
        <f>Overview!C10</f>
        <v>Lakeview Housing HSI GP LLC</v>
      </c>
      <c r="G57" s="1010"/>
      <c r="I57" s="1010"/>
    </row>
    <row r="58" spans="1:10" ht="3" customHeight="1">
      <c r="C58" s="1125"/>
      <c r="G58" s="1010"/>
      <c r="I58" s="1010"/>
    </row>
    <row r="59" spans="1:10" ht="12" customHeight="1">
      <c r="A59" s="1077" t="s">
        <v>3600</v>
      </c>
      <c r="C59" s="1125" t="str">
        <f>Overview!C11</f>
        <v/>
      </c>
      <c r="G59" s="1010"/>
      <c r="I59" s="1010"/>
    </row>
    <row r="60" spans="1:10" ht="3" customHeight="1">
      <c r="C60" s="1125"/>
      <c r="G60" s="1010"/>
      <c r="I60" s="1010"/>
    </row>
    <row r="61" spans="1:10" ht="12" customHeight="1">
      <c r="A61" s="1077" t="s">
        <v>3601</v>
      </c>
      <c r="C61" s="1125" t="s">
        <v>3138</v>
      </c>
      <c r="G61" s="1010"/>
      <c r="I61" s="1010"/>
    </row>
    <row r="62" spans="1:10" ht="6" customHeight="1">
      <c r="G62" s="1010"/>
      <c r="H62" s="1010"/>
      <c r="I62" s="1010"/>
    </row>
    <row r="63" spans="1:10" ht="12" customHeight="1">
      <c r="A63" s="1123" t="s">
        <v>3602</v>
      </c>
      <c r="G63" s="1010"/>
      <c r="H63" s="1010"/>
      <c r="I63" s="1010"/>
    </row>
    <row r="64" spans="1:10" ht="12" customHeight="1">
      <c r="A64" s="1077" t="s">
        <v>3603</v>
      </c>
      <c r="C64" s="1077" t="s">
        <v>3604</v>
      </c>
      <c r="D64" s="1142">
        <f>'Preview term'!F30</f>
        <v>0</v>
      </c>
      <c r="G64" s="1010"/>
      <c r="I64" s="1010"/>
    </row>
    <row r="65" spans="1:10" ht="3" customHeight="1">
      <c r="D65" s="1143"/>
      <c r="G65" s="1010"/>
      <c r="H65" s="1144"/>
      <c r="I65" s="1010"/>
    </row>
    <row r="66" spans="1:10" ht="12" customHeight="1">
      <c r="A66" s="1077" t="s">
        <v>3605</v>
      </c>
      <c r="C66" s="1077" t="s">
        <v>3607</v>
      </c>
      <c r="D66" s="1125" t="s">
        <v>3606</v>
      </c>
      <c r="G66" s="1010"/>
      <c r="I66" s="1010"/>
    </row>
    <row r="67" spans="1:10" ht="3" customHeight="1">
      <c r="D67" s="1143"/>
      <c r="G67" s="1010"/>
      <c r="H67" s="1010"/>
      <c r="I67" s="1010"/>
    </row>
    <row r="68" spans="1:10" ht="12" customHeight="1">
      <c r="A68" s="1077" t="s">
        <v>3608</v>
      </c>
      <c r="C68" s="1010" t="s">
        <v>1859</v>
      </c>
      <c r="D68" s="1143"/>
      <c r="I68" s="1010"/>
    </row>
    <row r="69" spans="1:10" ht="12" customHeight="1">
      <c r="C69" s="1077" t="s">
        <v>3609</v>
      </c>
      <c r="D69" s="1126"/>
      <c r="I69" s="1010"/>
    </row>
    <row r="70" spans="1:10" ht="12" customHeight="1">
      <c r="C70" s="1077" t="s">
        <v>3574</v>
      </c>
      <c r="D70" s="1126"/>
      <c r="I70" s="1010"/>
    </row>
    <row r="71" spans="1:10" ht="3" customHeight="1">
      <c r="D71" s="1143"/>
      <c r="E71" s="1010"/>
      <c r="F71" s="1010"/>
      <c r="I71" s="1010"/>
    </row>
    <row r="72" spans="1:10" ht="12" customHeight="1">
      <c r="A72" s="1077" t="s">
        <v>3610</v>
      </c>
      <c r="C72" s="1077" t="s">
        <v>2529</v>
      </c>
      <c r="D72" s="1125" t="s">
        <v>1859</v>
      </c>
      <c r="I72" s="1010"/>
    </row>
    <row r="73" spans="1:10" ht="3" customHeight="1">
      <c r="D73" s="1010"/>
      <c r="E73" s="1010"/>
      <c r="I73" s="1010"/>
    </row>
    <row r="74" spans="1:10" ht="12" customHeight="1">
      <c r="A74" s="1077" t="s">
        <v>3611</v>
      </c>
      <c r="C74" s="1010" t="s">
        <v>1859</v>
      </c>
      <c r="I74" s="1010"/>
    </row>
    <row r="75" spans="1:10" ht="3" customHeight="1">
      <c r="C75" s="1143"/>
      <c r="G75" s="1145"/>
      <c r="H75" s="1010"/>
      <c r="I75" s="1010"/>
    </row>
    <row r="76" spans="1:10" ht="12" customHeight="1">
      <c r="A76" s="1077" t="s">
        <v>3612</v>
      </c>
      <c r="C76" s="1143" t="s">
        <v>3613</v>
      </c>
      <c r="D76" s="1146">
        <v>0</v>
      </c>
      <c r="J76" s="1010"/>
    </row>
    <row r="77" spans="1:10" ht="12" customHeight="1">
      <c r="C77" s="1147" t="s">
        <v>3784</v>
      </c>
      <c r="D77" s="1148">
        <v>0.01</v>
      </c>
      <c r="J77" s="1010"/>
    </row>
    <row r="78" spans="1:10" ht="3" customHeight="1">
      <c r="C78" s="1143"/>
      <c r="D78" s="1143"/>
      <c r="G78" s="1010"/>
      <c r="H78" s="1010"/>
      <c r="I78" s="1010"/>
    </row>
    <row r="79" spans="1:10" ht="12" customHeight="1">
      <c r="A79" s="1077" t="s">
        <v>3614</v>
      </c>
      <c r="C79" s="1143" t="s">
        <v>4354</v>
      </c>
      <c r="D79" s="1149">
        <v>24</v>
      </c>
      <c r="I79" s="1010"/>
    </row>
    <row r="80" spans="1:10" ht="3" customHeight="1">
      <c r="D80" s="1143"/>
      <c r="E80" s="1010"/>
      <c r="F80" s="1010"/>
      <c r="I80" s="1010"/>
    </row>
    <row r="81" spans="1:9" ht="12" customHeight="1">
      <c r="A81" s="1077" t="s">
        <v>3615</v>
      </c>
      <c r="C81" s="1077" t="s">
        <v>2529</v>
      </c>
      <c r="D81" s="1150">
        <f>'Preview term'!F39</f>
        <v>0</v>
      </c>
      <c r="E81" s="1010" t="s">
        <v>4302</v>
      </c>
      <c r="I81" s="1010"/>
    </row>
    <row r="82" spans="1:9" ht="3" customHeight="1">
      <c r="D82" s="1143"/>
      <c r="G82" s="1010"/>
      <c r="H82" s="1010"/>
      <c r="I82" s="1010"/>
    </row>
    <row r="83" spans="1:9" ht="12" customHeight="1">
      <c r="A83" s="1077" t="s">
        <v>3616</v>
      </c>
      <c r="D83" s="1151">
        <v>0</v>
      </c>
      <c r="E83" s="1152">
        <f>D83*12</f>
        <v>0</v>
      </c>
      <c r="F83" s="1010" t="s">
        <v>4355</v>
      </c>
    </row>
    <row r="84" spans="1:9" ht="3" customHeight="1">
      <c r="D84" s="1125"/>
      <c r="E84" s="1010"/>
      <c r="G84" s="1010"/>
    </row>
    <row r="85" spans="1:9" ht="12" customHeight="1">
      <c r="A85" s="1077" t="s">
        <v>3617</v>
      </c>
      <c r="D85" s="1153" t="s">
        <v>3606</v>
      </c>
      <c r="E85" s="1010" t="s">
        <v>3618</v>
      </c>
      <c r="G85" s="1010"/>
    </row>
    <row r="86" spans="1:9" ht="3" customHeight="1">
      <c r="G86" s="1010"/>
      <c r="H86" s="1010"/>
      <c r="I86" s="1010"/>
    </row>
    <row r="87" spans="1:9" ht="12" customHeight="1">
      <c r="A87" s="1077" t="s">
        <v>3619</v>
      </c>
      <c r="C87" s="1142" t="str">
        <f>'Part VII-Pro Forma'!$K$65</f>
        <v/>
      </c>
      <c r="D87" s="1154" t="s">
        <v>4298</v>
      </c>
      <c r="I87" s="1010"/>
    </row>
    <row r="88" spans="1:9" ht="3" customHeight="1">
      <c r="C88" s="1010" t="s">
        <v>1859</v>
      </c>
      <c r="D88" s="1010"/>
      <c r="E88" s="1010"/>
      <c r="I88" s="1010"/>
    </row>
    <row r="89" spans="1:9" ht="12" customHeight="1">
      <c r="A89" s="1077" t="s">
        <v>3620</v>
      </c>
      <c r="B89" s="1155"/>
      <c r="C89" s="1010" t="s">
        <v>3621</v>
      </c>
      <c r="I89" s="1010"/>
    </row>
    <row r="90" spans="1:9" ht="3" customHeight="1">
      <c r="G90" s="1010"/>
      <c r="H90" s="1010"/>
      <c r="I90" s="1010"/>
    </row>
    <row r="91" spans="1:9" ht="12" customHeight="1">
      <c r="A91" s="1077" t="s">
        <v>3622</v>
      </c>
      <c r="C91" s="1143" t="s">
        <v>3623</v>
      </c>
      <c r="D91" s="1125" t="s">
        <v>3549</v>
      </c>
      <c r="I91" s="1010"/>
    </row>
    <row r="92" spans="1:9" ht="12" customHeight="1">
      <c r="C92" s="1143" t="s">
        <v>3624</v>
      </c>
      <c r="D92" s="1125" t="s">
        <v>3606</v>
      </c>
      <c r="I92" s="1010"/>
    </row>
    <row r="93" spans="1:9" ht="3" customHeight="1">
      <c r="G93" s="1010"/>
      <c r="H93" s="1010"/>
      <c r="I93" s="1010"/>
    </row>
    <row r="94" spans="1:9" ht="12" customHeight="1">
      <c r="A94" s="1077" t="s">
        <v>3625</v>
      </c>
      <c r="C94" s="1143" t="s">
        <v>3613</v>
      </c>
      <c r="D94" s="1010" t="s">
        <v>3626</v>
      </c>
      <c r="E94" s="1143">
        <f>'Part III-Sources of Funds'!H18</f>
        <v>0</v>
      </c>
      <c r="I94" s="1010"/>
    </row>
    <row r="95" spans="1:9" ht="12" customHeight="1">
      <c r="C95" s="1143"/>
      <c r="D95" s="1010"/>
      <c r="E95" s="1143" t="s">
        <v>1885</v>
      </c>
      <c r="F95" s="1948"/>
      <c r="G95" s="1948"/>
      <c r="H95" s="1948"/>
      <c r="I95" s="1010"/>
    </row>
    <row r="96" spans="1:9" ht="12" customHeight="1">
      <c r="C96" s="1143"/>
      <c r="D96" s="1010"/>
      <c r="E96" s="1143" t="s">
        <v>2080</v>
      </c>
      <c r="F96" s="1947"/>
      <c r="G96" s="1947"/>
      <c r="H96" s="1947"/>
      <c r="I96" s="1010"/>
    </row>
    <row r="97" spans="1:10" ht="12" customHeight="1">
      <c r="C97" s="1143"/>
      <c r="D97" s="1010"/>
      <c r="E97" s="1143" t="s">
        <v>1888</v>
      </c>
      <c r="F97" s="1946"/>
      <c r="G97" s="1946"/>
      <c r="H97" s="1946"/>
      <c r="I97" s="1010"/>
    </row>
    <row r="98" spans="1:10" ht="12" customHeight="1">
      <c r="B98" s="1128" t="s">
        <v>3627</v>
      </c>
      <c r="C98" s="1147" t="s">
        <v>3784</v>
      </c>
      <c r="D98" s="1010" t="s">
        <v>3626</v>
      </c>
      <c r="E98" s="1143">
        <f>'Part III-Sources of Funds'!E36</f>
        <v>0</v>
      </c>
      <c r="I98" s="1010"/>
    </row>
    <row r="99" spans="1:10" ht="12" customHeight="1">
      <c r="C99" s="1143"/>
      <c r="D99" s="1010"/>
      <c r="E99" s="1143" t="s">
        <v>1885</v>
      </c>
      <c r="F99" s="1948"/>
      <c r="G99" s="1948"/>
      <c r="H99" s="1948"/>
      <c r="I99" s="1010"/>
    </row>
    <row r="100" spans="1:10" ht="12" customHeight="1">
      <c r="C100" s="1143"/>
      <c r="D100" s="1010"/>
      <c r="E100" s="1143" t="s">
        <v>2080</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3628</v>
      </c>
      <c r="D103" s="1157" t="str">
        <f>'Part IX A-Scoring Criteria'!O193</f>
        <v>Yes</v>
      </c>
      <c r="E103" s="1010" t="s">
        <v>3606</v>
      </c>
      <c r="G103" s="1077">
        <f>'Part IX A-Scoring Criteria'!P192</f>
        <v>0</v>
      </c>
      <c r="H103" s="1077" t="s">
        <v>4299</v>
      </c>
      <c r="I103" s="1010"/>
    </row>
    <row r="104" spans="1:10" ht="3" customHeight="1">
      <c r="E104" s="1010"/>
      <c r="F104" s="1010"/>
      <c r="I104" s="1010"/>
    </row>
    <row r="105" spans="1:10" ht="12" customHeight="1">
      <c r="A105" s="1010" t="s">
        <v>3785</v>
      </c>
      <c r="D105" s="1077" t="s">
        <v>3606</v>
      </c>
      <c r="E105" s="1010"/>
      <c r="I105" s="1010"/>
    </row>
    <row r="106" spans="1:10" ht="6" customHeight="1">
      <c r="G106" s="1010"/>
      <c r="H106" s="1010"/>
      <c r="I106" s="1010"/>
    </row>
    <row r="107" spans="1:10" ht="12" customHeight="1">
      <c r="A107" s="1123" t="s">
        <v>3786</v>
      </c>
      <c r="I107" s="1010"/>
    </row>
    <row r="108" spans="1:10" ht="12" customHeight="1">
      <c r="A108" s="1077" t="s">
        <v>3629</v>
      </c>
      <c r="C108" s="1125" t="s">
        <v>1859</v>
      </c>
      <c r="D108" s="1941"/>
      <c r="E108" s="1941"/>
      <c r="F108" s="1941"/>
      <c r="G108" s="1941"/>
      <c r="H108" s="1941"/>
      <c r="I108" s="1941"/>
      <c r="J108" s="1941"/>
    </row>
    <row r="109" spans="1:10" ht="3" customHeight="1">
      <c r="C109" s="1143"/>
      <c r="D109" s="1010"/>
      <c r="I109" s="1010"/>
    </row>
    <row r="110" spans="1:10" ht="12" customHeight="1">
      <c r="A110" s="1077" t="s">
        <v>3630</v>
      </c>
      <c r="C110" s="1125" t="s">
        <v>1859</v>
      </c>
    </row>
    <row r="111" spans="1:10" ht="3" customHeight="1">
      <c r="C111" s="1143"/>
      <c r="E111" s="1010"/>
      <c r="F111" s="1010"/>
      <c r="I111" s="1010"/>
    </row>
    <row r="112" spans="1:10" ht="12" customHeight="1">
      <c r="A112" s="1077" t="s">
        <v>3631</v>
      </c>
      <c r="C112" s="1125" t="s">
        <v>1859</v>
      </c>
      <c r="I112" s="1010"/>
    </row>
    <row r="113" spans="1:9" ht="3" customHeight="1">
      <c r="D113" s="1135"/>
      <c r="I113" s="1010"/>
    </row>
    <row r="114" spans="1:9" ht="12" customHeight="1">
      <c r="A114" s="1077" t="s">
        <v>3632</v>
      </c>
      <c r="D114" s="1150">
        <v>24</v>
      </c>
      <c r="E114" s="1010" t="s">
        <v>3633</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3634</v>
      </c>
      <c r="D118" s="1158">
        <v>0</v>
      </c>
      <c r="E118" s="1159" t="s">
        <v>3635</v>
      </c>
      <c r="I118" s="1010"/>
    </row>
    <row r="119" spans="1:9" ht="3" customHeight="1">
      <c r="D119" s="1143"/>
      <c r="E119" s="1010"/>
      <c r="F119" s="1010"/>
      <c r="I119" s="1010"/>
    </row>
    <row r="120" spans="1:9" ht="12" customHeight="1">
      <c r="A120" s="1077" t="s">
        <v>3636</v>
      </c>
      <c r="C120" s="1010" t="s">
        <v>1859</v>
      </c>
      <c r="D120" s="1160"/>
      <c r="I120" s="1010"/>
    </row>
    <row r="121" spans="1:9" ht="12" customHeight="1">
      <c r="C121" s="1010" t="s">
        <v>3637</v>
      </c>
      <c r="D121" s="1157"/>
      <c r="I121" s="1010"/>
    </row>
    <row r="122" spans="1:9" ht="12" customHeight="1">
      <c r="C122" s="1010" t="s">
        <v>3638</v>
      </c>
      <c r="D122" s="1126"/>
      <c r="I122" s="1010"/>
    </row>
    <row r="123" spans="1:9" ht="12" customHeight="1">
      <c r="C123" s="1010" t="s">
        <v>3639</v>
      </c>
      <c r="D123" s="1126"/>
      <c r="I123" s="1010"/>
    </row>
    <row r="124" spans="1:9" ht="3" customHeight="1">
      <c r="E124" s="1010"/>
      <c r="F124" s="1010"/>
      <c r="I124" s="1010"/>
    </row>
    <row r="125" spans="1:9" ht="12" customHeight="1">
      <c r="A125" s="1077" t="s">
        <v>3640</v>
      </c>
      <c r="D125" s="1161" t="s">
        <v>3606</v>
      </c>
      <c r="I125" s="1010"/>
    </row>
    <row r="126" spans="1:9" ht="3" customHeight="1">
      <c r="D126" s="1010"/>
      <c r="I126" s="1010"/>
    </row>
    <row r="127" spans="1:9" ht="12" customHeight="1">
      <c r="A127" s="1077" t="s">
        <v>3641</v>
      </c>
      <c r="D127" s="1010" t="s">
        <v>3606</v>
      </c>
      <c r="I127" s="1010"/>
    </row>
    <row r="128" spans="1:9" ht="3" customHeight="1">
      <c r="G128" s="1010"/>
      <c r="H128" s="1010"/>
      <c r="I128" s="1010"/>
    </row>
    <row r="129" spans="1:10" ht="12" customHeight="1">
      <c r="A129" s="1077" t="s">
        <v>3642</v>
      </c>
      <c r="D129" s="1010" t="s">
        <v>3643</v>
      </c>
      <c r="G129" s="1010"/>
      <c r="I129" s="1010"/>
    </row>
    <row r="130" spans="1:10" ht="7.5" customHeight="1">
      <c r="G130" s="1010"/>
      <c r="H130" s="1010"/>
      <c r="I130" s="1010"/>
    </row>
    <row r="131" spans="1:10" ht="12" customHeight="1">
      <c r="A131" s="1123" t="s">
        <v>3644</v>
      </c>
      <c r="G131" s="1010"/>
      <c r="H131" s="1010"/>
      <c r="I131" s="1010"/>
    </row>
    <row r="132" spans="1:10" ht="12" customHeight="1">
      <c r="A132" s="1077" t="s">
        <v>3645</v>
      </c>
      <c r="C132" s="1125" t="str">
        <f>Overview!H11</f>
        <v>LVH Developers,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3646</v>
      </c>
      <c r="C135" s="1162">
        <f>('Part IV-Uses of Funds'!G116-'Part III-Sources of Funds'!I41)/2</f>
        <v>508434.5</v>
      </c>
      <c r="G135" s="1010"/>
      <c r="I135" s="1010"/>
    </row>
    <row r="136" spans="1:10" ht="3" customHeight="1">
      <c r="C136" s="1010"/>
      <c r="G136" s="1010"/>
      <c r="I136" s="1010"/>
    </row>
    <row r="137" spans="1:10" ht="12" customHeight="1">
      <c r="A137" s="1077" t="s">
        <v>3647</v>
      </c>
      <c r="C137" s="1153" t="s">
        <v>3648</v>
      </c>
      <c r="G137" s="1010"/>
      <c r="I137" s="1010"/>
    </row>
    <row r="138" spans="1:10" ht="3" customHeight="1">
      <c r="C138" s="1125"/>
      <c r="G138" s="1010"/>
      <c r="I138" s="1010"/>
    </row>
    <row r="139" spans="1:10" ht="12" customHeight="1">
      <c r="A139" s="1077" t="s">
        <v>3649</v>
      </c>
      <c r="C139" s="1125" t="str">
        <f>'Preview term'!E19</f>
        <v>HSI Management, Inc.</v>
      </c>
      <c r="G139" s="1010"/>
      <c r="I139" s="1010"/>
      <c r="J139" s="1163"/>
    </row>
    <row r="140" spans="1:10" ht="3" customHeight="1">
      <c r="C140" s="1125"/>
      <c r="G140" s="1010"/>
      <c r="I140" s="1010"/>
    </row>
    <row r="141" spans="1:10" ht="12" customHeight="1">
      <c r="A141" s="1077" t="s">
        <v>3650</v>
      </c>
      <c r="C141" s="1127" t="str">
        <f>C8</f>
        <v>Lakeview Housing Partners, LP</v>
      </c>
      <c r="G141" s="1010"/>
      <c r="I141" s="1124"/>
      <c r="J141" s="1164"/>
    </row>
    <row r="142" spans="1:10" ht="3" customHeight="1">
      <c r="C142" s="1127"/>
      <c r="G142" s="1010"/>
      <c r="I142" s="1124"/>
      <c r="J142" s="1164"/>
    </row>
    <row r="143" spans="1:10" ht="12" customHeight="1">
      <c r="A143" s="1077" t="s">
        <v>3651</v>
      </c>
      <c r="C143" s="1127" t="str">
        <f>C132</f>
        <v>LVH Developers, LLC</v>
      </c>
      <c r="G143" s="1010"/>
      <c r="I143" s="1124"/>
      <c r="J143" s="1164"/>
    </row>
    <row r="144" spans="1:10">
      <c r="C144" s="1127" t="str">
        <f>'Part II-Development Team'!$H$55&amp;", "&amp;'Part II-Development Team'!$H$56&amp;", "&amp;'Part II-Development Team'!$H$57&amp;"  "&amp;'Part II-Development Team'!$J$57</f>
        <v>5505 Interstate North Parkway, NW, Atlanta, GA  303285836</v>
      </c>
      <c r="G144" s="1010"/>
      <c r="I144" s="1124"/>
      <c r="J144" s="1164"/>
    </row>
    <row r="145" spans="1:10" ht="3" customHeight="1">
      <c r="C145" s="1165"/>
      <c r="G145" s="1010"/>
      <c r="I145" s="1124"/>
      <c r="J145" s="1164"/>
    </row>
    <row r="146" spans="1:10" ht="12" customHeight="1">
      <c r="A146" s="1077" t="s">
        <v>3652</v>
      </c>
      <c r="C146" s="1127" t="str">
        <f>Overview!H10</f>
        <v>CREA Lakeview, LLC</v>
      </c>
      <c r="G146" s="1010"/>
      <c r="I146" s="1124"/>
      <c r="J146" s="1163"/>
    </row>
    <row r="147" spans="1:10" ht="3" customHeight="1">
      <c r="C147" s="1127"/>
      <c r="G147" s="1010"/>
      <c r="I147" s="1124"/>
      <c r="J147" s="1164"/>
    </row>
    <row r="148" spans="1:10" ht="12" customHeight="1">
      <c r="A148" s="1077" t="s">
        <v>3653</v>
      </c>
      <c r="C148" s="1127" t="str">
        <f>Overview!K10</f>
        <v>CREA SLP, LLC</v>
      </c>
      <c r="G148" s="1010"/>
      <c r="I148" s="1124"/>
      <c r="J148" s="1163"/>
    </row>
    <row r="149" spans="1:10" ht="3" customHeight="1">
      <c r="C149" s="1165"/>
      <c r="G149" s="1010"/>
      <c r="I149" s="1124"/>
      <c r="J149" s="1164"/>
    </row>
    <row r="150" spans="1:10" ht="12" customHeight="1">
      <c r="A150" s="1077" t="s">
        <v>3654</v>
      </c>
      <c r="C150" s="1166" t="s">
        <v>3606</v>
      </c>
      <c r="G150" s="1010"/>
      <c r="I150" s="1010"/>
    </row>
    <row r="151" spans="1:10" ht="3" customHeight="1">
      <c r="C151" s="1166"/>
      <c r="G151" s="1010"/>
      <c r="I151" s="1010"/>
    </row>
    <row r="152" spans="1:10" ht="12" customHeight="1">
      <c r="A152" s="1077" t="s">
        <v>3655</v>
      </c>
      <c r="C152" s="1166" t="s">
        <v>3606</v>
      </c>
      <c r="G152" s="1010"/>
      <c r="I152" s="1010"/>
    </row>
    <row r="153" spans="1:10" ht="7.5" customHeight="1">
      <c r="G153" s="1010"/>
      <c r="H153" s="1010"/>
      <c r="I153" s="1010"/>
    </row>
    <row r="154" spans="1:10" ht="12" customHeight="1">
      <c r="A154" s="1123" t="s">
        <v>3656</v>
      </c>
      <c r="G154" s="1010"/>
      <c r="H154" s="1010"/>
      <c r="I154" s="1010"/>
    </row>
    <row r="155" spans="1:10" ht="3" customHeight="1">
      <c r="D155" s="1010"/>
      <c r="E155" s="1010"/>
      <c r="G155" s="1010"/>
    </row>
    <row r="156" spans="1:10" ht="12" customHeight="1">
      <c r="A156" s="1077" t="s">
        <v>3657</v>
      </c>
      <c r="C156" s="1010" t="s">
        <v>4303</v>
      </c>
      <c r="D156" s="1010"/>
      <c r="G156" s="1010"/>
      <c r="H156" s="1010"/>
      <c r="I156" s="1010"/>
    </row>
    <row r="157" spans="1:10" ht="3" customHeight="1">
      <c r="D157" s="1010"/>
      <c r="E157" s="1010"/>
      <c r="G157" s="1010"/>
    </row>
    <row r="158" spans="1:10" ht="12" customHeight="1">
      <c r="A158" s="1077" t="s">
        <v>3658</v>
      </c>
      <c r="D158" s="1153">
        <v>20</v>
      </c>
      <c r="E158" s="1010" t="s">
        <v>2529</v>
      </c>
    </row>
    <row r="159" spans="1:10" ht="3" customHeight="1">
      <c r="D159" s="1010"/>
      <c r="E159" s="1010"/>
      <c r="G159" s="1010"/>
    </row>
    <row r="160" spans="1:10" ht="12" customHeight="1">
      <c r="A160" s="1077" t="s">
        <v>3659</v>
      </c>
      <c r="C160" s="1010" t="s">
        <v>1859</v>
      </c>
      <c r="D160" s="1010" t="s">
        <v>4356</v>
      </c>
      <c r="G160" s="1010"/>
    </row>
    <row r="161" spans="1:13" ht="3" customHeight="1">
      <c r="G161" s="1010"/>
      <c r="H161" s="1010"/>
      <c r="I161" s="1010"/>
    </row>
    <row r="162" spans="1:13" ht="12" customHeight="1">
      <c r="A162" s="1077" t="s">
        <v>3660</v>
      </c>
      <c r="G162" s="1010"/>
      <c r="H162" s="1010"/>
      <c r="I162" s="1010"/>
    </row>
    <row r="163" spans="1:13" ht="7.5" customHeight="1">
      <c r="G163" s="1010"/>
      <c r="H163" s="1010"/>
      <c r="I163" s="1010"/>
    </row>
    <row r="164" spans="1:13" ht="12" customHeight="1">
      <c r="A164" s="1123" t="s">
        <v>3661</v>
      </c>
      <c r="G164" s="1010"/>
      <c r="H164" s="1010"/>
      <c r="I164" s="1010"/>
    </row>
    <row r="165" spans="1:13" ht="12" customHeight="1">
      <c r="A165" s="1077" t="s">
        <v>3776</v>
      </c>
      <c r="C165" s="1077" t="s">
        <v>3777</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3662</v>
      </c>
      <c r="C168" s="1077" t="s">
        <v>3663</v>
      </c>
      <c r="E168" s="1167">
        <f>'Preview term'!F71</f>
        <v>313395</v>
      </c>
      <c r="G168" s="1010"/>
      <c r="I168" s="1010"/>
    </row>
    <row r="169" spans="1:13" ht="12" customHeight="1">
      <c r="C169" s="1077" t="s">
        <v>4304</v>
      </c>
      <c r="I169" s="1010"/>
    </row>
    <row r="170" spans="1:13" ht="12" customHeight="1">
      <c r="C170" s="1077" t="s">
        <v>3664</v>
      </c>
      <c r="E170" s="1125" t="s">
        <v>3138</v>
      </c>
      <c r="G170" s="1010"/>
      <c r="I170" s="1010"/>
    </row>
    <row r="171" spans="1:13" ht="3" customHeight="1">
      <c r="E171" s="1125"/>
      <c r="G171" s="1010"/>
      <c r="I171" s="1010"/>
    </row>
    <row r="172" spans="1:13" ht="12" customHeight="1">
      <c r="A172" s="1077" t="s">
        <v>3778</v>
      </c>
      <c r="C172" s="1077" t="s">
        <v>3779</v>
      </c>
      <c r="E172" s="1167">
        <f>'Preview term'!F73</f>
        <v>405000</v>
      </c>
      <c r="G172" s="1010"/>
      <c r="I172" s="1010"/>
    </row>
    <row r="173" spans="1:13" ht="12" customHeight="1">
      <c r="C173" s="1077" t="s">
        <v>3665</v>
      </c>
      <c r="E173" s="1167">
        <f>'Preview term'!F74</f>
        <v>0</v>
      </c>
      <c r="G173" s="1010"/>
      <c r="I173" s="1124"/>
      <c r="J173" s="1164"/>
      <c r="K173" s="1164"/>
      <c r="L173" s="1164"/>
      <c r="M173" s="1164"/>
    </row>
    <row r="174" spans="1:13" ht="12" customHeight="1">
      <c r="C174" s="1077" t="s">
        <v>3666</v>
      </c>
      <c r="E174" s="1162">
        <f>'Part VI-Revenues &amp; Expenses'!P182</f>
        <v>525</v>
      </c>
      <c r="F174" s="1124" t="s">
        <v>3667</v>
      </c>
      <c r="J174" s="1164"/>
      <c r="K174" s="1164"/>
      <c r="L174" s="1164"/>
      <c r="M174" s="1164"/>
    </row>
    <row r="175" spans="1:13">
      <c r="E175" s="1167">
        <f>E174/12</f>
        <v>43.75</v>
      </c>
      <c r="F175" s="1010" t="s">
        <v>3510</v>
      </c>
    </row>
    <row r="176" spans="1:13" ht="12" customHeight="1">
      <c r="C176" s="1077" t="s">
        <v>4305</v>
      </c>
      <c r="I176" s="1010"/>
    </row>
    <row r="177" spans="1:10" ht="12" customHeight="1">
      <c r="C177" s="1077" t="s">
        <v>3668</v>
      </c>
      <c r="E177" s="1010" t="s">
        <v>3421</v>
      </c>
      <c r="I177" s="1010"/>
    </row>
    <row r="178" spans="1:10" ht="12" customHeight="1">
      <c r="C178" s="1077" t="s">
        <v>3669</v>
      </c>
      <c r="E178" s="1010" t="s">
        <v>3138</v>
      </c>
      <c r="I178" s="1010"/>
    </row>
    <row r="179" spans="1:10" ht="3" customHeight="1">
      <c r="E179" s="1010"/>
      <c r="F179" s="1010"/>
      <c r="I179" s="1010"/>
    </row>
    <row r="180" spans="1:10" ht="12" customHeight="1">
      <c r="A180" s="1077" t="s">
        <v>3774</v>
      </c>
      <c r="C180" s="1077" t="s">
        <v>3775</v>
      </c>
      <c r="E180" s="1125" t="s">
        <v>1859</v>
      </c>
      <c r="F180" s="1168"/>
      <c r="I180" s="1010"/>
    </row>
    <row r="181" spans="1:10" ht="12" customHeight="1">
      <c r="C181" s="1077" t="s">
        <v>3670</v>
      </c>
      <c r="E181" s="1125" t="s">
        <v>1859</v>
      </c>
      <c r="F181" s="1935"/>
      <c r="G181" s="1935"/>
      <c r="H181" s="1935"/>
      <c r="I181" s="1935"/>
      <c r="J181" s="1935"/>
    </row>
    <row r="182" spans="1:10" ht="12" customHeight="1">
      <c r="C182" s="1077" t="s">
        <v>4306</v>
      </c>
      <c r="E182" s="1010" t="s">
        <v>3606</v>
      </c>
      <c r="I182" s="1010"/>
    </row>
    <row r="183" spans="1:10" ht="12" customHeight="1">
      <c r="C183" s="1077" t="s">
        <v>3671</v>
      </c>
      <c r="E183" s="1010" t="s">
        <v>3138</v>
      </c>
      <c r="I183" s="1010"/>
    </row>
    <row r="184" spans="1:10" ht="3" customHeight="1">
      <c r="G184" s="1010"/>
      <c r="H184" s="1010"/>
      <c r="I184" s="1010"/>
    </row>
    <row r="185" spans="1:10" ht="12" customHeight="1">
      <c r="A185" s="1077" t="s">
        <v>3780</v>
      </c>
      <c r="C185" s="1077" t="s">
        <v>3781</v>
      </c>
      <c r="E185" s="1167">
        <f>'Preview term'!F75</f>
        <v>142823</v>
      </c>
      <c r="G185" s="1010"/>
      <c r="I185" s="1010"/>
    </row>
    <row r="186" spans="1:10" ht="12" customHeight="1">
      <c r="C186" s="1077" t="s">
        <v>4304</v>
      </c>
      <c r="E186" s="1125">
        <f>E169</f>
        <v>0</v>
      </c>
      <c r="G186" s="1010"/>
      <c r="I186" s="1010"/>
    </row>
    <row r="187" spans="1:10" ht="12" customHeight="1">
      <c r="C187" s="1077" t="s">
        <v>3672</v>
      </c>
      <c r="E187" s="1125" t="s">
        <v>3606</v>
      </c>
      <c r="G187" s="1010"/>
      <c r="I187" s="1010"/>
    </row>
    <row r="188" spans="1:10" ht="3" customHeight="1">
      <c r="E188" s="1125"/>
      <c r="G188" s="1010"/>
      <c r="I188" s="1010"/>
    </row>
    <row r="189" spans="1:10" ht="12" customHeight="1">
      <c r="A189" s="1077" t="s">
        <v>3782</v>
      </c>
      <c r="C189" s="1077" t="s">
        <v>3783</v>
      </c>
      <c r="E189" s="1125" t="s">
        <v>3606</v>
      </c>
      <c r="G189" s="1010"/>
      <c r="I189" s="1010"/>
    </row>
    <row r="190" spans="1:10" ht="12" customHeight="1">
      <c r="C190" s="1077" t="s">
        <v>3663</v>
      </c>
      <c r="E190" s="1143"/>
      <c r="G190" s="1010"/>
      <c r="H190" s="1152"/>
      <c r="I190" s="1010"/>
    </row>
    <row r="191" spans="1:10" ht="12" customHeight="1">
      <c r="C191" s="1077" t="s">
        <v>4304</v>
      </c>
      <c r="E191" s="1143"/>
      <c r="I191" s="1125"/>
    </row>
    <row r="192" spans="1:10" ht="12" customHeight="1">
      <c r="C192" s="1077" t="s">
        <v>3664</v>
      </c>
      <c r="E192" s="1143"/>
      <c r="G192" s="1010"/>
      <c r="H192" s="1010"/>
      <c r="I192" s="1010"/>
    </row>
    <row r="193" spans="1:10" ht="9" customHeight="1">
      <c r="G193" s="1010"/>
      <c r="H193" s="1010"/>
      <c r="I193" s="1010"/>
    </row>
    <row r="194" spans="1:10" ht="12" customHeight="1">
      <c r="A194" s="1123" t="s">
        <v>3673</v>
      </c>
      <c r="C194" s="1010" t="s">
        <v>3674</v>
      </c>
      <c r="E194" s="1010"/>
      <c r="I194" s="1010"/>
    </row>
    <row r="195" spans="1:10" ht="9" customHeight="1">
      <c r="E195" s="1010"/>
      <c r="F195" s="1010"/>
      <c r="I195" s="1010"/>
    </row>
    <row r="196" spans="1:10" ht="12" customHeight="1">
      <c r="A196" s="1123" t="s">
        <v>3675</v>
      </c>
      <c r="E196" s="1010"/>
      <c r="F196" s="1010"/>
      <c r="I196" s="1010"/>
    </row>
    <row r="197" spans="1:10" ht="12" customHeight="1">
      <c r="A197" s="1077" t="s">
        <v>3676</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5"/>
      <c r="G199" s="1945"/>
      <c r="H199" s="1945"/>
      <c r="I199" s="1945"/>
      <c r="J199" s="1945"/>
    </row>
    <row r="200" spans="1:10" ht="9" customHeight="1">
      <c r="G200" s="1010"/>
      <c r="H200" s="1010"/>
      <c r="I200" s="1010"/>
    </row>
    <row r="201" spans="1:10" ht="12" customHeight="1">
      <c r="A201" s="1169" t="s">
        <v>3773</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3677</v>
      </c>
      <c r="G204" s="1010"/>
      <c r="H204" s="1010"/>
      <c r="I204" s="1010"/>
    </row>
    <row r="205" spans="1:10" ht="3" customHeight="1">
      <c r="G205" s="1010"/>
      <c r="H205" s="1010"/>
      <c r="I205" s="1010"/>
    </row>
    <row r="206" spans="1:10" ht="76.5" customHeight="1">
      <c r="A206" s="1938" t="s">
        <v>3368</v>
      </c>
      <c r="B206" s="1938"/>
      <c r="C206" s="1938"/>
      <c r="D206" s="1938"/>
      <c r="E206" s="1938"/>
      <c r="F206" s="1938"/>
      <c r="G206" s="1938"/>
      <c r="H206" s="1938"/>
      <c r="I206" s="1938"/>
      <c r="J206" s="1938"/>
    </row>
    <row r="207" spans="1:10">
      <c r="A207" s="1010" t="s">
        <v>3369</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3678</v>
      </c>
      <c r="H1" s="1128" t="str">
        <f>Overview!C8</f>
        <v>Lakeview Apartments</v>
      </c>
    </row>
    <row r="2" spans="1:11">
      <c r="A2" s="1010" t="s">
        <v>3679</v>
      </c>
    </row>
    <row r="3" spans="1:11" ht="3" customHeight="1"/>
    <row r="4" spans="1:11" ht="51.75" customHeight="1">
      <c r="A4" s="1939" t="s">
        <v>3790</v>
      </c>
      <c r="B4" s="1939"/>
      <c r="C4" s="1939"/>
      <c r="D4" s="1939"/>
      <c r="E4" s="1939"/>
      <c r="F4" s="1939"/>
      <c r="G4" s="1939"/>
      <c r="H4" s="1939"/>
      <c r="J4" s="1170">
        <f>SUM('Part VII-Pro Forma'!B14:B16)/12</f>
        <v>64582.585200000001</v>
      </c>
      <c r="K4" s="1077" t="s">
        <v>4357</v>
      </c>
    </row>
    <row r="5" spans="1:11" ht="1.5" customHeight="1">
      <c r="C5" s="1171"/>
      <c r="D5" s="1171"/>
      <c r="E5" s="1171"/>
      <c r="F5" s="1171"/>
      <c r="G5" s="1171"/>
      <c r="H5" s="1171"/>
    </row>
    <row r="6" spans="1:11" ht="12.75" customHeight="1">
      <c r="B6" s="1172" t="s">
        <v>2556</v>
      </c>
      <c r="C6" s="1939" t="s">
        <v>3680</v>
      </c>
      <c r="D6" s="1939"/>
      <c r="E6" s="1939"/>
      <c r="F6" s="1939"/>
      <c r="G6" s="1939"/>
      <c r="H6" s="1939"/>
    </row>
    <row r="7" spans="1:11" ht="12.75" customHeight="1">
      <c r="B7" s="1172" t="s">
        <v>2557</v>
      </c>
      <c r="C7" s="1939" t="s">
        <v>3681</v>
      </c>
      <c r="D7" s="1939"/>
      <c r="E7" s="1939"/>
      <c r="F7" s="1939"/>
      <c r="G7" s="1939"/>
      <c r="H7" s="1939"/>
    </row>
    <row r="8" spans="1:11" ht="3" customHeight="1"/>
    <row r="9" spans="1:11">
      <c r="A9" s="1077" t="s">
        <v>3682</v>
      </c>
    </row>
    <row r="10" spans="1:11" ht="1.5" customHeight="1"/>
    <row r="11" spans="1:11" ht="26.25" customHeight="1">
      <c r="A11" s="1173" t="s">
        <v>2081</v>
      </c>
      <c r="B11" s="1954" t="s">
        <v>3787</v>
      </c>
      <c r="C11" s="1954"/>
      <c r="D11" s="1954"/>
      <c r="E11" s="1954"/>
      <c r="F11" s="1954"/>
      <c r="G11" s="1951">
        <f>'Part III-Sources of Funds'!I44+'Part III-Sources of Funds'!I45</f>
        <v>14997000</v>
      </c>
      <c r="H11" s="1951"/>
    </row>
    <row r="12" spans="1:11" ht="1.5" customHeight="1">
      <c r="G12" s="1136"/>
      <c r="H12" s="1136"/>
    </row>
    <row r="13" spans="1:11" ht="26.25" customHeight="1">
      <c r="A13" s="1173" t="s">
        <v>2084</v>
      </c>
      <c r="B13" s="1954" t="s">
        <v>3788</v>
      </c>
      <c r="C13" s="1954"/>
      <c r="D13" s="1954"/>
      <c r="E13" s="1954"/>
      <c r="F13" s="1954"/>
      <c r="G13" s="1953" t="s">
        <v>3606</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3792</v>
      </c>
      <c r="F16" s="1164"/>
      <c r="G16" s="1952" t="s">
        <v>3424</v>
      </c>
      <c r="H16" s="1952"/>
    </row>
    <row r="17" spans="1:8" ht="1.5" customHeight="1">
      <c r="G17" s="1143"/>
    </row>
    <row r="18" spans="1:8" ht="12" customHeight="1">
      <c r="A18" s="1173" t="s">
        <v>2216</v>
      </c>
      <c r="B18" s="1136" t="s">
        <v>3789</v>
      </c>
      <c r="C18" s="1173"/>
      <c r="D18" s="1173"/>
      <c r="E18" s="1173"/>
      <c r="G18" s="1940" t="s">
        <v>3138</v>
      </c>
      <c r="H18" s="1940"/>
    </row>
    <row r="19" spans="1:8" ht="12" customHeight="1">
      <c r="B19" s="1940"/>
      <c r="C19" s="1940"/>
      <c r="D19" s="1940"/>
      <c r="E19" s="1940"/>
      <c r="F19" s="1940"/>
      <c r="G19" s="1940"/>
      <c r="H19" s="1940"/>
    </row>
    <row r="20" spans="1:8" ht="13.5" customHeight="1"/>
    <row r="21" spans="1:8" ht="12" customHeight="1">
      <c r="A21" s="1010" t="s">
        <v>3683</v>
      </c>
    </row>
    <row r="22" spans="1:8" ht="3" customHeight="1"/>
    <row r="23" spans="1:8" ht="26.25" customHeight="1">
      <c r="A23" s="1949" t="s">
        <v>3791</v>
      </c>
      <c r="B23" s="1949"/>
      <c r="C23" s="1949"/>
      <c r="D23" s="1949"/>
      <c r="E23" s="1949"/>
      <c r="F23" s="1949"/>
      <c r="G23" s="1949"/>
      <c r="H23" s="1949"/>
    </row>
    <row r="24" spans="1:8" ht="26.25" customHeight="1">
      <c r="A24" s="1950" t="s">
        <v>3684</v>
      </c>
      <c r="B24" s="1950"/>
      <c r="C24" s="1950"/>
      <c r="D24" s="1950"/>
      <c r="E24" s="1950"/>
      <c r="F24" s="1950"/>
      <c r="G24" s="1950"/>
      <c r="H24" s="1950"/>
    </row>
    <row r="25" spans="1:8" ht="9" customHeight="1">
      <c r="A25" s="1103"/>
    </row>
    <row r="26" spans="1:8">
      <c r="A26" s="1143" t="s">
        <v>3793</v>
      </c>
      <c r="B26" s="1174"/>
      <c r="C26" s="1143" t="s">
        <v>3794</v>
      </c>
      <c r="D26" s="1175" t="s">
        <v>4315</v>
      </c>
    </row>
    <row r="27" spans="1:8" ht="6" customHeight="1"/>
    <row r="28" spans="1:8" ht="12.75" customHeight="1">
      <c r="C28" s="1136" t="s">
        <v>3685</v>
      </c>
      <c r="D28" s="1176" t="s">
        <v>2085</v>
      </c>
      <c r="E28" s="1177"/>
      <c r="F28" s="1939" t="s">
        <v>3686</v>
      </c>
      <c r="G28" s="1939"/>
      <c r="H28" s="1939"/>
    </row>
    <row r="29" spans="1:8" ht="12.75" customHeight="1">
      <c r="C29" s="1178" t="s">
        <v>1419</v>
      </c>
      <c r="D29" s="1176" t="s">
        <v>2087</v>
      </c>
      <c r="E29" s="1939" t="s">
        <v>3798</v>
      </c>
      <c r="F29" s="1939"/>
      <c r="G29" s="1939"/>
      <c r="H29" s="1939"/>
    </row>
    <row r="30" spans="1:8" ht="12.75" customHeight="1">
      <c r="E30" s="1939" t="s">
        <v>4311</v>
      </c>
      <c r="F30" s="1939"/>
      <c r="G30" s="1939"/>
      <c r="H30" s="1939"/>
    </row>
    <row r="31" spans="1:8" ht="12.75" customHeight="1">
      <c r="D31" s="1179" t="s">
        <v>3797</v>
      </c>
      <c r="E31" s="1939" t="s">
        <v>4312</v>
      </c>
      <c r="F31" s="1939"/>
      <c r="G31" s="1939"/>
      <c r="H31" s="1939"/>
    </row>
    <row r="32" spans="1:8" ht="3" customHeight="1">
      <c r="D32" s="1176"/>
      <c r="E32" s="1180"/>
      <c r="F32" s="1180"/>
      <c r="G32" s="1180"/>
      <c r="H32" s="1180"/>
    </row>
    <row r="33" spans="1:11">
      <c r="A33" s="1143" t="s">
        <v>3793</v>
      </c>
      <c r="B33" s="1174"/>
      <c r="C33" s="1143" t="s">
        <v>3795</v>
      </c>
      <c r="D33" s="1175" t="s">
        <v>4316</v>
      </c>
    </row>
    <row r="34" spans="1:11" ht="4.5" customHeight="1"/>
    <row r="35" spans="1:11" ht="12.75" customHeight="1">
      <c r="C35" s="1136" t="s">
        <v>3685</v>
      </c>
      <c r="D35" s="1176" t="s">
        <v>2085</v>
      </c>
      <c r="E35" s="1177"/>
      <c r="F35" s="1939" t="s">
        <v>3686</v>
      </c>
      <c r="G35" s="1939"/>
      <c r="H35" s="1939"/>
    </row>
    <row r="36" spans="1:11" ht="12.75" customHeight="1">
      <c r="C36" s="1178" t="s">
        <v>1419</v>
      </c>
      <c r="D36" s="1176" t="s">
        <v>2087</v>
      </c>
      <c r="E36" s="1939" t="s">
        <v>3799</v>
      </c>
      <c r="F36" s="1939"/>
      <c r="G36" s="1939"/>
      <c r="H36" s="1939"/>
    </row>
    <row r="37" spans="1:11" ht="12.75" customHeight="1">
      <c r="E37" s="1939" t="s">
        <v>4311</v>
      </c>
      <c r="F37" s="1939"/>
      <c r="G37" s="1939"/>
      <c r="H37" s="1939"/>
    </row>
    <row r="38" spans="1:11" ht="12.75" customHeight="1">
      <c r="D38" s="1179" t="s">
        <v>3797</v>
      </c>
      <c r="E38" s="1939" t="s">
        <v>4312</v>
      </c>
      <c r="F38" s="1939"/>
      <c r="G38" s="1939"/>
      <c r="H38" s="1939"/>
    </row>
    <row r="39" spans="1:11" ht="3" customHeight="1">
      <c r="D39" s="1176"/>
      <c r="E39" s="1180"/>
      <c r="F39" s="1180"/>
      <c r="G39" s="1180"/>
      <c r="H39" s="1180"/>
    </row>
    <row r="40" spans="1:11">
      <c r="A40" s="1143" t="s">
        <v>3793</v>
      </c>
      <c r="B40" s="1174"/>
      <c r="C40" s="1143" t="s">
        <v>3796</v>
      </c>
      <c r="D40" s="1175" t="s">
        <v>4317</v>
      </c>
    </row>
    <row r="41" spans="1:11" ht="4.5" customHeight="1"/>
    <row r="42" spans="1:11" ht="12.75" customHeight="1">
      <c r="C42" s="1136" t="s">
        <v>3685</v>
      </c>
      <c r="D42" s="1176" t="s">
        <v>2085</v>
      </c>
      <c r="E42" s="1177"/>
      <c r="F42" s="1939" t="s">
        <v>3686</v>
      </c>
      <c r="G42" s="1939"/>
      <c r="H42" s="1939"/>
      <c r="K42" s="1077" t="s">
        <v>254</v>
      </c>
    </row>
    <row r="43" spans="1:11" ht="12.75" customHeight="1">
      <c r="C43" s="1178" t="s">
        <v>1419</v>
      </c>
      <c r="D43" s="1176" t="s">
        <v>2087</v>
      </c>
      <c r="E43" s="1939" t="s">
        <v>3799</v>
      </c>
      <c r="F43" s="1939"/>
      <c r="G43" s="1939"/>
      <c r="H43" s="1939"/>
    </row>
    <row r="44" spans="1:11" ht="12.75" customHeight="1">
      <c r="E44" s="1939" t="s">
        <v>4311</v>
      </c>
      <c r="F44" s="1939"/>
      <c r="G44" s="1939"/>
      <c r="H44" s="1939"/>
    </row>
    <row r="45" spans="1:11" ht="12.75" customHeight="1">
      <c r="D45" s="1179" t="s">
        <v>3797</v>
      </c>
      <c r="E45" s="1939" t="s">
        <v>4312</v>
      </c>
      <c r="F45" s="1939"/>
      <c r="G45" s="1939"/>
      <c r="H45" s="1939"/>
    </row>
    <row r="46" spans="1:11" ht="9" customHeight="1"/>
    <row r="47" spans="1:11" ht="7.5" customHeight="1">
      <c r="E47" s="1939"/>
      <c r="F47" s="1939"/>
      <c r="G47" s="1939"/>
      <c r="H47" s="1939"/>
    </row>
    <row r="48" spans="1:11">
      <c r="A48" s="1103" t="s">
        <v>3687</v>
      </c>
      <c r="E48" s="1180"/>
      <c r="F48" s="1180"/>
      <c r="G48" s="1180"/>
      <c r="H48" s="1180"/>
    </row>
    <row r="49" spans="1:11" ht="9" customHeight="1"/>
    <row r="50" spans="1:11" ht="26.25" customHeight="1">
      <c r="A50" s="1949" t="s">
        <v>4313</v>
      </c>
      <c r="B50" s="1949"/>
      <c r="C50" s="1949"/>
      <c r="D50" s="1949"/>
      <c r="E50" s="1949"/>
      <c r="F50" s="1949"/>
      <c r="G50" s="1949"/>
      <c r="H50" s="1949"/>
    </row>
    <row r="51" spans="1:11" ht="9" customHeight="1">
      <c r="A51" s="1103"/>
    </row>
    <row r="52" spans="1:11">
      <c r="A52" s="1143" t="s">
        <v>3793</v>
      </c>
      <c r="B52" s="1174"/>
      <c r="C52" s="1143" t="s">
        <v>3794</v>
      </c>
      <c r="D52" s="1175" t="s">
        <v>4314</v>
      </c>
    </row>
    <row r="53" spans="1:11" ht="4.5" customHeight="1"/>
    <row r="54" spans="1:11" ht="12.75" customHeight="1">
      <c r="C54" s="1136" t="s">
        <v>3685</v>
      </c>
      <c r="D54" s="1176" t="s">
        <v>2085</v>
      </c>
      <c r="E54" s="1177"/>
      <c r="F54" s="1939" t="s">
        <v>3686</v>
      </c>
      <c r="G54" s="1939"/>
      <c r="H54" s="1939"/>
    </row>
    <row r="55" spans="1:11" ht="12.75" customHeight="1">
      <c r="C55" s="1178" t="s">
        <v>1419</v>
      </c>
      <c r="D55" s="1176" t="s">
        <v>2087</v>
      </c>
      <c r="E55" s="1939" t="s">
        <v>4320</v>
      </c>
      <c r="F55" s="1939"/>
      <c r="G55" s="1939"/>
      <c r="H55" s="1939"/>
    </row>
    <row r="56" spans="1:11" ht="3" customHeight="1">
      <c r="D56" s="1176"/>
      <c r="E56" s="1180"/>
      <c r="F56" s="1180"/>
      <c r="G56" s="1180"/>
      <c r="H56" s="1180"/>
    </row>
    <row r="57" spans="1:11">
      <c r="A57" s="1143" t="s">
        <v>3793</v>
      </c>
      <c r="B57" s="1174"/>
      <c r="C57" s="1143" t="s">
        <v>3795</v>
      </c>
      <c r="D57" s="1175" t="s">
        <v>4318</v>
      </c>
    </row>
    <row r="58" spans="1:11" ht="4.5" customHeight="1"/>
    <row r="59" spans="1:11">
      <c r="C59" s="1136" t="s">
        <v>3685</v>
      </c>
      <c r="D59" s="1176" t="s">
        <v>2085</v>
      </c>
      <c r="E59" s="1177"/>
      <c r="F59" s="1939" t="s">
        <v>3686</v>
      </c>
      <c r="G59" s="1939"/>
      <c r="H59" s="1939"/>
    </row>
    <row r="60" spans="1:11" ht="12.75" customHeight="1">
      <c r="C60" s="1178" t="s">
        <v>1419</v>
      </c>
      <c r="D60" s="1176" t="s">
        <v>2087</v>
      </c>
      <c r="E60" s="1939" t="s">
        <v>4320</v>
      </c>
      <c r="F60" s="1939"/>
      <c r="G60" s="1939"/>
      <c r="H60" s="1939"/>
    </row>
    <row r="61" spans="1:11" ht="3" customHeight="1">
      <c r="D61" s="1176"/>
      <c r="E61" s="1180"/>
      <c r="F61" s="1180"/>
      <c r="G61" s="1180"/>
      <c r="H61" s="1180"/>
    </row>
    <row r="62" spans="1:11">
      <c r="A62" s="1143" t="s">
        <v>3793</v>
      </c>
      <c r="B62" s="1174"/>
      <c r="C62" s="1143" t="s">
        <v>3796</v>
      </c>
      <c r="D62" s="1175" t="s">
        <v>4319</v>
      </c>
    </row>
    <row r="63" spans="1:11" ht="4.5" customHeight="1"/>
    <row r="64" spans="1:11">
      <c r="C64" s="1136" t="s">
        <v>3685</v>
      </c>
      <c r="D64" s="1176" t="s">
        <v>2085</v>
      </c>
      <c r="E64" s="1177"/>
      <c r="F64" s="1939" t="s">
        <v>3686</v>
      </c>
      <c r="G64" s="1939"/>
      <c r="H64" s="1939"/>
      <c r="K64" s="1077" t="s">
        <v>254</v>
      </c>
    </row>
    <row r="65" spans="3:8" ht="12.75" customHeight="1">
      <c r="C65" s="1178" t="s">
        <v>1419</v>
      </c>
      <c r="D65" s="1176" t="s">
        <v>2087</v>
      </c>
      <c r="E65" s="1939" t="s">
        <v>4320</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3688</v>
      </c>
      <c r="C1" s="1985"/>
      <c r="D1" s="1985"/>
      <c r="E1" s="1985"/>
      <c r="F1" s="1985"/>
      <c r="G1" s="1985"/>
      <c r="H1" s="1985"/>
      <c r="I1" s="1986"/>
    </row>
    <row r="2" spans="2:13">
      <c r="B2" s="1987" t="s">
        <v>3689</v>
      </c>
      <c r="C2" s="1988"/>
      <c r="D2" s="1988"/>
      <c r="E2" s="1988" t="s">
        <v>3690</v>
      </c>
      <c r="F2" s="1988"/>
      <c r="G2" s="1988"/>
      <c r="H2" s="1988" t="s">
        <v>648</v>
      </c>
      <c r="I2" s="1989"/>
      <c r="J2" s="653" t="s">
        <v>3525</v>
      </c>
      <c r="K2" s="653"/>
      <c r="L2" s="654"/>
      <c r="M2" s="654"/>
    </row>
    <row r="3" spans="2:13">
      <c r="B3" s="1990" t="str">
        <f>'Closing term sheet'!C8</f>
        <v>Lakeview Housing Partners, LP</v>
      </c>
      <c r="C3" s="1991"/>
      <c r="D3" s="1992"/>
      <c r="E3" s="1993"/>
      <c r="F3" s="1994"/>
      <c r="G3" s="1995"/>
      <c r="H3" s="1996" t="str">
        <f>'Preview term'!E15</f>
        <v>Lakeview Apartments</v>
      </c>
      <c r="I3" s="1997"/>
      <c r="K3" s="651"/>
    </row>
    <row r="4" spans="2:13" ht="15" customHeight="1">
      <c r="D4" s="921"/>
      <c r="E4" s="921"/>
      <c r="F4" s="921"/>
      <c r="G4" s="921"/>
      <c r="H4" s="921"/>
      <c r="I4" s="921"/>
      <c r="K4" s="651"/>
    </row>
    <row r="5" spans="2:13">
      <c r="B5" s="1971" t="s">
        <v>3691</v>
      </c>
      <c r="C5" s="1972"/>
      <c r="D5" s="655"/>
      <c r="H5" s="1982">
        <f>'Preview term'!E9</f>
        <v>0</v>
      </c>
      <c r="I5" s="1983"/>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3" t="str">
        <f>'Closing term sheet'!C30</f>
        <v>1105 Edward Street</v>
      </c>
      <c r="G28" s="1974"/>
      <c r="H28" s="1974"/>
      <c r="I28" s="1975"/>
    </row>
    <row r="29" spans="2:9">
      <c r="B29" s="724" t="s">
        <v>3709</v>
      </c>
      <c r="D29" s="661" t="s">
        <v>3710</v>
      </c>
      <c r="E29" s="655"/>
      <c r="F29" s="1973"/>
      <c r="G29" s="1974"/>
      <c r="H29" s="1974"/>
      <c r="I29" s="1975"/>
    </row>
    <row r="30" spans="2:9">
      <c r="B30" s="724" t="s">
        <v>3711</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Fort Valley</v>
      </c>
      <c r="D32" s="1977"/>
      <c r="E32" s="660" t="s">
        <v>1887</v>
      </c>
      <c r="F32" s="698" t="s">
        <v>890</v>
      </c>
      <c r="G32" s="660" t="s">
        <v>3712</v>
      </c>
      <c r="H32" s="702">
        <f>'Part I-Project Information'!J28</f>
        <v>310302916</v>
      </c>
      <c r="I32" s="708"/>
    </row>
    <row r="33" spans="2:9">
      <c r="B33" s="722" t="s">
        <v>650</v>
      </c>
      <c r="C33" s="1976" t="str">
        <f>'Part I-Project Information'!J29</f>
        <v>Peach</v>
      </c>
      <c r="D33" s="1977"/>
      <c r="E33" s="655"/>
      <c r="F33" s="655"/>
      <c r="G33" s="655"/>
      <c r="H33" s="655"/>
      <c r="I33" s="708"/>
    </row>
    <row r="34" spans="2:9">
      <c r="B34" s="723" t="s">
        <v>3713</v>
      </c>
      <c r="C34" s="1978">
        <f>'Subsidy Layering WS'!D12</f>
        <v>96</v>
      </c>
      <c r="D34" s="1979"/>
      <c r="E34" s="655"/>
      <c r="F34" s="657" t="s">
        <v>3714</v>
      </c>
      <c r="G34" s="655"/>
      <c r="H34" s="655"/>
      <c r="I34" s="708"/>
    </row>
    <row r="35" spans="2:9">
      <c r="B35" s="723" t="s">
        <v>4309</v>
      </c>
      <c r="C35" s="1980">
        <f>'Closing term sheet'!D64</f>
        <v>0</v>
      </c>
      <c r="D35" s="1981"/>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3718</v>
      </c>
      <c r="C40" s="1966"/>
      <c r="D40" s="1966"/>
      <c r="E40" s="1966"/>
      <c r="F40" s="1966"/>
      <c r="G40" s="1966"/>
      <c r="H40" s="1966"/>
      <c r="I40" s="1967"/>
    </row>
    <row r="41" spans="2:9" ht="7.5" customHeight="1">
      <c r="B41" s="1961"/>
      <c r="C41" s="1962"/>
      <c r="D41" s="1962"/>
      <c r="E41" s="655"/>
      <c r="F41" s="655"/>
      <c r="G41" s="717"/>
      <c r="H41" s="655"/>
      <c r="I41" s="708"/>
    </row>
    <row r="42" spans="2:9">
      <c r="B42" s="718" t="s">
        <v>3720</v>
      </c>
      <c r="C42" s="655"/>
      <c r="D42" s="703">
        <v>4</v>
      </c>
      <c r="F42" s="655"/>
      <c r="G42" s="1963" t="s">
        <v>3719</v>
      </c>
      <c r="H42" s="1963"/>
      <c r="I42" s="1964"/>
    </row>
    <row r="43" spans="2:9">
      <c r="B43" s="707"/>
      <c r="C43" s="661" t="s">
        <v>3723</v>
      </c>
      <c r="D43" s="661" t="s">
        <v>3724</v>
      </c>
      <c r="F43" s="655"/>
      <c r="G43" s="933" t="s">
        <v>3721</v>
      </c>
      <c r="H43" s="655"/>
      <c r="I43" s="719">
        <f>Overview!C13</f>
        <v>96</v>
      </c>
    </row>
    <row r="44" spans="2:9">
      <c r="B44" s="707"/>
      <c r="C44" s="661" t="s">
        <v>3725</v>
      </c>
      <c r="D44" s="661" t="s">
        <v>3726</v>
      </c>
      <c r="F44" s="655"/>
      <c r="G44" s="720" t="s">
        <v>3722</v>
      </c>
      <c r="H44" s="655"/>
      <c r="I44" s="719">
        <f>C34</f>
        <v>96</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3731</v>
      </c>
      <c r="C60" s="1966"/>
      <c r="D60" s="1966"/>
      <c r="E60" s="1966"/>
      <c r="F60" s="1966"/>
      <c r="G60" s="1966"/>
      <c r="H60" s="1966"/>
      <c r="I60" s="1967"/>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59">
        <f>'Closing term sheet'!D64</f>
        <v>0</v>
      </c>
      <c r="G63" s="1959"/>
      <c r="H63" s="655"/>
      <c r="I63" s="708"/>
    </row>
    <row r="64" spans="2:9">
      <c r="B64" s="707"/>
      <c r="C64" s="652" t="s">
        <v>3734</v>
      </c>
      <c r="D64" s="655"/>
      <c r="E64" s="655"/>
      <c r="F64" s="1968">
        <f>'Part III-Sources of Funds'!I42+'Part III-Sources of Funds'!I43</f>
        <v>0</v>
      </c>
      <c r="G64" s="1968"/>
      <c r="H64" s="655"/>
      <c r="I64" s="708"/>
    </row>
    <row r="65" spans="2:9">
      <c r="B65" s="707"/>
      <c r="C65" s="652" t="s">
        <v>3735</v>
      </c>
      <c r="D65" s="655"/>
      <c r="E65" s="655"/>
      <c r="F65" s="1969"/>
      <c r="G65" s="1969"/>
      <c r="H65" s="655"/>
      <c r="I65" s="708"/>
    </row>
    <row r="66" spans="2:9">
      <c r="B66" s="707"/>
      <c r="C66" s="661" t="s">
        <v>3736</v>
      </c>
      <c r="D66" s="655"/>
      <c r="E66" s="655"/>
      <c r="F66" s="1968">
        <v>11000</v>
      </c>
      <c r="G66" s="1968"/>
      <c r="H66" s="655"/>
      <c r="I66" s="708"/>
    </row>
    <row r="67" spans="2:9">
      <c r="B67" s="707"/>
      <c r="C67" s="652" t="s">
        <v>3737</v>
      </c>
      <c r="D67" s="655"/>
      <c r="E67" s="655"/>
      <c r="F67" s="1960"/>
      <c r="G67" s="1960"/>
      <c r="H67" s="655"/>
      <c r="I67" s="708"/>
    </row>
    <row r="68" spans="2:9">
      <c r="B68" s="707"/>
      <c r="C68" s="657" t="s">
        <v>3738</v>
      </c>
      <c r="D68" s="655"/>
      <c r="E68" s="655"/>
      <c r="F68" s="1955">
        <f>SUM(F63:G67)</f>
        <v>11000</v>
      </c>
      <c r="G68" s="1955"/>
      <c r="H68" s="655"/>
      <c r="I68" s="708"/>
    </row>
    <row r="69" spans="2:9">
      <c r="B69" s="707"/>
      <c r="C69" s="655"/>
      <c r="D69" s="655"/>
      <c r="E69" s="655"/>
      <c r="F69" s="1970"/>
      <c r="G69" s="1970"/>
      <c r="H69" s="655"/>
      <c r="I69" s="708"/>
    </row>
    <row r="70" spans="2:9">
      <c r="B70" s="709" t="s">
        <v>3739</v>
      </c>
      <c r="C70" s="655"/>
      <c r="D70" s="655"/>
      <c r="E70" s="655"/>
      <c r="F70" s="655"/>
      <c r="G70" s="655"/>
      <c r="H70" s="655"/>
      <c r="I70" s="708"/>
    </row>
    <row r="71" spans="2:9">
      <c r="B71" s="707"/>
      <c r="C71" s="652" t="s">
        <v>3740</v>
      </c>
      <c r="D71" s="655"/>
      <c r="E71" s="655"/>
      <c r="F71" s="1959"/>
      <c r="G71" s="1959"/>
      <c r="H71" s="655"/>
      <c r="I71" s="708"/>
    </row>
    <row r="72" spans="2:9">
      <c r="B72" s="707"/>
      <c r="C72" s="652" t="s">
        <v>3741</v>
      </c>
      <c r="D72" s="655"/>
      <c r="E72" s="655"/>
      <c r="F72" s="1957"/>
      <c r="G72" s="1957"/>
      <c r="H72" s="655"/>
      <c r="I72" s="708"/>
    </row>
    <row r="73" spans="2:9">
      <c r="B73" s="707"/>
      <c r="C73" s="652" t="s">
        <v>3742</v>
      </c>
      <c r="D73" s="655"/>
      <c r="E73" s="655"/>
      <c r="F73" s="1958" t="s">
        <v>3606</v>
      </c>
      <c r="G73" s="1956"/>
      <c r="H73" s="655"/>
      <c r="I73" s="708"/>
    </row>
    <row r="74" spans="2:9">
      <c r="B74" s="707"/>
      <c r="C74" s="657" t="s">
        <v>3743</v>
      </c>
      <c r="D74" s="655"/>
      <c r="E74" s="655"/>
      <c r="F74" s="1955">
        <f>+SUM(F71:G73)</f>
        <v>0</v>
      </c>
      <c r="G74" s="1955"/>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59"/>
      <c r="G77" s="1959"/>
      <c r="H77" s="655"/>
      <c r="I77" s="708"/>
    </row>
    <row r="78" spans="2:9">
      <c r="B78" s="707"/>
      <c r="C78" s="652" t="s">
        <v>3746</v>
      </c>
      <c r="D78" s="655"/>
      <c r="E78" s="655"/>
      <c r="F78" s="1957"/>
      <c r="G78" s="1957"/>
      <c r="H78" s="655"/>
      <c r="I78" s="708"/>
    </row>
    <row r="79" spans="2:9">
      <c r="B79" s="707"/>
      <c r="C79" s="652" t="s">
        <v>3747</v>
      </c>
      <c r="D79" s="655"/>
      <c r="E79" s="655"/>
      <c r="F79" s="1960"/>
      <c r="G79" s="1960"/>
      <c r="H79" s="655"/>
      <c r="I79" s="708"/>
    </row>
    <row r="80" spans="2:9">
      <c r="B80" s="707"/>
      <c r="C80" s="657" t="s">
        <v>3748</v>
      </c>
      <c r="D80" s="655"/>
      <c r="E80" s="655"/>
      <c r="F80" s="1955">
        <f>+SUM(F77:G79)</f>
        <v>0</v>
      </c>
      <c r="G80" s="1955"/>
      <c r="H80" s="655"/>
      <c r="I80" s="708"/>
    </row>
    <row r="81" spans="2:9">
      <c r="B81" s="707"/>
      <c r="C81" s="655"/>
      <c r="D81" s="655"/>
      <c r="E81" s="655"/>
      <c r="F81" s="655"/>
      <c r="G81" s="655"/>
      <c r="H81" s="655"/>
      <c r="I81" s="708"/>
    </row>
    <row r="82" spans="2:9">
      <c r="B82" s="718" t="s">
        <v>3749</v>
      </c>
      <c r="C82" s="652"/>
      <c r="D82" s="655"/>
      <c r="E82" s="655"/>
      <c r="F82" s="1956">
        <f>'Part III-Sources of Funds'!I44+'Part III-Sources of Funds'!I45</f>
        <v>14997000</v>
      </c>
      <c r="G82" s="1956"/>
      <c r="H82" s="655"/>
      <c r="I82" s="708"/>
    </row>
    <row r="83" spans="2:9">
      <c r="B83" s="707"/>
      <c r="C83" s="655"/>
      <c r="D83" s="655"/>
      <c r="E83" s="655"/>
      <c r="F83" s="655"/>
      <c r="G83" s="655"/>
      <c r="H83" s="655"/>
      <c r="I83" s="721" t="s">
        <v>3750</v>
      </c>
    </row>
    <row r="84" spans="2:9">
      <c r="B84" s="709" t="s">
        <v>3751</v>
      </c>
      <c r="C84" s="655"/>
      <c r="D84" s="655"/>
      <c r="E84" s="655"/>
      <c r="F84" s="1956">
        <f>+F82+F80+F74+F68</f>
        <v>15008000</v>
      </c>
      <c r="G84" s="1956"/>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1574</v>
      </c>
      <c r="O1" s="2671"/>
      <c r="P1" s="2671"/>
      <c r="Q1" s="2671"/>
      <c r="R1" s="2671"/>
      <c r="S1" s="2671"/>
      <c r="T1" s="2671"/>
      <c r="U1" s="2671"/>
      <c r="V1" s="2671"/>
      <c r="W1" s="2671"/>
      <c r="X1" s="2671"/>
      <c r="Y1" s="2671"/>
      <c r="Z1" s="2671"/>
    </row>
    <row r="3" spans="1:26">
      <c r="N3" s="2672" t="s">
        <v>1575</v>
      </c>
      <c r="O3" s="2672"/>
      <c r="P3" s="2672"/>
      <c r="Q3" s="2672"/>
      <c r="R3" s="2672"/>
      <c r="S3" s="2672"/>
      <c r="T3" s="2672"/>
      <c r="U3" s="2672"/>
      <c r="V3" s="2672"/>
      <c r="W3" s="2672"/>
      <c r="X3" s="2672"/>
      <c r="Y3" s="2672"/>
      <c r="Z3" s="2672"/>
    </row>
    <row r="4" spans="1:26">
      <c r="N4" s="2673" t="s">
        <v>1576</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740</v>
      </c>
    </row>
    <row r="6" spans="1:26" ht="57" customHeight="1">
      <c r="A6" s="2676" t="s">
        <v>3009</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745</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2003</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4240</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1825</v>
      </c>
      <c r="B14" s="2680" t="s">
        <v>4056</v>
      </c>
      <c r="C14" s="2680"/>
      <c r="D14" s="2680"/>
      <c r="E14" s="2680"/>
      <c r="F14" s="2680"/>
      <c r="G14" s="2680"/>
      <c r="H14" s="2680"/>
      <c r="I14" s="2680"/>
      <c r="J14" s="2680"/>
      <c r="K14" s="2680"/>
      <c r="L14" s="2680"/>
      <c r="M14" s="2680"/>
    </row>
    <row r="15" spans="1:26" ht="57" customHeight="1">
      <c r="A15" s="2679" t="s">
        <v>1826</v>
      </c>
      <c r="B15" s="2680" t="s">
        <v>3010</v>
      </c>
      <c r="C15" s="2680"/>
      <c r="D15" s="2680"/>
      <c r="E15" s="2680"/>
      <c r="F15" s="2680"/>
      <c r="G15" s="2680"/>
      <c r="H15" s="2680"/>
      <c r="I15" s="2680"/>
      <c r="J15" s="2680"/>
      <c r="K15" s="2680"/>
      <c r="L15" s="2680"/>
      <c r="M15" s="2680"/>
    </row>
    <row r="16" spans="1:26" ht="117.75" customHeight="1">
      <c r="A16" s="2679" t="s">
        <v>1827</v>
      </c>
      <c r="B16" s="2680" t="s">
        <v>675</v>
      </c>
      <c r="C16" s="2680"/>
      <c r="D16" s="2680"/>
      <c r="E16" s="2680"/>
      <c r="F16" s="2680"/>
      <c r="G16" s="2680"/>
      <c r="H16" s="2680"/>
      <c r="I16" s="2680"/>
      <c r="J16" s="2680"/>
      <c r="K16" s="2680"/>
      <c r="L16" s="2680"/>
      <c r="M16" s="2680"/>
    </row>
    <row r="17" spans="1:13" ht="147.75" customHeight="1">
      <c r="A17" s="2679" t="s">
        <v>2477</v>
      </c>
      <c r="B17" s="2680" t="s">
        <v>4055</v>
      </c>
      <c r="C17" s="2680"/>
      <c r="D17" s="2680"/>
      <c r="E17" s="2680"/>
      <c r="F17" s="2680"/>
      <c r="G17" s="2680"/>
      <c r="H17" s="2680"/>
      <c r="I17" s="2680"/>
      <c r="J17" s="2680"/>
      <c r="K17" s="2680"/>
      <c r="L17" s="2680"/>
      <c r="M17" s="2680"/>
    </row>
    <row r="18" spans="1:13" ht="42" customHeight="1">
      <c r="A18" s="2679" t="s">
        <v>1626</v>
      </c>
      <c r="B18" s="2680" t="s">
        <v>719</v>
      </c>
      <c r="C18" s="2680"/>
      <c r="D18" s="2680"/>
      <c r="E18" s="2680"/>
      <c r="F18" s="2680"/>
      <c r="G18" s="2680"/>
      <c r="H18" s="2680"/>
      <c r="I18" s="2680"/>
      <c r="J18" s="2680"/>
      <c r="K18" s="2680"/>
      <c r="L18" s="2680"/>
      <c r="M18" s="2680"/>
    </row>
    <row r="19" spans="1:13" ht="177" customHeight="1">
      <c r="A19" s="2679" t="s">
        <v>1627</v>
      </c>
      <c r="B19" s="2680" t="s">
        <v>4054</v>
      </c>
      <c r="C19" s="2680"/>
      <c r="D19" s="2680"/>
      <c r="E19" s="2680"/>
      <c r="F19" s="2680"/>
      <c r="G19" s="2680"/>
      <c r="H19" s="2680"/>
      <c r="I19" s="2680"/>
      <c r="J19" s="2680"/>
      <c r="K19" s="2680"/>
      <c r="L19" s="2680"/>
      <c r="M19" s="2680"/>
    </row>
    <row r="20" spans="1:13" ht="74.25" customHeight="1">
      <c r="A20" s="2679" t="s">
        <v>100</v>
      </c>
      <c r="B20" s="2681" t="s">
        <v>4241</v>
      </c>
      <c r="C20" s="2681"/>
      <c r="D20" s="2681"/>
      <c r="E20" s="2681"/>
      <c r="F20" s="2681"/>
      <c r="G20" s="2681"/>
      <c r="H20" s="2681"/>
      <c r="I20" s="2681"/>
      <c r="J20" s="2681"/>
      <c r="K20" s="2681"/>
      <c r="L20" s="2681"/>
      <c r="M20" s="2681"/>
    </row>
    <row r="21" spans="1:13" ht="61.5" customHeight="1">
      <c r="A21" s="2679" t="s">
        <v>535</v>
      </c>
      <c r="B21" s="2680" t="s">
        <v>4060</v>
      </c>
      <c r="C21" s="2680"/>
      <c r="D21" s="2680"/>
      <c r="E21" s="2680"/>
      <c r="F21" s="2680"/>
      <c r="G21" s="2680"/>
      <c r="H21" s="2680"/>
      <c r="I21" s="2680"/>
      <c r="J21" s="2680"/>
      <c r="K21" s="2680"/>
      <c r="L21" s="2680"/>
      <c r="M21" s="2680"/>
    </row>
    <row r="22" spans="1:13" ht="32.450000000000003" customHeight="1">
      <c r="A22" s="2679" t="s">
        <v>536</v>
      </c>
      <c r="B22" s="2680" t="s">
        <v>4242</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1539</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3" t="s">
        <v>1540</v>
      </c>
      <c r="B26" s="2680" t="s">
        <v>4243</v>
      </c>
      <c r="C26" s="2680"/>
      <c r="D26" s="2680"/>
      <c r="E26" s="2680"/>
      <c r="F26" s="2680"/>
      <c r="G26" s="2680"/>
      <c r="H26" s="2680"/>
      <c r="I26" s="2680"/>
      <c r="J26" s="2680"/>
      <c r="K26" s="2680"/>
      <c r="L26" s="2680"/>
      <c r="M26" s="2680"/>
    </row>
    <row r="27" spans="1:13" ht="32.450000000000003" customHeight="1">
      <c r="A27" s="963" t="s">
        <v>1540</v>
      </c>
      <c r="B27" s="2680" t="s">
        <v>4244</v>
      </c>
      <c r="C27" s="2680"/>
      <c r="D27" s="2680"/>
      <c r="E27" s="2680"/>
      <c r="F27" s="2680"/>
      <c r="G27" s="2680"/>
      <c r="H27" s="2680"/>
      <c r="I27" s="2680"/>
      <c r="J27" s="2680"/>
      <c r="K27" s="2680"/>
      <c r="L27" s="2680"/>
      <c r="M27" s="2680"/>
    </row>
    <row r="28" spans="1:13" ht="72.75" customHeight="1">
      <c r="A28" s="963" t="s">
        <v>1540</v>
      </c>
      <c r="B28" s="2680" t="s">
        <v>3011</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990</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3012</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966</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967</v>
      </c>
      <c r="B37" s="2685"/>
      <c r="C37" s="2685"/>
      <c r="D37" s="2685"/>
      <c r="E37" s="2685"/>
      <c r="F37" s="2685"/>
      <c r="G37" s="2684"/>
      <c r="H37" s="2685" t="s">
        <v>2078</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968</v>
      </c>
      <c r="B40" s="2685"/>
      <c r="C40" s="2685"/>
      <c r="D40" s="2685"/>
      <c r="E40" s="2685"/>
      <c r="F40" s="2685"/>
      <c r="G40" s="2684"/>
      <c r="H40" s="2685" t="s">
        <v>969</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970</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hTMra1WmzGNUxevBAb9VfYnFLEu0El4t0PcktWh644UMFGl2m0/O26eokadwmntno3vulfoYLi14hejJgFm6Qw==" saltValue="bBM7gkrcgXaUmG6oDWS7f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3815</v>
      </c>
      <c r="G12" s="2002"/>
      <c r="H12" s="2002"/>
      <c r="I12" s="2002"/>
      <c r="J12" s="2003"/>
      <c r="K12" s="315"/>
      <c r="L12" s="740" t="s">
        <v>3813</v>
      </c>
      <c r="M12" s="315"/>
      <c r="N12" s="2001" t="s">
        <v>3815</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1998">
        <v>75</v>
      </c>
      <c r="R82" s="199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0">
        <v>0.15</v>
      </c>
      <c r="R110" s="2000"/>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0">
        <v>0.35</v>
      </c>
      <c r="R112" s="2000"/>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0" t="s">
        <v>3134</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3886</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3886</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3886</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3886</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3886</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3886</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3886</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3886</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3886</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3883</v>
      </c>
      <c r="V282" s="484" t="s">
        <v>3886</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3886</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3886</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3886</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3886</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3886</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3886</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4"/>
      <c r="O666" s="2005"/>
      <c r="P666" s="2005"/>
      <c r="Q666" s="2006"/>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K5B1aI6K3hWJ0F6mDandYcnO8CKOQZuSBZVcr+Le/BfYsYbJrnWq7tR6Qzg1vUoLVvBAWNEM/Y1HbxeFIzdtpA==" saltValue="j5Xrlo6W/40x/XXhIbbEx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1" width="10.85546875" style="926" bestFit="1" customWidth="1"/>
    <col min="12"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Lakeview Apartments</v>
      </c>
    </row>
    <row r="3" spans="1:16">
      <c r="A3" s="926" t="str">
        <f>'Project Narrative'!A3</f>
        <v>Fort Valley, Peach County</v>
      </c>
    </row>
    <row r="5" spans="1:16">
      <c r="A5" s="926" t="str">
        <f>'Project Narrative'!A5</f>
        <v xml:space="preserve">Housing Systems, Inc. (“HSI”) is proposing a full rehab of the Lakeview Apartments (“subject property”), located at 1105 Edward Street. The subject property was constructed in 1972 and has had no major renovations since that time.  The property will consist of 1 clubhouse/laundry facility and 96 residential units containing approximately 90,000 sq. ft. of heated space, with the following unit mix: 10 efficiencies containing 506 sq. ft., 14 one-bedroom one bath units containing 660 sq. ft and 34 two-bedroom one bath units containing 914 sq. ft.  Currently there are 26 three-bedroom one bath units and 12 four-bedroom one bath. As part of the renovation we will be adding size and an additional bathroom to all 3 and 4 bedroom units and the anticipated square footage upon completion is 1,107 and 1,250 respectively.  
HSI is requesting an allocation of state and federal Low Income Housing Tax Credits from the Georgia Department of Community Affairs.  The tax credits will be sold to investors and the proceeds will be used to facilitate the proposed renovation of the subject property.  The total renovation budget is in excess of $8,000,000 and includes the following improvements:
                                                                                                                                                                                                                                                                                                                                                          A complete rehabilitation including (but not limited to) these items
• Complete exterior transformation.
• Install new pitched roofs
• All new 20 year architectural shingles, with 15 pound felt
• Interior of units will be taken down to the studs with new mechanicals, plumbing and electrical.  Units will receive all new sheetrock on walls and ceiling and new flooring throughout
• Add bath to all 3 and 4 bedroom units
•  Rebuild and expand the leasing office, adding a resident business center, resident  
      community room, and activty/craft room.
• In all kitchens:
     remove and replace cabinets and countertops, 
     remove and replace all sinks and faucets 
     replace appliances 
     remove flooring and replace with new  flooring
     replace all lighting fixtures
• In all bathrooms:
       remove and replace sinks and faucets
       replace existing vanity and mirrors
       replace all fans and lighting fixtures
       replace all tub surrounds
       replace all bathtubs
       replace vinyl flooring
       replace all toilets
• Repaint unit interior
• Install new flooring throughout unit
• Install new window treatments 
• Replace interior pre-hung wood doors
• Replace exterior doors
• Replace existing and upgrade exterior and interior lighting
• Install new exterior site lighting around the property
• Repair/Replace plumbing and underground pipes
• Remove all Condensing units currently located on roof
• Replace existing HVAC (condensers and furnaces)
• Create new play areas w/equipment for the children
• Add gazebos and covered social area equipped with grills around play areas
• Install new foundation landscaping and upgrade property common    
      areas
• Installation of new site and building signage
• Patch, seal coat and re-stripe parking areas
• Install new property signage and landscaping
  All the above listed improvements will be made without increasing the residents monthly rent, due to the HUD Project based Section 8 contract that covers 100% of the units. This contract will ensure our residents quality housing that will not cost them more than 30% of their monthly income.
</v>
      </c>
    </row>
    <row r="7" spans="1:16">
      <c r="A7" s="2689" t="str">
        <f>CONCATENATE("PART ONE - PROJECT INFORMATION"," - ",$O$4," ",$F$24,", ",'Part I-Project Information'!F34,", ",'Part I-Project Information'!J35," County")</f>
        <v>PART ONE - PROJECT INFORMATION -  GA,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2476</v>
      </c>
      <c r="C9" s="2691"/>
      <c r="D9" s="2691"/>
      <c r="E9" s="2691"/>
      <c r="F9" s="2690"/>
      <c r="G9" s="2693" t="s">
        <v>4543</v>
      </c>
      <c r="H9" s="2691"/>
      <c r="I9" s="2691"/>
      <c r="J9" s="2691"/>
      <c r="K9" s="2691"/>
      <c r="L9" s="2690"/>
      <c r="M9" s="2691"/>
      <c r="N9" s="2691"/>
      <c r="O9" s="2689" t="s">
        <v>2827</v>
      </c>
      <c r="P9" s="2689"/>
    </row>
    <row r="10" spans="1:16" ht="13.5">
      <c r="A10" s="2690"/>
      <c r="B10" s="2694"/>
      <c r="C10" s="2691"/>
      <c r="D10" s="2691"/>
      <c r="E10" s="2691"/>
      <c r="F10" s="2690"/>
      <c r="G10" s="2693" t="s">
        <v>4544</v>
      </c>
      <c r="H10" s="2695"/>
      <c r="I10" s="2695"/>
      <c r="J10" s="2695"/>
      <c r="K10" s="2691"/>
      <c r="L10" s="2691"/>
      <c r="M10" s="2691"/>
      <c r="N10" s="2691"/>
      <c r="O10" s="2689" t="str">
        <f>'Part I-Project Information'!O4</f>
        <v>2015-056</v>
      </c>
      <c r="P10" s="2689"/>
    </row>
    <row r="11" spans="1:16">
      <c r="A11" s="2690"/>
      <c r="B11" s="2694"/>
      <c r="C11" s="2694"/>
      <c r="D11" s="2696"/>
      <c r="E11" s="2691"/>
      <c r="F11" s="2694"/>
      <c r="G11" s="2696" t="s">
        <v>3770</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647</v>
      </c>
      <c r="B13" s="2694" t="s">
        <v>2489</v>
      </c>
      <c r="C13" s="2691"/>
      <c r="D13" s="2697"/>
      <c r="E13" s="2698"/>
      <c r="F13" s="2699" t="s">
        <v>1802</v>
      </c>
      <c r="G13" s="2691"/>
      <c r="H13" s="2691"/>
      <c r="I13" s="2691"/>
      <c r="J13" s="2700">
        <f>'Part I-Project Information'!J7</f>
        <v>1000000</v>
      </c>
      <c r="K13" s="2700"/>
      <c r="L13" s="2691"/>
      <c r="M13" s="2695"/>
      <c r="N13" s="2691"/>
      <c r="O13" s="2691"/>
      <c r="P13" s="2691"/>
    </row>
    <row r="14" spans="1:16">
      <c r="A14" s="524"/>
      <c r="B14" s="524"/>
      <c r="C14" s="521"/>
      <c r="E14" s="2701"/>
      <c r="F14" s="2691" t="s">
        <v>1348</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780</v>
      </c>
      <c r="B16" s="2694" t="s">
        <v>2141</v>
      </c>
      <c r="C16" s="2691"/>
      <c r="D16" s="2691"/>
      <c r="E16" s="2691"/>
      <c r="F16" s="2703" t="str">
        <f>'Part I-Project Information'!F10</f>
        <v>Competitive Round</v>
      </c>
      <c r="G16" s="2703"/>
      <c r="H16" s="2703"/>
      <c r="I16" s="2704"/>
      <c r="J16" s="2694" t="s">
        <v>4545</v>
      </c>
      <c r="K16" s="2694"/>
      <c r="L16" s="2695"/>
      <c r="M16" s="2691"/>
      <c r="N16" s="2691"/>
      <c r="O16" s="2705" t="str">
        <f>'Part I-Project Information'!O10</f>
        <v>2015PA-020</v>
      </c>
      <c r="P16" s="2705"/>
    </row>
    <row r="17" spans="1:16">
      <c r="A17" s="2690"/>
      <c r="B17" s="2691"/>
      <c r="C17" s="2691"/>
      <c r="D17" s="2691"/>
      <c r="E17" s="2691"/>
      <c r="F17" s="2691"/>
      <c r="G17" s="2691"/>
      <c r="H17" s="2695"/>
      <c r="I17" s="2691"/>
      <c r="J17" s="2699" t="s">
        <v>2916</v>
      </c>
      <c r="K17" s="2692"/>
      <c r="L17" s="2691"/>
      <c r="M17" s="2695"/>
      <c r="N17" s="2691"/>
      <c r="O17" s="2705" t="str">
        <f>'Part I-Project Information'!O11</f>
        <v>No</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782</v>
      </c>
      <c r="B19" s="2694" t="s">
        <v>1548</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2410</v>
      </c>
      <c r="C21" s="2691"/>
      <c r="D21" s="2691"/>
      <c r="E21" s="2691"/>
      <c r="F21" s="2706" t="str">
        <f>'Part I-Project Information'!F15</f>
        <v>Doug Trivers</v>
      </c>
      <c r="G21" s="2706"/>
      <c r="H21" s="2706"/>
      <c r="I21" s="2706"/>
      <c r="J21" s="2706"/>
      <c r="K21" s="2706"/>
      <c r="L21" s="2706"/>
      <c r="M21" s="2699" t="s">
        <v>2078</v>
      </c>
      <c r="N21" s="2706" t="str">
        <f>'Part I-Project Information'!N15</f>
        <v>Member</v>
      </c>
      <c r="O21" s="2706"/>
      <c r="P21" s="2706"/>
    </row>
    <row r="22" spans="1:16">
      <c r="A22" s="2691"/>
      <c r="B22" s="2699" t="s">
        <v>2079</v>
      </c>
      <c r="C22" s="2691"/>
      <c r="D22" s="2691"/>
      <c r="E22" s="2691"/>
      <c r="F22" s="2706" t="str">
        <f>'Part I-Project Information'!F16</f>
        <v>5505 Interstate North Parkway, NW</v>
      </c>
      <c r="G22" s="2706"/>
      <c r="H22" s="2706"/>
      <c r="I22" s="2706"/>
      <c r="J22" s="2706"/>
      <c r="K22" s="2706"/>
      <c r="L22" s="2706"/>
      <c r="M22" s="2699" t="s">
        <v>1808</v>
      </c>
      <c r="N22" s="2691"/>
      <c r="O22" s="2707">
        <f>'Part I-Project Information'!O16</f>
        <v>6788161329</v>
      </c>
      <c r="P22" s="2707"/>
    </row>
    <row r="23" spans="1:16">
      <c r="A23" s="2691"/>
      <c r="B23" s="2699" t="s">
        <v>649</v>
      </c>
      <c r="C23" s="2691"/>
      <c r="D23" s="2691"/>
      <c r="E23" s="2691"/>
      <c r="F23" s="2706" t="str">
        <f>'Part I-Project Information'!F17</f>
        <v>Atlanta</v>
      </c>
      <c r="G23" s="2706"/>
      <c r="H23" s="2706"/>
      <c r="I23" s="2691"/>
      <c r="J23" s="2691"/>
      <c r="K23" s="2691"/>
      <c r="L23" s="2691"/>
      <c r="M23" s="2699" t="s">
        <v>1890</v>
      </c>
      <c r="N23" s="2691"/>
      <c r="O23" s="2707">
        <f>'Part I-Project Information'!O17</f>
        <v>6788161299</v>
      </c>
      <c r="P23" s="2707"/>
    </row>
    <row r="24" spans="1:16">
      <c r="A24" s="2691"/>
      <c r="B24" s="2699" t="s">
        <v>1887</v>
      </c>
      <c r="C24" s="2691"/>
      <c r="D24" s="2691"/>
      <c r="E24" s="2691"/>
      <c r="F24" s="2708" t="str">
        <f>'Part I-Project Information'!F18</f>
        <v>GA</v>
      </c>
      <c r="G24" s="2691"/>
      <c r="H24" s="2691"/>
      <c r="I24" s="2695" t="s">
        <v>2336</v>
      </c>
      <c r="J24" s="2709">
        <f>'Part I-Project Information'!J18</f>
        <v>303285836</v>
      </c>
      <c r="K24" s="2709"/>
      <c r="L24" s="2691"/>
      <c r="M24" s="2699" t="s">
        <v>2077</v>
      </c>
      <c r="N24" s="2691"/>
      <c r="O24" s="2707">
        <f>'Part I-Project Information'!O18</f>
        <v>0</v>
      </c>
      <c r="P24" s="2707"/>
    </row>
    <row r="25" spans="1:16">
      <c r="A25" s="2691"/>
      <c r="B25" s="2699" t="s">
        <v>1807</v>
      </c>
      <c r="C25" s="2691"/>
      <c r="D25" s="2691"/>
      <c r="E25" s="2691"/>
      <c r="F25" s="2707">
        <f>'Part I-Project Information'!F19</f>
        <v>6788161329</v>
      </c>
      <c r="G25" s="2707"/>
      <c r="H25" s="2707"/>
      <c r="I25" s="2695" t="s">
        <v>1806</v>
      </c>
      <c r="J25" s="2695">
        <f>'Part I-Project Information'!J19</f>
        <v>0</v>
      </c>
      <c r="K25" s="2695" t="s">
        <v>2082</v>
      </c>
      <c r="L25" s="2706" t="str">
        <f>'Part I-Project Information'!L19</f>
        <v>dtrivers@hsimanagement.com</v>
      </c>
      <c r="M25" s="2706"/>
      <c r="N25" s="2706"/>
      <c r="O25" s="2706"/>
      <c r="P25" s="2706"/>
    </row>
    <row r="26" spans="1:16" ht="13.5">
      <c r="A26" s="2694"/>
      <c r="B26" s="2693" t="s">
        <v>689</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1880</v>
      </c>
      <c r="B28" s="2694" t="s">
        <v>1549</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648</v>
      </c>
      <c r="C30" s="2691"/>
      <c r="D30" s="2694"/>
      <c r="E30" s="2691"/>
      <c r="F30" s="2711" t="str">
        <f>'Part I-Project Information'!F24</f>
        <v>Lakeview Apartments</v>
      </c>
      <c r="G30" s="2711"/>
      <c r="H30" s="2711"/>
      <c r="I30" s="2711"/>
      <c r="J30" s="2711"/>
      <c r="K30" s="2711"/>
      <c r="L30" s="2711"/>
      <c r="M30" s="2699" t="s">
        <v>2295</v>
      </c>
      <c r="N30" s="2691"/>
      <c r="O30" s="2706" t="str">
        <f>'Part I-Project Information'!O24</f>
        <v>No</v>
      </c>
      <c r="P30" s="2706"/>
    </row>
    <row r="31" spans="1:16">
      <c r="A31" s="2712"/>
      <c r="B31" s="2691" t="s">
        <v>2861</v>
      </c>
      <c r="C31" s="2691"/>
      <c r="D31" s="2702"/>
      <c r="E31" s="2691"/>
      <c r="F31" s="2711" t="str">
        <f>'Part I-Project Information'!F25</f>
        <v>1105 Edward Street</v>
      </c>
      <c r="G31" s="2711"/>
      <c r="H31" s="2711"/>
      <c r="I31" s="2711"/>
      <c r="J31" s="2711"/>
      <c r="K31" s="2711"/>
      <c r="L31" s="2711"/>
      <c r="M31" s="2699" t="s">
        <v>2151</v>
      </c>
      <c r="N31" s="2691"/>
      <c r="O31" s="2706" t="str">
        <f>'Part I-Project Information'!O25</f>
        <v>No</v>
      </c>
      <c r="P31" s="2706"/>
    </row>
    <row r="32" spans="1:16">
      <c r="A32" s="2712"/>
      <c r="B32" s="2691" t="s">
        <v>4546</v>
      </c>
      <c r="C32" s="2691"/>
      <c r="D32" s="2702"/>
      <c r="E32" s="2691"/>
      <c r="F32" s="2711">
        <f>'Part I-Project Information'!F26</f>
        <v>0</v>
      </c>
      <c r="G32" s="2711"/>
      <c r="H32" s="2711"/>
      <c r="I32" s="2711"/>
      <c r="J32" s="2711"/>
      <c r="K32" s="2711"/>
      <c r="L32" s="2711"/>
      <c r="M32" s="2699" t="s">
        <v>2920</v>
      </c>
      <c r="N32" s="2691"/>
      <c r="O32" s="2706">
        <f>'Part I-Project Information'!O26</f>
        <v>0</v>
      </c>
      <c r="P32" s="2706"/>
    </row>
    <row r="33" spans="1:16">
      <c r="A33" s="2712"/>
      <c r="B33" s="2691" t="s">
        <v>3086</v>
      </c>
      <c r="C33" s="2691"/>
      <c r="D33" s="2702"/>
      <c r="E33" s="2691"/>
      <c r="F33" s="2711" t="str">
        <f>'Part I-Project Information'!F27</f>
        <v>32.542998,-83.890380</v>
      </c>
      <c r="G33" s="2711"/>
      <c r="H33" s="2711"/>
      <c r="I33" s="2711"/>
      <c r="J33" s="2711"/>
      <c r="K33" s="2711"/>
      <c r="L33" s="2711"/>
      <c r="M33" s="2699" t="s">
        <v>2392</v>
      </c>
      <c r="N33" s="2691"/>
      <c r="O33" s="2713">
        <f>'Part I-Project Information'!O27</f>
        <v>12.04</v>
      </c>
      <c r="P33" s="2713"/>
    </row>
    <row r="34" spans="1:16" ht="16.5">
      <c r="A34" s="2690"/>
      <c r="B34" s="2691" t="s">
        <v>649</v>
      </c>
      <c r="C34" s="2691"/>
      <c r="D34" s="2691"/>
      <c r="E34" s="2691"/>
      <c r="F34" s="2706" t="str">
        <f>'Part I-Project Information'!F28</f>
        <v>Fort Valley</v>
      </c>
      <c r="G34" s="2706"/>
      <c r="H34" s="2706"/>
      <c r="I34" s="2704" t="s">
        <v>4547</v>
      </c>
      <c r="J34" s="2709">
        <f>'Part I-Project Information'!J28</f>
        <v>310302916</v>
      </c>
      <c r="K34" s="2709"/>
      <c r="L34" s="2694" t="str">
        <f>IF(AND(NOT(F30=""),NOT(F34="Select from list"),J34=""),"Enter Zip!","")</f>
        <v/>
      </c>
      <c r="M34" s="2714" t="s">
        <v>3327</v>
      </c>
      <c r="N34" s="2691"/>
      <c r="O34" s="2715" t="str">
        <f>'Part I-Project Information'!O28</f>
        <v>404.00</v>
      </c>
      <c r="P34" s="2716"/>
    </row>
    <row r="35" spans="1:16">
      <c r="A35" s="2690"/>
      <c r="B35" s="2691" t="s">
        <v>3065</v>
      </c>
      <c r="C35" s="2691"/>
      <c r="D35" s="2691"/>
      <c r="E35" s="2691"/>
      <c r="F35" s="2706" t="str">
        <f>'Part I-Project Information'!F29</f>
        <v>Within City Limits</v>
      </c>
      <c r="G35" s="2706"/>
      <c r="H35" s="2706"/>
      <c r="I35" s="2717" t="s">
        <v>650</v>
      </c>
      <c r="J35" s="2711" t="str">
        <f>'Part I-Project Information'!J29</f>
        <v>Peach</v>
      </c>
      <c r="K35" s="2711"/>
      <c r="L35" s="2691"/>
      <c r="M35" s="2699" t="s">
        <v>470</v>
      </c>
      <c r="N35" s="2718" t="str">
        <f>'Part I-Project Information'!N29</f>
        <v>Yes</v>
      </c>
      <c r="O35" s="2702" t="s">
        <v>471</v>
      </c>
      <c r="P35" s="2718" t="str">
        <f>'Part I-Project Information'!P29</f>
        <v>Yes</v>
      </c>
    </row>
    <row r="36" spans="1:16">
      <c r="A36" s="2690"/>
      <c r="B36" s="2694"/>
      <c r="C36" s="2691" t="s">
        <v>1635</v>
      </c>
      <c r="D36" s="2691"/>
      <c r="E36" s="2691"/>
      <c r="F36" s="2699" t="str">
        <f>'Part I-Project Information'!F30</f>
        <v>Yes</v>
      </c>
      <c r="G36" s="2705" t="s">
        <v>3087</v>
      </c>
      <c r="H36" s="2705"/>
      <c r="I36" s="2695" t="str">
        <f>'Part I-Project Information'!I30</f>
        <v>Yes</v>
      </c>
      <c r="J36" s="2695" t="s">
        <v>3108</v>
      </c>
      <c r="K36" s="2695" t="str">
        <f>IF(OR(F36="Yes",I36="Yes"),"Rural","Urban")</f>
        <v>Rural</v>
      </c>
      <c r="L36" s="2691"/>
      <c r="M36" s="2699" t="s">
        <v>2739</v>
      </c>
      <c r="N36" s="2690" t="str">
        <f>'Part I-Project Information'!N30</f>
        <v>Non-MSA</v>
      </c>
      <c r="O36" s="2706" t="str">
        <f>'Part I-Project Information'!O30</f>
        <v>Peach Co.</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4548</v>
      </c>
      <c r="D38" s="2691"/>
      <c r="E38" s="2691"/>
      <c r="F38" s="2720" t="s">
        <v>3032</v>
      </c>
      <c r="G38" s="2720"/>
      <c r="H38" s="2705" t="s">
        <v>776</v>
      </c>
      <c r="I38" s="2705"/>
      <c r="J38" s="2705" t="s">
        <v>777</v>
      </c>
      <c r="K38" s="2705"/>
      <c r="L38" s="2721" t="s">
        <v>4371</v>
      </c>
      <c r="M38" s="2691"/>
      <c r="N38" s="2691"/>
      <c r="O38" s="2691"/>
      <c r="P38" s="2691"/>
    </row>
    <row r="39" spans="1:16">
      <c r="A39" s="2690"/>
      <c r="B39" s="2691" t="s">
        <v>4549</v>
      </c>
      <c r="C39" s="2691"/>
      <c r="D39" s="2694"/>
      <c r="E39" s="2691"/>
      <c r="F39" s="2722">
        <f>'Part I-Project Information'!F33</f>
        <v>2</v>
      </c>
      <c r="G39" s="2722"/>
      <c r="H39" s="2722">
        <f>'Part I-Project Information'!H33</f>
        <v>18</v>
      </c>
      <c r="I39" s="2722"/>
      <c r="J39" s="2722">
        <f>'Part I-Project Information'!J33</f>
        <v>139</v>
      </c>
      <c r="K39" s="2722"/>
      <c r="L39" s="2696" t="s">
        <v>1344</v>
      </c>
      <c r="M39" s="2691"/>
      <c r="N39" s="2723" t="s">
        <v>1345</v>
      </c>
      <c r="O39" s="2723"/>
      <c r="P39" s="2723"/>
    </row>
    <row r="40" spans="1:16">
      <c r="A40" s="2690"/>
      <c r="B40" s="2699" t="s">
        <v>778</v>
      </c>
      <c r="C40" s="2691"/>
      <c r="D40" s="2691"/>
      <c r="E40" s="2691"/>
      <c r="F40" s="2722">
        <f>'Part I-Project Information'!F34</f>
        <v>0</v>
      </c>
      <c r="G40" s="2722"/>
      <c r="H40" s="2722">
        <f>'Part I-Project Information'!H34</f>
        <v>0</v>
      </c>
      <c r="I40" s="2722"/>
      <c r="J40" s="2722">
        <f>'Part I-Project Information'!J34</f>
        <v>0</v>
      </c>
      <c r="K40" s="2722"/>
      <c r="L40" s="2696" t="s">
        <v>3030</v>
      </c>
      <c r="M40" s="2691"/>
      <c r="N40" s="2723" t="s">
        <v>3029</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668</v>
      </c>
      <c r="C42" s="2691"/>
      <c r="D42" s="2691"/>
      <c r="E42" s="2691"/>
      <c r="F42" s="2724" t="str">
        <f>'Part I-Project Information'!F36</f>
        <v>City of Fort Valley</v>
      </c>
      <c r="G42" s="2724"/>
      <c r="H42" s="2724"/>
      <c r="I42" s="2724"/>
      <c r="J42" s="2724"/>
      <c r="K42" s="2724"/>
      <c r="L42" s="2691"/>
      <c r="M42" s="2725" t="s">
        <v>2874</v>
      </c>
      <c r="N42" s="2706" t="str">
        <f>'Part I-Project Information'!N36</f>
        <v>http://www.fortvalleyusa.com/</v>
      </c>
      <c r="O42" s="2706"/>
      <c r="P42" s="2706"/>
    </row>
    <row r="43" spans="1:16">
      <c r="A43" s="2690"/>
      <c r="B43" s="2691" t="s">
        <v>669</v>
      </c>
      <c r="C43" s="2691"/>
      <c r="D43" s="2691"/>
      <c r="E43" s="2691"/>
      <c r="F43" s="2724" t="str">
        <f>'Part I-Project Information'!F37</f>
        <v>Barbara Williams</v>
      </c>
      <c r="G43" s="2724"/>
      <c r="H43" s="2724"/>
      <c r="I43" s="2695" t="s">
        <v>2078</v>
      </c>
      <c r="J43" s="2706" t="str">
        <f>'Part I-Project Information'!J37</f>
        <v>Mayor</v>
      </c>
      <c r="K43" s="2706"/>
      <c r="L43" s="2706"/>
      <c r="M43" s="2699" t="s">
        <v>1888</v>
      </c>
      <c r="N43" s="2706" t="str">
        <f>'Part I-Project Information'!N37</f>
        <v>bwilliams@fortvalleyusa.com</v>
      </c>
      <c r="O43" s="2706"/>
      <c r="P43" s="2706"/>
    </row>
    <row r="44" spans="1:16">
      <c r="A44" s="2690"/>
      <c r="B44" s="2691" t="s">
        <v>2079</v>
      </c>
      <c r="C44" s="2691"/>
      <c r="D44" s="2691"/>
      <c r="E44" s="2691"/>
      <c r="F44" s="2724" t="str">
        <f>'Part I-Project Information'!F38</f>
        <v>204 West Church Street</v>
      </c>
      <c r="G44" s="2724"/>
      <c r="H44" s="2724"/>
      <c r="I44" s="2724"/>
      <c r="J44" s="2724"/>
      <c r="K44" s="2724"/>
      <c r="L44" s="2691"/>
      <c r="M44" s="2699" t="s">
        <v>649</v>
      </c>
      <c r="N44" s="2706" t="str">
        <f>'Part I-Project Information'!N38</f>
        <v>Fort Valley</v>
      </c>
      <c r="O44" s="2706"/>
      <c r="P44" s="2706"/>
    </row>
    <row r="45" spans="1:16">
      <c r="A45" s="2690"/>
      <c r="B45" s="2699" t="s">
        <v>2336</v>
      </c>
      <c r="C45" s="2691"/>
      <c r="D45" s="2691"/>
      <c r="E45" s="2691"/>
      <c r="F45" s="2726">
        <f>'Part I-Project Information'!F39</f>
        <v>310303750</v>
      </c>
      <c r="G45" s="2726"/>
      <c r="H45" s="2695" t="s">
        <v>2080</v>
      </c>
      <c r="I45" s="2727">
        <f>'Part I-Project Information'!I39</f>
        <v>4788258567</v>
      </c>
      <c r="J45" s="2727"/>
      <c r="K45" s="2727"/>
      <c r="L45" s="2691"/>
      <c r="M45" s="2699" t="s">
        <v>1890</v>
      </c>
      <c r="N45" s="2707">
        <f>'Part I-Project Information'!N39</f>
        <v>4788253654</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1882</v>
      </c>
      <c r="B47" s="2694" t="s">
        <v>1550</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2081</v>
      </c>
      <c r="C49" s="2694" t="s">
        <v>4550</v>
      </c>
      <c r="D49" s="2691"/>
      <c r="E49" s="2691"/>
      <c r="F49" s="2691"/>
      <c r="G49" s="2691"/>
      <c r="H49" s="2691"/>
      <c r="I49" s="2691"/>
      <c r="J49" s="2691"/>
      <c r="K49" s="2696"/>
      <c r="L49" s="2691"/>
      <c r="M49" s="2730"/>
      <c r="N49" s="2730"/>
      <c r="O49" s="2730"/>
      <c r="P49" s="2730"/>
    </row>
    <row r="50" spans="1:16">
      <c r="A50" s="2697"/>
      <c r="B50" s="2690"/>
      <c r="C50" s="2691" t="s">
        <v>2404</v>
      </c>
      <c r="D50" s="2691"/>
      <c r="E50" s="2691"/>
      <c r="F50" s="2697"/>
      <c r="G50" s="2697"/>
      <c r="H50" s="2731">
        <f>'Part I-Project Information'!H44</f>
        <v>0</v>
      </c>
      <c r="I50" s="2697"/>
      <c r="J50" s="2697"/>
      <c r="K50" s="2699" t="s">
        <v>379</v>
      </c>
      <c r="L50" s="2691"/>
      <c r="M50" s="2697"/>
      <c r="N50" s="2697"/>
      <c r="O50" s="2697"/>
      <c r="P50" s="2731">
        <f>'Part I-Project Information'!P44</f>
        <v>0</v>
      </c>
    </row>
    <row r="51" spans="1:16">
      <c r="A51" s="2690"/>
      <c r="B51" s="2690"/>
      <c r="C51" s="2732" t="s">
        <v>360</v>
      </c>
      <c r="D51" s="2691"/>
      <c r="E51" s="2691"/>
      <c r="F51" s="2691"/>
      <c r="G51" s="2691"/>
      <c r="H51" s="2731">
        <f>'Part I-Project Information'!H45</f>
        <v>0</v>
      </c>
      <c r="I51" s="2691"/>
      <c r="J51" s="2691"/>
      <c r="K51" s="2732" t="s">
        <v>380</v>
      </c>
      <c r="L51" s="2691"/>
      <c r="M51" s="2691"/>
      <c r="N51" s="2691"/>
      <c r="O51" s="2691"/>
      <c r="P51" s="2731">
        <f>'Part I-Project Information'!P45</f>
        <v>0</v>
      </c>
    </row>
    <row r="52" spans="1:16">
      <c r="A52" s="2691"/>
      <c r="B52" s="2690"/>
      <c r="C52" s="2699" t="s">
        <v>359</v>
      </c>
      <c r="D52" s="2691"/>
      <c r="E52" s="2691"/>
      <c r="F52" s="2691"/>
      <c r="G52" s="2691"/>
      <c r="H52" s="2731">
        <f>'Part I-Project Information'!H46</f>
        <v>96</v>
      </c>
      <c r="I52" s="2733" t="s">
        <v>3335</v>
      </c>
      <c r="J52" s="2691"/>
      <c r="K52" s="2691" t="s">
        <v>361</v>
      </c>
      <c r="L52" s="2691"/>
      <c r="M52" s="2691"/>
      <c r="N52" s="2691"/>
      <c r="O52" s="2691"/>
      <c r="P52" s="2734">
        <f>'Part I-Project Information'!P46</f>
        <v>26298</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2084</v>
      </c>
      <c r="C54" s="2694" t="s">
        <v>2405</v>
      </c>
      <c r="D54" s="2691"/>
      <c r="E54" s="2691"/>
      <c r="F54" s="2691"/>
      <c r="G54" s="2691"/>
      <c r="H54" s="2695" t="str">
        <f>'Part I-Project Information'!H48</f>
        <v>No</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789</v>
      </c>
      <c r="C56" s="2694" t="s">
        <v>2385</v>
      </c>
      <c r="D56" s="2691"/>
      <c r="E56" s="2691"/>
      <c r="F56" s="2691"/>
      <c r="G56" s="2691"/>
      <c r="H56" s="2691"/>
      <c r="I56" s="2736" t="s">
        <v>4360</v>
      </c>
      <c r="J56" s="2712" t="s">
        <v>2216</v>
      </c>
      <c r="K56" s="2737" t="s">
        <v>2411</v>
      </c>
      <c r="L56" s="2691"/>
      <c r="M56" s="2691"/>
      <c r="N56" s="2691"/>
      <c r="O56" s="2691"/>
      <c r="P56" s="2695"/>
    </row>
    <row r="57" spans="1:16">
      <c r="A57" s="2690"/>
      <c r="B57" s="2708"/>
      <c r="C57" s="2697" t="s">
        <v>2386</v>
      </c>
      <c r="D57" s="2691"/>
      <c r="E57" s="2691"/>
      <c r="F57" s="2691"/>
      <c r="G57" s="2691"/>
      <c r="H57" s="2738">
        <f>SUM(H58:H59)</f>
        <v>96</v>
      </c>
      <c r="I57" s="2738">
        <f>SUM(I58:I59)</f>
        <v>96</v>
      </c>
      <c r="J57" s="2690"/>
      <c r="K57" s="2697" t="s">
        <v>3078</v>
      </c>
      <c r="L57" s="2691"/>
      <c r="M57" s="2691"/>
      <c r="N57" s="2691"/>
      <c r="O57" s="2691"/>
      <c r="P57" s="2738">
        <f>'Part I-Project Information'!P51</f>
        <v>89158</v>
      </c>
    </row>
    <row r="58" spans="1:16">
      <c r="A58" s="2690"/>
      <c r="B58" s="2697"/>
      <c r="C58" s="2691"/>
      <c r="D58" s="2739" t="s">
        <v>399</v>
      </c>
      <c r="E58" s="2691"/>
      <c r="F58" s="2691"/>
      <c r="G58" s="2691"/>
      <c r="H58" s="2738">
        <f>'Part I-Project Information'!H52</f>
        <v>21</v>
      </c>
      <c r="I58" s="2738">
        <f>'Part I-Project Information'!I52</f>
        <v>21</v>
      </c>
      <c r="J58" s="2691"/>
      <c r="K58" s="2697" t="s">
        <v>3079</v>
      </c>
      <c r="L58" s="2691"/>
      <c r="M58" s="2691"/>
      <c r="N58" s="2691"/>
      <c r="O58" s="2691"/>
      <c r="P58" s="2738">
        <f>'Part I-Project Information'!P52</f>
        <v>0</v>
      </c>
    </row>
    <row r="59" spans="1:16">
      <c r="A59" s="2690"/>
      <c r="B59" s="2691"/>
      <c r="C59" s="2691"/>
      <c r="D59" s="2739" t="s">
        <v>1913</v>
      </c>
      <c r="E59" s="2739"/>
      <c r="F59" s="2691"/>
      <c r="G59" s="2691"/>
      <c r="H59" s="2738">
        <f>'Part I-Project Information'!H53</f>
        <v>75</v>
      </c>
      <c r="I59" s="2738">
        <f>'Part I-Project Information'!I53</f>
        <v>75</v>
      </c>
      <c r="J59" s="2691"/>
      <c r="K59" s="2697" t="s">
        <v>3080</v>
      </c>
      <c r="L59" s="2691"/>
      <c r="M59" s="2691"/>
      <c r="N59" s="2691"/>
      <c r="O59" s="2691"/>
      <c r="P59" s="2738">
        <f>P57+P58</f>
        <v>89158</v>
      </c>
    </row>
    <row r="60" spans="1:16">
      <c r="A60" s="2690"/>
      <c r="B60" s="2691"/>
      <c r="C60" s="2697" t="s">
        <v>264</v>
      </c>
      <c r="D60" s="2691"/>
      <c r="E60" s="2691"/>
      <c r="F60" s="2691"/>
      <c r="G60" s="2691"/>
      <c r="H60" s="2738">
        <f>'Part I-Project Information'!H54</f>
        <v>0</v>
      </c>
      <c r="I60" s="2691"/>
      <c r="J60" s="2690"/>
      <c r="K60" s="2697" t="s">
        <v>3081</v>
      </c>
      <c r="L60" s="2691"/>
      <c r="M60" s="2691"/>
      <c r="N60" s="2691"/>
      <c r="O60" s="2691"/>
      <c r="P60" s="2738">
        <f>'Part I-Project Information'!P54</f>
        <v>0</v>
      </c>
    </row>
    <row r="61" spans="1:16">
      <c r="A61" s="2690"/>
      <c r="B61" s="2691"/>
      <c r="C61" s="2697" t="s">
        <v>2527</v>
      </c>
      <c r="D61" s="2691"/>
      <c r="E61" s="2691"/>
      <c r="F61" s="2691"/>
      <c r="G61" s="2691"/>
      <c r="H61" s="2738">
        <f>H57+H60</f>
        <v>96</v>
      </c>
      <c r="I61" s="2691"/>
      <c r="J61" s="2690"/>
      <c r="K61" s="2697" t="s">
        <v>1491</v>
      </c>
      <c r="L61" s="2691"/>
      <c r="M61" s="2691"/>
      <c r="N61" s="2691"/>
      <c r="O61" s="2691"/>
      <c r="P61" s="2738">
        <f>+P59+P60</f>
        <v>89158</v>
      </c>
    </row>
    <row r="62" spans="1:16">
      <c r="A62" s="2690"/>
      <c r="B62" s="2691"/>
      <c r="C62" s="2697" t="s">
        <v>2528</v>
      </c>
      <c r="D62" s="2691"/>
      <c r="E62" s="2691"/>
      <c r="F62" s="2691"/>
      <c r="G62" s="2691"/>
      <c r="H62" s="2738">
        <f>'Part I-Project Information'!H56</f>
        <v>0</v>
      </c>
      <c r="I62" s="2691"/>
      <c r="J62" s="2690"/>
      <c r="K62" s="2691"/>
      <c r="L62" s="2691"/>
      <c r="M62" s="2691"/>
      <c r="N62" s="2691"/>
      <c r="O62" s="2691"/>
      <c r="P62" s="2691"/>
    </row>
    <row r="63" spans="1:16">
      <c r="A63" s="2690"/>
      <c r="B63" s="2691"/>
      <c r="C63" s="2697" t="s">
        <v>1881</v>
      </c>
      <c r="D63" s="2691"/>
      <c r="E63" s="2691"/>
      <c r="F63" s="2691"/>
      <c r="G63" s="2691"/>
      <c r="H63" s="2738">
        <f>+H61+H62</f>
        <v>96</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1823</v>
      </c>
      <c r="C65" s="2694" t="s">
        <v>2406</v>
      </c>
      <c r="D65" s="2739" t="s">
        <v>2095</v>
      </c>
      <c r="E65" s="2691"/>
      <c r="F65" s="2691"/>
      <c r="G65" s="2691"/>
      <c r="H65" s="2738">
        <f>'Part I-Project Information'!H59</f>
        <v>6</v>
      </c>
      <c r="I65" s="2691"/>
      <c r="J65" s="2691"/>
      <c r="K65" s="2697" t="s">
        <v>1178</v>
      </c>
      <c r="L65" s="2691"/>
      <c r="M65" s="2691"/>
      <c r="N65" s="2691"/>
      <c r="O65" s="2691"/>
      <c r="P65" s="2738">
        <f>'Part I-Project Information'!P59</f>
        <v>20000</v>
      </c>
    </row>
    <row r="66" spans="1:16">
      <c r="A66" s="2690"/>
      <c r="B66" s="2690"/>
      <c r="C66" s="2691"/>
      <c r="D66" s="2708" t="s">
        <v>2096</v>
      </c>
      <c r="E66" s="2691"/>
      <c r="F66" s="2691"/>
      <c r="G66" s="2691"/>
      <c r="H66" s="2738">
        <f>'Part I-Project Information'!H60</f>
        <v>1</v>
      </c>
      <c r="I66" s="2691"/>
      <c r="J66" s="2691"/>
      <c r="K66" s="2697" t="s">
        <v>263</v>
      </c>
      <c r="L66" s="2691"/>
      <c r="M66" s="2691"/>
      <c r="N66" s="2691"/>
      <c r="O66" s="2691"/>
      <c r="P66" s="2738">
        <f>+P61+P65</f>
        <v>109158</v>
      </c>
    </row>
    <row r="67" spans="1:16">
      <c r="A67" s="2690"/>
      <c r="B67" s="2690"/>
      <c r="C67" s="2691"/>
      <c r="D67" s="2708" t="s">
        <v>2097</v>
      </c>
      <c r="E67" s="2691"/>
      <c r="F67" s="2691"/>
      <c r="G67" s="2691"/>
      <c r="H67" s="2738">
        <f>+H65+H66</f>
        <v>7</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1824</v>
      </c>
      <c r="C69" s="2694" t="s">
        <v>3182</v>
      </c>
      <c r="D69" s="2691"/>
      <c r="E69" s="2691"/>
      <c r="F69" s="2691"/>
      <c r="G69" s="2691"/>
      <c r="H69" s="2738">
        <f>'Part I-Project Information'!H63</f>
        <v>145</v>
      </c>
      <c r="I69" s="2691"/>
      <c r="J69" s="2691"/>
      <c r="K69" s="2691" t="s">
        <v>3185</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554</v>
      </c>
      <c r="B71" s="2740" t="s">
        <v>1247</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2081</v>
      </c>
      <c r="C73" s="2692" t="s">
        <v>4551</v>
      </c>
      <c r="D73" s="2741"/>
      <c r="E73" s="2741"/>
      <c r="F73" s="2691"/>
      <c r="G73" s="2695"/>
      <c r="H73" s="2742" t="str">
        <f>'Part I-Project Information'!H67</f>
        <v>Family</v>
      </c>
      <c r="I73" s="2742"/>
      <c r="J73" s="2691"/>
      <c r="K73" s="2706" t="s">
        <v>1860</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3771</v>
      </c>
      <c r="L75" s="2743"/>
      <c r="M75" s="2744" t="s">
        <v>3336</v>
      </c>
      <c r="N75" s="2738">
        <f>'Part I-Project Information'!N69</f>
        <v>0</v>
      </c>
      <c r="O75" s="2744" t="s">
        <v>3337</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3338</v>
      </c>
      <c r="N77" s="2738">
        <f>'Part I-Project Information'!N71</f>
        <v>0</v>
      </c>
      <c r="O77" s="2702" t="s">
        <v>1679</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2084</v>
      </c>
      <c r="C79" s="2694" t="s">
        <v>1482</v>
      </c>
      <c r="D79" s="2691"/>
      <c r="E79" s="2739"/>
      <c r="F79" s="2708" t="s">
        <v>838</v>
      </c>
      <c r="G79" s="2691"/>
      <c r="H79" s="2738">
        <f>'Part I-Project Information'!H73</f>
        <v>5</v>
      </c>
      <c r="I79" s="2691"/>
      <c r="J79" s="2691"/>
      <c r="K79" s="2706" t="s">
        <v>544</v>
      </c>
      <c r="L79" s="2706"/>
      <c r="M79" s="2691"/>
      <c r="N79" s="2691"/>
      <c r="O79" s="2691"/>
      <c r="P79" s="2745">
        <f>'Part I-Project Information'!P73</f>
        <v>5.2083333333333336E-2</v>
      </c>
    </row>
    <row r="80" spans="1:16">
      <c r="A80" s="2690"/>
      <c r="B80" s="2690"/>
      <c r="C80" s="2691"/>
      <c r="D80" s="2708" t="s">
        <v>3180</v>
      </c>
      <c r="E80" s="2708"/>
      <c r="F80" s="2708" t="s">
        <v>838</v>
      </c>
      <c r="G80" s="2691"/>
      <c r="H80" s="2738">
        <f>'Part I-Project Information'!H74</f>
        <v>5</v>
      </c>
      <c r="I80" s="2691"/>
      <c r="J80" s="2691"/>
      <c r="K80" s="2691" t="s">
        <v>3181</v>
      </c>
      <c r="L80" s="2691"/>
      <c r="M80" s="2691"/>
      <c r="N80" s="2691"/>
      <c r="O80" s="2691"/>
      <c r="P80" s="2745">
        <f>IF(H79=0,0,H80/H79)</f>
        <v>1</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789</v>
      </c>
      <c r="C82" s="2694" t="s">
        <v>1936</v>
      </c>
      <c r="D82" s="2739"/>
      <c r="E82" s="2739"/>
      <c r="F82" s="2708" t="s">
        <v>838</v>
      </c>
      <c r="G82" s="2691"/>
      <c r="H82" s="2738">
        <f>'Part I-Project Information'!H76</f>
        <v>2</v>
      </c>
      <c r="I82" s="2691"/>
      <c r="J82" s="2691"/>
      <c r="K82" s="2706" t="s">
        <v>544</v>
      </c>
      <c r="L82" s="2706"/>
      <c r="M82" s="2691"/>
      <c r="N82" s="2691"/>
      <c r="O82" s="2691"/>
      <c r="P82" s="2745">
        <f>'Part I-Project Information'!P76</f>
        <v>2.0833333333333332E-2</v>
      </c>
    </row>
    <row r="83" spans="1:16">
      <c r="A83" s="2690"/>
      <c r="B83" s="2690"/>
      <c r="C83" s="2691"/>
      <c r="D83" s="2708"/>
      <c r="E83" s="2708"/>
      <c r="F83" s="2708"/>
      <c r="G83" s="2708"/>
      <c r="H83" s="2691"/>
      <c r="I83" s="2695"/>
      <c r="J83" s="2695"/>
      <c r="K83" s="2695"/>
      <c r="L83" s="2695"/>
      <c r="M83" s="2695"/>
      <c r="N83" s="2691"/>
      <c r="O83" s="2691"/>
      <c r="P83" s="2710"/>
    </row>
    <row r="84" spans="1:16">
      <c r="A84" s="2737" t="s">
        <v>813</v>
      </c>
      <c r="B84" s="2741" t="s">
        <v>2491</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2081</v>
      </c>
      <c r="C86" s="2692" t="s">
        <v>2490</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2084</v>
      </c>
      <c r="C88" s="2694" t="s">
        <v>1610</v>
      </c>
      <c r="D88" s="2691"/>
      <c r="E88" s="2691"/>
      <c r="F88" s="2691"/>
      <c r="G88" s="2691"/>
      <c r="H88" s="2691"/>
      <c r="I88" s="2691"/>
      <c r="J88" s="2691"/>
      <c r="K88" s="2699" t="s">
        <v>911</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305</v>
      </c>
      <c r="B90" s="2741" t="s">
        <v>2142</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2081</v>
      </c>
      <c r="C92" s="2694" t="s">
        <v>2879</v>
      </c>
      <c r="D92" s="2691"/>
      <c r="E92" s="2691"/>
      <c r="F92" s="2739" t="s">
        <v>2728</v>
      </c>
      <c r="G92" s="2691"/>
      <c r="H92" s="2695" t="str">
        <f>'Part I-Project Information'!H86</f>
        <v>No</v>
      </c>
      <c r="I92" s="2691"/>
      <c r="J92" s="2691"/>
      <c r="K92" s="2739" t="s">
        <v>3990</v>
      </c>
      <c r="L92" s="2691"/>
      <c r="M92" s="2695" t="str">
        <f>'Part I-Project Information'!M86</f>
        <v>No</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2084</v>
      </c>
      <c r="C94" s="2694" t="s">
        <v>2880</v>
      </c>
      <c r="D94" s="2691"/>
      <c r="E94" s="2691"/>
      <c r="F94" s="2699" t="s">
        <v>2820</v>
      </c>
      <c r="G94" s="2691"/>
      <c r="H94" s="2695">
        <f>'Part I-Project Information'!H88</f>
        <v>0</v>
      </c>
      <c r="I94" s="2691"/>
      <c r="J94" s="2695"/>
      <c r="K94" s="2747" t="s">
        <v>2881</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440</v>
      </c>
      <c r="B96" s="2741" t="s">
        <v>3089</v>
      </c>
      <c r="C96" s="2691"/>
      <c r="D96" s="2708"/>
      <c r="E96" s="2691"/>
      <c r="F96" s="2691"/>
      <c r="G96" s="2691"/>
      <c r="H96" s="2706" t="str">
        <f>'Part I-Project Information'!H90</f>
        <v>Rural</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376</v>
      </c>
      <c r="B98" s="2737" t="s">
        <v>1245</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576</v>
      </c>
      <c r="D100" s="2691"/>
      <c r="E100" s="2706">
        <f>'Part I-Project Information'!E94</f>
        <v>0</v>
      </c>
      <c r="F100" s="2706"/>
      <c r="G100" s="2706"/>
      <c r="H100" s="2706"/>
      <c r="I100" s="2706"/>
      <c r="J100" s="2706"/>
      <c r="K100" s="2706"/>
      <c r="L100" s="2706"/>
      <c r="M100" s="2742" t="s">
        <v>577</v>
      </c>
      <c r="N100" s="2742"/>
      <c r="O100" s="2748">
        <f>'Part I-Project Information'!O94</f>
        <v>0</v>
      </c>
      <c r="P100" s="2748"/>
    </row>
    <row r="101" spans="1:16">
      <c r="A101" s="2691"/>
      <c r="B101" s="2691"/>
      <c r="C101" s="2699" t="s">
        <v>1071</v>
      </c>
      <c r="D101" s="2702"/>
      <c r="E101" s="2706">
        <f>'Part I-Project Information'!E95</f>
        <v>0</v>
      </c>
      <c r="F101" s="2706"/>
      <c r="G101" s="2706"/>
      <c r="H101" s="2706"/>
      <c r="I101" s="2706"/>
      <c r="J101" s="2706"/>
      <c r="K101" s="2706"/>
      <c r="L101" s="2706"/>
      <c r="M101" s="2742" t="s">
        <v>850</v>
      </c>
      <c r="N101" s="2742"/>
      <c r="O101" s="2711">
        <f>'Part I-Project Information'!O95</f>
        <v>0</v>
      </c>
      <c r="P101" s="2711"/>
    </row>
    <row r="102" spans="1:16">
      <c r="A102" s="2691"/>
      <c r="B102" s="2691"/>
      <c r="C102" s="2699" t="s">
        <v>649</v>
      </c>
      <c r="D102" s="2691"/>
      <c r="E102" s="2706">
        <f>'Part I-Project Information'!E96</f>
        <v>0</v>
      </c>
      <c r="F102" s="2749"/>
      <c r="G102" s="2749"/>
      <c r="H102" s="2695" t="s">
        <v>1887</v>
      </c>
      <c r="I102" s="2695">
        <f>'Part I-Project Information'!I96</f>
        <v>0</v>
      </c>
      <c r="J102" s="2695" t="s">
        <v>2336</v>
      </c>
      <c r="K102" s="2709">
        <f>'Part I-Project Information'!K96</f>
        <v>0</v>
      </c>
      <c r="L102" s="2749"/>
      <c r="M102" s="2697"/>
      <c r="N102" s="2697"/>
      <c r="O102" s="2697"/>
      <c r="P102" s="2697"/>
    </row>
    <row r="103" spans="1:16">
      <c r="A103" s="2691"/>
      <c r="B103" s="2691"/>
      <c r="C103" s="2691" t="s">
        <v>2297</v>
      </c>
      <c r="D103" s="2691"/>
      <c r="E103" s="2706">
        <f>'Part I-Project Information'!E97</f>
        <v>0</v>
      </c>
      <c r="F103" s="2749"/>
      <c r="G103" s="2749"/>
      <c r="H103" s="2695" t="s">
        <v>2078</v>
      </c>
      <c r="I103" s="2706">
        <f>'Part I-Project Information'!I97</f>
        <v>0</v>
      </c>
      <c r="J103" s="2749"/>
      <c r="K103" s="2749"/>
      <c r="L103" s="2695" t="s">
        <v>2082</v>
      </c>
      <c r="M103" s="2706">
        <f>'Part I-Project Information'!M97</f>
        <v>0</v>
      </c>
      <c r="N103" s="2749"/>
      <c r="O103" s="2749"/>
      <c r="P103" s="2749"/>
    </row>
    <row r="104" spans="1:16">
      <c r="A104" s="2691"/>
      <c r="B104" s="2691"/>
      <c r="C104" s="2699" t="s">
        <v>2296</v>
      </c>
      <c r="D104" s="2691"/>
      <c r="E104" s="2707">
        <f>'Part I-Project Information'!E98</f>
        <v>0</v>
      </c>
      <c r="F104" s="2707"/>
      <c r="G104" s="2707"/>
      <c r="H104" s="2695" t="s">
        <v>1890</v>
      </c>
      <c r="I104" s="2727">
        <f>'Part I-Project Information'!I98</f>
        <v>0</v>
      </c>
      <c r="J104" s="2749"/>
      <c r="K104" s="2695" t="s">
        <v>1891</v>
      </c>
      <c r="L104" s="2727">
        <f>'Part I-Project Information'!L98</f>
        <v>0</v>
      </c>
      <c r="M104" s="2749"/>
      <c r="N104" s="2695" t="s">
        <v>2077</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377</v>
      </c>
      <c r="B106" s="2741" t="s">
        <v>1749</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2254</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2081</v>
      </c>
      <c r="C110" s="2741" t="s">
        <v>1483</v>
      </c>
      <c r="D110" s="2708"/>
      <c r="E110" s="2708"/>
      <c r="F110" s="2695"/>
      <c r="G110" s="2695"/>
      <c r="H110" s="2704">
        <f>'Part I-Project Information'!H104</f>
        <v>1</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2084</v>
      </c>
      <c r="C112" s="2741" t="s">
        <v>430</v>
      </c>
      <c r="D112" s="2708"/>
      <c r="E112" s="2708"/>
      <c r="F112" s="2695"/>
      <c r="G112" s="2695"/>
      <c r="H112" s="2704">
        <f>'Part I-Project Information'!H106</f>
        <v>1000000</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789</v>
      </c>
      <c r="C114" s="2741" t="s">
        <v>315</v>
      </c>
      <c r="D114" s="2708"/>
      <c r="E114" s="2708"/>
      <c r="F114" s="2695"/>
      <c r="G114" s="2695"/>
      <c r="H114" s="2695"/>
      <c r="I114" s="2695"/>
      <c r="J114" s="2704"/>
      <c r="K114" s="2695"/>
      <c r="L114" s="2695"/>
      <c r="M114" s="2691"/>
      <c r="N114" s="2691"/>
      <c r="O114" s="2691"/>
      <c r="P114" s="2691"/>
    </row>
    <row r="115" spans="1:16">
      <c r="A115" s="2691"/>
      <c r="B115" s="2690"/>
      <c r="C115" s="2708" t="s">
        <v>2236</v>
      </c>
      <c r="D115" s="2708"/>
      <c r="E115" s="2691"/>
      <c r="F115" s="2708" t="s">
        <v>1188</v>
      </c>
      <c r="G115" s="2695"/>
      <c r="H115" s="2695"/>
      <c r="I115" s="2695"/>
      <c r="J115" s="2708" t="s">
        <v>2236</v>
      </c>
      <c r="K115" s="2708"/>
      <c r="L115" s="2691"/>
      <c r="M115" s="2708" t="s">
        <v>1188</v>
      </c>
      <c r="N115" s="2695"/>
      <c r="O115" s="2695"/>
      <c r="P115" s="2695"/>
    </row>
    <row r="116" spans="1:16" ht="13.5">
      <c r="A116" s="2690"/>
      <c r="B116" s="2690"/>
      <c r="C116" s="2703" t="str">
        <f>'Part I-Project Information'!C110</f>
        <v>1.  Housing Systems, Inc.</v>
      </c>
      <c r="D116" s="2703"/>
      <c r="E116" s="2703"/>
      <c r="F116" s="2703" t="str">
        <f>'Part I-Project Information'!F110</f>
        <v>Lakeview</v>
      </c>
      <c r="G116" s="2703"/>
      <c r="H116" s="2703"/>
      <c r="I116" s="2703"/>
      <c r="J116" s="2703">
        <f>'Part I-Project Information'!J110</f>
        <v>6</v>
      </c>
      <c r="K116" s="2703"/>
      <c r="L116" s="2703"/>
      <c r="M116" s="2703">
        <f>'Part I-Project Information'!M110</f>
        <v>0</v>
      </c>
      <c r="N116" s="2703"/>
      <c r="O116" s="2703"/>
      <c r="P116" s="2703"/>
    </row>
    <row r="117" spans="1:16" ht="13.5">
      <c r="A117" s="2690"/>
      <c r="B117" s="2690"/>
      <c r="C117" s="2703" t="str">
        <f>'Part I-Project Information'!C111</f>
        <v>2.  Jack Hammer</v>
      </c>
      <c r="D117" s="2703"/>
      <c r="E117" s="2703"/>
      <c r="F117" s="2703" t="str">
        <f>'Part I-Project Information'!F111</f>
        <v>Lakeview</v>
      </c>
      <c r="G117" s="2703"/>
      <c r="H117" s="2703"/>
      <c r="I117" s="2703"/>
      <c r="J117" s="2703">
        <f>'Part I-Project Information'!J111</f>
        <v>7</v>
      </c>
      <c r="K117" s="2703"/>
      <c r="L117" s="2703"/>
      <c r="M117" s="2703">
        <f>'Part I-Project Information'!M111</f>
        <v>0</v>
      </c>
      <c r="N117" s="2703"/>
      <c r="O117" s="2703"/>
      <c r="P117" s="2703"/>
    </row>
    <row r="118" spans="1:16" ht="13.5">
      <c r="A118" s="2690"/>
      <c r="B118" s="2690"/>
      <c r="C118" s="2703" t="str">
        <f>'Part I-Project Information'!C112</f>
        <v>3.  Doug Trivers</v>
      </c>
      <c r="D118" s="2703"/>
      <c r="E118" s="2703"/>
      <c r="F118" s="2703" t="str">
        <f>'Part I-Project Information'!F112</f>
        <v>Lakeview</v>
      </c>
      <c r="G118" s="2703"/>
      <c r="H118" s="2703"/>
      <c r="I118" s="2703"/>
      <c r="J118" s="2703">
        <f>'Part I-Project Information'!J112</f>
        <v>8</v>
      </c>
      <c r="K118" s="2703"/>
      <c r="L118" s="2703"/>
      <c r="M118" s="2703">
        <f>'Part I-Project Information'!M112</f>
        <v>0</v>
      </c>
      <c r="N118" s="2703"/>
      <c r="O118" s="2703"/>
      <c r="P118" s="2703"/>
    </row>
    <row r="119" spans="1:16" ht="13.5">
      <c r="A119" s="2690"/>
      <c r="B119" s="2690"/>
      <c r="C119" s="2703" t="str">
        <f>'Part I-Project Information'!C113</f>
        <v>4.  Matt Bagwell</v>
      </c>
      <c r="D119" s="2703"/>
      <c r="E119" s="2703"/>
      <c r="F119" s="2703" t="str">
        <f>'Part I-Project Information'!F113</f>
        <v>Lakeview</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f>'Part I-Project Information'!C114</f>
        <v>5</v>
      </c>
      <c r="D120" s="2703"/>
      <c r="E120" s="2703"/>
      <c r="F120" s="2703">
        <f>'Part I-Project Information'!F114</f>
        <v>0</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2216</v>
      </c>
      <c r="C122" s="2752" t="s">
        <v>1940</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2236</v>
      </c>
      <c r="D124" s="2708"/>
      <c r="E124" s="2691"/>
      <c r="F124" s="2708" t="s">
        <v>1188</v>
      </c>
      <c r="G124" s="2695"/>
      <c r="H124" s="2695"/>
      <c r="I124" s="2695"/>
      <c r="J124" s="2708" t="s">
        <v>2236</v>
      </c>
      <c r="K124" s="2708"/>
      <c r="L124" s="2691"/>
      <c r="M124" s="2708" t="s">
        <v>1188</v>
      </c>
      <c r="N124" s="2695"/>
      <c r="O124" s="2695"/>
      <c r="P124" s="2695"/>
    </row>
    <row r="125" spans="1:16" ht="13.5">
      <c r="A125" s="2690"/>
      <c r="B125" s="2690"/>
      <c r="C125" s="2703">
        <f>'Part I-Project Information'!C119</f>
        <v>1</v>
      </c>
      <c r="D125" s="2703"/>
      <c r="E125" s="2703"/>
      <c r="F125" s="2703">
        <f>'Part I-Project Information'!F119</f>
        <v>0</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378</v>
      </c>
      <c r="B131" s="2740" t="s">
        <v>2539</v>
      </c>
      <c r="C131" s="2691"/>
      <c r="D131" s="2740"/>
      <c r="E131" s="2740"/>
      <c r="F131" s="2740"/>
      <c r="G131" s="2691"/>
      <c r="H131" s="2695" t="str">
        <f>'Part I-Project Information'!H125</f>
        <v>Yes</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2081</v>
      </c>
      <c r="C133" s="2692" t="s">
        <v>1798</v>
      </c>
      <c r="D133" s="2691"/>
      <c r="E133" s="2691"/>
      <c r="F133" s="2691"/>
      <c r="G133" s="2691"/>
      <c r="H133" s="2695" t="str">
        <f>'Part I-Project Information'!H127</f>
        <v>No</v>
      </c>
      <c r="I133" s="2691"/>
      <c r="J133" s="2691"/>
      <c r="K133" s="2691"/>
      <c r="L133" s="2691"/>
      <c r="M133" s="2695"/>
      <c r="N133" s="2691"/>
      <c r="O133" s="2691"/>
      <c r="P133" s="2710"/>
    </row>
    <row r="134" spans="1:16">
      <c r="A134" s="2690"/>
      <c r="B134" s="2690"/>
      <c r="C134" s="2708" t="s">
        <v>2541</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1797</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2542</v>
      </c>
      <c r="D136" s="2708"/>
      <c r="E136" s="2708"/>
      <c r="F136" s="2695"/>
      <c r="G136" s="2691"/>
      <c r="H136" s="2753">
        <f>'Part I-Project Information'!H130</f>
        <v>0</v>
      </c>
      <c r="I136" s="2691"/>
      <c r="J136" s="2691"/>
      <c r="K136" s="2697" t="s">
        <v>2354</v>
      </c>
      <c r="L136" s="2691"/>
      <c r="M136" s="2691"/>
      <c r="N136" s="2691"/>
      <c r="O136" s="2706" t="str">
        <f>'Part I-Project Information'!O130</f>
        <v>GA-</v>
      </c>
      <c r="P136" s="2706"/>
    </row>
    <row r="137" spans="1:16">
      <c r="A137" s="2690"/>
      <c r="B137" s="2690"/>
      <c r="C137" s="2708" t="s">
        <v>2540</v>
      </c>
      <c r="D137" s="2691"/>
      <c r="E137" s="2691"/>
      <c r="F137" s="2695"/>
      <c r="G137" s="2691"/>
      <c r="H137" s="2704">
        <f>'Part I-Project Information'!H131</f>
        <v>0</v>
      </c>
      <c r="I137" s="2691"/>
      <c r="J137" s="2691"/>
      <c r="K137" s="2697" t="s">
        <v>2355</v>
      </c>
      <c r="L137" s="2691"/>
      <c r="M137" s="2691"/>
      <c r="N137" s="2691"/>
      <c r="O137" s="2706" t="str">
        <f>'Part I-Project Information'!O131</f>
        <v>GA-</v>
      </c>
      <c r="P137" s="2706"/>
    </row>
    <row r="138" spans="1:16">
      <c r="A138" s="2690"/>
      <c r="B138" s="2690"/>
      <c r="C138" s="2708" t="s">
        <v>2268</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2084</v>
      </c>
      <c r="C140" s="2741" t="s">
        <v>2613</v>
      </c>
      <c r="D140" s="2708"/>
      <c r="E140" s="2708"/>
      <c r="F140" s="2695"/>
      <c r="G140" s="2691"/>
      <c r="H140" s="2695" t="str">
        <f>'Part I-Project Information'!H134</f>
        <v>No</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789</v>
      </c>
      <c r="C142" s="2741" t="s">
        <v>2864</v>
      </c>
      <c r="D142" s="2708"/>
      <c r="E142" s="2708"/>
      <c r="F142" s="2695"/>
      <c r="G142" s="2695"/>
      <c r="H142" s="2691"/>
      <c r="I142" s="2691"/>
      <c r="J142" s="2691"/>
      <c r="K142" s="2691"/>
      <c r="L142" s="2691"/>
      <c r="M142" s="2691"/>
      <c r="N142" s="2691"/>
      <c r="O142" s="2691"/>
      <c r="P142" s="2710"/>
    </row>
    <row r="143" spans="1:16">
      <c r="A143" s="2690"/>
      <c r="B143" s="2690"/>
      <c r="C143" s="2708" t="s">
        <v>4552</v>
      </c>
      <c r="D143" s="2708"/>
      <c r="E143" s="2708"/>
      <c r="F143" s="2695"/>
      <c r="G143" s="2695"/>
      <c r="H143" s="2695" t="str">
        <f>'Part I-Project Information'!H137</f>
        <v>No</v>
      </c>
      <c r="I143" s="2691"/>
      <c r="J143" s="2691"/>
      <c r="K143" s="2708" t="s">
        <v>1611</v>
      </c>
      <c r="L143" s="2708"/>
      <c r="M143" s="2695"/>
      <c r="N143" s="2695"/>
      <c r="O143" s="2695" t="str">
        <f>'Part I-Project Information'!O137</f>
        <v>No</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1813</v>
      </c>
      <c r="B145" s="2740" t="s">
        <v>1246</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2081</v>
      </c>
      <c r="C147" s="2728" t="s">
        <v>1914</v>
      </c>
      <c r="D147" s="2691"/>
      <c r="E147" s="2691"/>
      <c r="F147" s="2695"/>
      <c r="G147" s="2695"/>
      <c r="H147" s="2695"/>
      <c r="I147" s="2695"/>
      <c r="J147" s="2704"/>
      <c r="K147" s="2695"/>
      <c r="L147" s="2695"/>
      <c r="M147" s="2691"/>
      <c r="N147" s="2691"/>
      <c r="O147" s="2691"/>
      <c r="P147" s="2710"/>
    </row>
    <row r="148" spans="1:16">
      <c r="A148" s="2690"/>
      <c r="B148" s="2690"/>
      <c r="C148" s="2739" t="s">
        <v>1603</v>
      </c>
      <c r="D148" s="2704"/>
      <c r="E148" s="2704"/>
      <c r="F148" s="2695"/>
      <c r="G148" s="2695"/>
      <c r="H148" s="2695"/>
      <c r="I148" s="2695"/>
      <c r="J148" s="2691"/>
      <c r="K148" s="2695" t="str">
        <f>'Part I-Project Information'!K142</f>
        <v>No</v>
      </c>
      <c r="L148" s="2691"/>
      <c r="M148" s="2691"/>
      <c r="N148" s="2691"/>
      <c r="O148" s="2691"/>
      <c r="P148" s="2710"/>
    </row>
    <row r="149" spans="1:16">
      <c r="A149" s="2690"/>
      <c r="B149" s="2690"/>
      <c r="C149" s="2691" t="s">
        <v>646</v>
      </c>
      <c r="D149" s="2691"/>
      <c r="E149" s="2691"/>
      <c r="F149" s="2691"/>
      <c r="G149" s="2691"/>
      <c r="H149" s="2691"/>
      <c r="I149" s="2691"/>
      <c r="J149" s="2691"/>
      <c r="K149" s="2738">
        <f>'Part I-Project Information'!K143</f>
        <v>0</v>
      </c>
      <c r="L149" s="2699" t="s">
        <v>1883</v>
      </c>
      <c r="M149" s="2691"/>
      <c r="N149" s="2691"/>
      <c r="O149" s="2691"/>
      <c r="P149" s="2755">
        <f>'Part I-Project Information'!P143</f>
        <v>0</v>
      </c>
    </row>
    <row r="150" spans="1:16">
      <c r="A150" s="2690"/>
      <c r="B150" s="2690"/>
      <c r="C150" s="2691" t="s">
        <v>2269</v>
      </c>
      <c r="D150" s="2691"/>
      <c r="E150" s="2691"/>
      <c r="F150" s="2691"/>
      <c r="G150" s="2691"/>
      <c r="H150" s="2691"/>
      <c r="I150" s="2691"/>
      <c r="J150" s="2691"/>
      <c r="K150" s="2738">
        <f>'Part I-Project Information'!K144</f>
        <v>0</v>
      </c>
      <c r="L150" s="2699" t="s">
        <v>1883</v>
      </c>
      <c r="M150" s="2691"/>
      <c r="N150" s="2691"/>
      <c r="O150" s="2691"/>
      <c r="P150" s="2755">
        <f>'Part I-Project Information'!P144</f>
        <v>0</v>
      </c>
    </row>
    <row r="151" spans="1:16">
      <c r="A151" s="2690"/>
      <c r="B151" s="2690"/>
      <c r="C151" s="2691" t="s">
        <v>1884</v>
      </c>
      <c r="D151" s="2691"/>
      <c r="E151" s="2706">
        <f>'Part I-Project Information'!E145</f>
        <v>0</v>
      </c>
      <c r="F151" s="2706"/>
      <c r="G151" s="2706"/>
      <c r="H151" s="2706"/>
      <c r="I151" s="2706"/>
      <c r="J151" s="2706"/>
      <c r="K151" s="2706"/>
      <c r="L151" s="2699" t="s">
        <v>1885</v>
      </c>
      <c r="M151" s="2706">
        <f>'Part I-Project Information'!M145</f>
        <v>0</v>
      </c>
      <c r="N151" s="2706"/>
      <c r="O151" s="2706"/>
      <c r="P151" s="2706"/>
    </row>
    <row r="152" spans="1:16">
      <c r="A152" s="2690"/>
      <c r="B152" s="2690"/>
      <c r="C152" s="2699" t="s">
        <v>1886</v>
      </c>
      <c r="D152" s="2702"/>
      <c r="E152" s="2706">
        <f>'Part I-Project Information'!E146</f>
        <v>0</v>
      </c>
      <c r="F152" s="2706"/>
      <c r="G152" s="2706"/>
      <c r="H152" s="2706"/>
      <c r="I152" s="2706"/>
      <c r="J152" s="2706"/>
      <c r="K152" s="2706"/>
      <c r="L152" s="2699" t="s">
        <v>1888</v>
      </c>
      <c r="M152" s="2706">
        <f>'Part I-Project Information'!M146</f>
        <v>0</v>
      </c>
      <c r="N152" s="2706"/>
      <c r="O152" s="2706"/>
      <c r="P152" s="2706"/>
    </row>
    <row r="153" spans="1:16">
      <c r="A153" s="2690"/>
      <c r="B153" s="2690"/>
      <c r="C153" s="2699" t="s">
        <v>649</v>
      </c>
      <c r="D153" s="2691"/>
      <c r="E153" s="2706">
        <f>'Part I-Project Information'!E147</f>
        <v>0</v>
      </c>
      <c r="F153" s="2706"/>
      <c r="G153" s="2706"/>
      <c r="H153" s="2706"/>
      <c r="I153" s="2695" t="s">
        <v>2336</v>
      </c>
      <c r="J153" s="2709">
        <f>'Part I-Project Information'!J147</f>
        <v>0</v>
      </c>
      <c r="K153" s="2709"/>
      <c r="L153" s="2699" t="s">
        <v>1891</v>
      </c>
      <c r="M153" s="2707">
        <f>'Part I-Project Information'!M147</f>
        <v>0</v>
      </c>
      <c r="N153" s="2707"/>
      <c r="O153" s="2707"/>
      <c r="P153" s="2691"/>
    </row>
    <row r="154" spans="1:16">
      <c r="A154" s="2690"/>
      <c r="B154" s="2690"/>
      <c r="C154" s="2699" t="s">
        <v>1889</v>
      </c>
      <c r="D154" s="2691"/>
      <c r="E154" s="2707">
        <f>'Part I-Project Information'!E148:G148</f>
        <v>0</v>
      </c>
      <c r="F154" s="2707"/>
      <c r="G154" s="2707"/>
      <c r="H154" s="2695" t="s">
        <v>1890</v>
      </c>
      <c r="I154" s="2707">
        <f>'Part I-Project Information'!I148</f>
        <v>0</v>
      </c>
      <c r="J154" s="2707"/>
      <c r="K154" s="2707"/>
      <c r="L154" s="2699" t="s">
        <v>2077</v>
      </c>
      <c r="M154" s="2707">
        <f>'Part I-Project Information'!M148</f>
        <v>0</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2084</v>
      </c>
      <c r="C156" s="2741" t="s">
        <v>2872</v>
      </c>
      <c r="D156" s="2741"/>
      <c r="E156" s="2741"/>
      <c r="F156" s="2741"/>
      <c r="G156" s="2741"/>
      <c r="H156" s="2691"/>
      <c r="I156" s="2695" t="str">
        <f>'Part I-Project Information'!I150</f>
        <v>No</v>
      </c>
      <c r="J156" s="2720" t="s">
        <v>802</v>
      </c>
      <c r="K156" s="2720"/>
      <c r="L156" s="2704">
        <f>'Part I-Project Information'!L150</f>
        <v>0</v>
      </c>
      <c r="M156" s="2705" t="s">
        <v>2435</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2873</v>
      </c>
      <c r="D158" s="2741"/>
      <c r="E158" s="2741"/>
      <c r="F158" s="2741"/>
      <c r="G158" s="2741"/>
      <c r="H158" s="2691"/>
      <c r="I158" s="2695" t="str">
        <f>'Part I-Project Information'!I152</f>
        <v>Yes</v>
      </c>
      <c r="J158" s="2720" t="s">
        <v>802</v>
      </c>
      <c r="K158" s="2720"/>
      <c r="L158" s="2704">
        <f>'Part I-Project Information'!L152</f>
        <v>2032</v>
      </c>
      <c r="M158" s="2705" t="s">
        <v>2435</v>
      </c>
      <c r="N158" s="2705"/>
      <c r="O158" s="2705"/>
      <c r="P158" s="2753">
        <f>'Part I-Project Information'!P152</f>
        <v>5</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789</v>
      </c>
      <c r="C160" s="2741" t="s">
        <v>1845</v>
      </c>
      <c r="D160" s="2741"/>
      <c r="E160" s="2741"/>
      <c r="F160" s="2741"/>
      <c r="G160" s="2741"/>
      <c r="H160" s="2691"/>
      <c r="I160" s="2695">
        <f>'Part I-Project Information'!I154</f>
        <v>0</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2216</v>
      </c>
      <c r="C162" s="2757" t="s">
        <v>2076</v>
      </c>
      <c r="D162" s="2757"/>
      <c r="E162" s="2757"/>
      <c r="F162" s="2757"/>
      <c r="G162" s="2741"/>
      <c r="H162" s="2691"/>
      <c r="I162" s="2695" t="str">
        <f>'Part I-Project Information'!I156</f>
        <v>Yes</v>
      </c>
      <c r="J162" s="2758" t="s">
        <v>3017</v>
      </c>
      <c r="K162" s="2691"/>
      <c r="L162" s="2742" t="s">
        <v>1551</v>
      </c>
      <c r="M162" s="2742"/>
      <c r="N162" s="2741"/>
      <c r="O162" s="2741"/>
      <c r="P162" s="2759">
        <f>'Part I-Project Information'!P156</f>
        <v>96</v>
      </c>
    </row>
    <row r="163" spans="1:16">
      <c r="A163" s="2691"/>
      <c r="B163" s="2690"/>
      <c r="C163" s="2691"/>
      <c r="D163" s="2691"/>
      <c r="E163" s="2691"/>
      <c r="F163" s="2691"/>
      <c r="G163" s="2691"/>
      <c r="H163" s="2691"/>
      <c r="I163" s="2691"/>
      <c r="J163" s="2691"/>
      <c r="K163" s="2691"/>
      <c r="L163" s="2706" t="s">
        <v>839</v>
      </c>
      <c r="M163" s="2706"/>
      <c r="N163" s="2741"/>
      <c r="O163" s="2741"/>
      <c r="P163" s="2759">
        <f>'Part I-Project Information'!P157</f>
        <v>88</v>
      </c>
    </row>
    <row r="164" spans="1:16">
      <c r="A164" s="2690"/>
      <c r="B164" s="2690"/>
      <c r="C164" s="2691"/>
      <c r="D164" s="2691"/>
      <c r="E164" s="2691"/>
      <c r="F164" s="2691"/>
      <c r="G164" s="2691"/>
      <c r="H164" s="2691"/>
      <c r="I164" s="2691"/>
      <c r="J164" s="2691"/>
      <c r="K164" s="2691"/>
      <c r="L164" s="2706" t="s">
        <v>1879</v>
      </c>
      <c r="M164" s="2706"/>
      <c r="N164" s="2741"/>
      <c r="O164" s="2741"/>
      <c r="P164" s="2760">
        <f>IF(P162="","",P163/P162)</f>
        <v>0.91666666666666663</v>
      </c>
    </row>
    <row r="165" spans="1:16">
      <c r="A165" s="2690"/>
      <c r="B165" s="2690" t="s">
        <v>1823</v>
      </c>
      <c r="C165" s="2692" t="s">
        <v>1687</v>
      </c>
      <c r="D165" s="2708"/>
      <c r="E165" s="2708"/>
      <c r="F165" s="2708"/>
      <c r="G165" s="2708"/>
      <c r="H165" s="2695"/>
      <c r="I165" s="2691"/>
      <c r="J165" s="2697"/>
      <c r="K165" s="2704"/>
      <c r="L165" s="2691"/>
      <c r="M165" s="2691"/>
      <c r="N165" s="2691"/>
      <c r="O165" s="2695"/>
      <c r="P165" s="2710"/>
    </row>
    <row r="166" spans="1:16">
      <c r="A166" s="2690"/>
      <c r="B166" s="2690"/>
      <c r="C166" s="2691" t="s">
        <v>2317</v>
      </c>
      <c r="D166" s="2694"/>
      <c r="E166" s="2691"/>
      <c r="F166" s="2691"/>
      <c r="G166" s="2691"/>
      <c r="H166" s="2691"/>
      <c r="I166" s="2695" t="str">
        <f>'Part I-Project Information'!I160</f>
        <v>No</v>
      </c>
      <c r="J166" s="2691"/>
      <c r="K166" s="2691"/>
      <c r="L166" s="2691" t="s">
        <v>1688</v>
      </c>
      <c r="M166" s="2691"/>
      <c r="N166" s="2691"/>
      <c r="O166" s="2691"/>
      <c r="P166" s="2695" t="str">
        <f>'Part I-Project Information'!P160</f>
        <v>No</v>
      </c>
    </row>
    <row r="167" spans="1:16">
      <c r="A167" s="2690"/>
      <c r="B167" s="2690"/>
      <c r="C167" s="2691" t="s">
        <v>2319</v>
      </c>
      <c r="D167" s="2691"/>
      <c r="E167" s="2691"/>
      <c r="F167" s="2691"/>
      <c r="G167" s="2691"/>
      <c r="H167" s="2691"/>
      <c r="I167" s="2695" t="str">
        <f>'Part I-Project Information'!I161</f>
        <v>Yes</v>
      </c>
      <c r="J167" s="2691"/>
      <c r="K167" s="2691"/>
      <c r="L167" s="2691" t="s">
        <v>3186</v>
      </c>
      <c r="M167" s="2691"/>
      <c r="N167" s="2691"/>
      <c r="O167" s="2691"/>
      <c r="P167" s="2695" t="str">
        <f>'Part I-Project Information'!P161</f>
        <v>No</v>
      </c>
    </row>
    <row r="168" spans="1:16" ht="13.5">
      <c r="A168" s="2690"/>
      <c r="B168" s="2691"/>
      <c r="C168" s="2691" t="s">
        <v>2896</v>
      </c>
      <c r="D168" s="2691"/>
      <c r="E168" s="2691"/>
      <c r="F168" s="2691"/>
      <c r="G168" s="2691"/>
      <c r="H168" s="2691"/>
      <c r="I168" s="2695" t="str">
        <f>'Part I-Project Information'!I162</f>
        <v>No</v>
      </c>
      <c r="J168" s="2691"/>
      <c r="K168" s="2691"/>
      <c r="L168" s="2691" t="s">
        <v>2849</v>
      </c>
      <c r="M168" s="2691"/>
      <c r="N168" s="2761">
        <f>'Part I-Project Information'!N162</f>
        <v>0</v>
      </c>
      <c r="O168" s="2761"/>
      <c r="P168" s="2695" t="str">
        <f>'Part I-Project Information'!P162</f>
        <v>No</v>
      </c>
    </row>
    <row r="169" spans="1:16" ht="13.5">
      <c r="A169" s="2690"/>
      <c r="B169" s="2690"/>
      <c r="C169" s="2691" t="s">
        <v>1347</v>
      </c>
      <c r="D169" s="2762"/>
      <c r="E169" s="2691"/>
      <c r="F169" s="2691"/>
      <c r="G169" s="2691"/>
      <c r="H169" s="2691"/>
      <c r="I169" s="2695" t="str">
        <f>'Part I-Project Information'!I163</f>
        <v>No</v>
      </c>
      <c r="J169" s="2691"/>
      <c r="K169" s="2694"/>
      <c r="L169" s="2691" t="s">
        <v>4225</v>
      </c>
      <c r="M169" s="2691"/>
      <c r="N169" s="2691"/>
      <c r="O169" s="2691"/>
      <c r="P169" s="2695" t="str">
        <f>'Part I-Project Information'!P163</f>
        <v>No</v>
      </c>
    </row>
    <row r="170" spans="1:16">
      <c r="A170" s="2690"/>
      <c r="B170" s="2694"/>
      <c r="C170" s="2691" t="s">
        <v>1898</v>
      </c>
      <c r="D170" s="2691"/>
      <c r="E170" s="2691"/>
      <c r="F170" s="2691"/>
      <c r="G170" s="2691"/>
      <c r="H170" s="2691"/>
      <c r="I170" s="2695" t="str">
        <f>'Part I-Project Information'!I164</f>
        <v>No</v>
      </c>
      <c r="J170" s="2758" t="s">
        <v>3018</v>
      </c>
      <c r="K170" s="2691"/>
      <c r="L170" s="2691"/>
      <c r="M170" s="2691"/>
      <c r="N170" s="2691"/>
      <c r="O170" s="2763">
        <f>'Part I-Project Information'!O164</f>
        <v>0</v>
      </c>
      <c r="P170" s="2763"/>
    </row>
    <row r="171" spans="1:16">
      <c r="A171" s="2690"/>
      <c r="B171" s="2690"/>
      <c r="C171" s="2691" t="s">
        <v>3297</v>
      </c>
      <c r="D171" s="2691"/>
      <c r="E171" s="2691"/>
      <c r="F171" s="2691"/>
      <c r="G171" s="2691"/>
      <c r="H171" s="2691"/>
      <c r="I171" s="2695" t="str">
        <f>'Part I-Project Information'!I165</f>
        <v>No</v>
      </c>
      <c r="J171" s="2758" t="s">
        <v>3018</v>
      </c>
      <c r="K171" s="2691"/>
      <c r="L171" s="2691"/>
      <c r="M171" s="2691"/>
      <c r="N171" s="2691"/>
      <c r="O171" s="2763">
        <f>'Part I-Project Information'!O165</f>
        <v>0</v>
      </c>
      <c r="P171" s="2763"/>
    </row>
    <row r="172" spans="1:16">
      <c r="A172" s="2690"/>
      <c r="B172" s="2690"/>
      <c r="C172" s="2691" t="s">
        <v>3298</v>
      </c>
      <c r="D172" s="2691"/>
      <c r="E172" s="2691"/>
      <c r="F172" s="2691"/>
      <c r="G172" s="2691"/>
      <c r="H172" s="2691"/>
      <c r="I172" s="2695" t="str">
        <f>'Part I-Project Information'!I166</f>
        <v>No</v>
      </c>
      <c r="J172" s="2758" t="s">
        <v>3018</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1824</v>
      </c>
      <c r="C174" s="2692" t="s">
        <v>779</v>
      </c>
      <c r="D174" s="2691"/>
      <c r="E174" s="2691"/>
      <c r="F174" s="2691"/>
      <c r="G174" s="2691"/>
      <c r="H174" s="2691"/>
      <c r="I174" s="2691"/>
      <c r="J174" s="2691"/>
      <c r="K174" s="2691"/>
      <c r="L174" s="2691"/>
      <c r="M174" s="2691"/>
      <c r="N174" s="2691"/>
      <c r="O174" s="2691"/>
      <c r="P174" s="2691"/>
    </row>
    <row r="175" spans="1:16">
      <c r="A175" s="2690"/>
      <c r="B175" s="2690"/>
      <c r="C175" s="2699" t="s">
        <v>670</v>
      </c>
      <c r="D175" s="2708"/>
      <c r="E175" s="2708"/>
      <c r="F175" s="2695"/>
      <c r="G175" s="2695"/>
      <c r="H175" s="2748">
        <f>'Part I-Project Information'!H169</f>
        <v>42522</v>
      </c>
      <c r="I175" s="2748"/>
      <c r="J175" s="2691"/>
      <c r="K175" s="2691"/>
      <c r="L175" s="2691"/>
      <c r="M175" s="2691"/>
      <c r="N175" s="2691"/>
      <c r="O175" s="2691"/>
      <c r="P175" s="2710"/>
    </row>
    <row r="176" spans="1:16">
      <c r="A176" s="2690"/>
      <c r="B176" s="2690"/>
      <c r="C176" s="2699" t="s">
        <v>288</v>
      </c>
      <c r="D176" s="2708"/>
      <c r="E176" s="2708"/>
      <c r="F176" s="2695"/>
      <c r="G176" s="2695"/>
      <c r="H176" s="2748">
        <f>'Part I-Project Information'!H170</f>
        <v>43100</v>
      </c>
      <c r="I176" s="2748"/>
      <c r="J176" s="2691"/>
      <c r="K176" s="2691"/>
      <c r="L176" s="2691"/>
      <c r="M176" s="2691"/>
      <c r="N176" s="2691"/>
      <c r="O176" s="2691"/>
      <c r="P176" s="2710"/>
    </row>
    <row r="177" spans="1:19">
      <c r="A177" s="2690"/>
      <c r="B177" s="2690"/>
      <c r="C177" s="2699" t="s">
        <v>2404</v>
      </c>
      <c r="D177" s="2708"/>
      <c r="E177" s="2708"/>
      <c r="F177" s="2695"/>
      <c r="G177" s="2695"/>
      <c r="H177" s="2748">
        <f>'Part I-Project Information'!H171</f>
        <v>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3088</v>
      </c>
      <c r="B179" s="2740"/>
      <c r="C179" s="2737" t="s">
        <v>599</v>
      </c>
      <c r="D179" s="2697"/>
      <c r="E179" s="2697"/>
      <c r="F179" s="2697"/>
      <c r="G179" s="2697"/>
      <c r="H179" s="2697"/>
      <c r="I179" s="2697"/>
      <c r="J179" s="2697"/>
      <c r="K179" s="2737" t="s">
        <v>2360</v>
      </c>
      <c r="L179" s="2737" t="s">
        <v>81</v>
      </c>
      <c r="M179" s="2697"/>
      <c r="N179" s="2697"/>
      <c r="O179" s="2697"/>
      <c r="P179" s="2697"/>
    </row>
    <row r="180" spans="1:19" ht="13.5">
      <c r="A180" s="2764">
        <f>'Part I-Project Information'!A174</f>
        <v>0</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2015-056 Lakeview Apartments, Fort Valley, Peach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647</v>
      </c>
      <c r="B185" s="2692" t="s">
        <v>1951</v>
      </c>
      <c r="C185" s="2692"/>
      <c r="D185" s="2691"/>
      <c r="E185" s="2692"/>
      <c r="F185" s="2692"/>
      <c r="G185" s="2692"/>
      <c r="H185" s="2692" t="s">
        <v>4020</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2081</v>
      </c>
      <c r="C187" s="2692" t="s">
        <v>1947</v>
      </c>
      <c r="D187" s="2691"/>
      <c r="E187" s="2691"/>
      <c r="F187" s="2691"/>
      <c r="G187" s="2691"/>
      <c r="H187" s="2706" t="str">
        <f>'Part II-Development Team'!H5</f>
        <v>Lakeview Housing Partners, LP</v>
      </c>
      <c r="I187" s="2749"/>
      <c r="J187" s="2749"/>
      <c r="K187" s="2749"/>
      <c r="L187" s="2749"/>
      <c r="M187" s="2749"/>
      <c r="N187" s="2749"/>
      <c r="O187" s="2699" t="s">
        <v>2088</v>
      </c>
      <c r="P187" s="2699"/>
      <c r="Q187" s="2706" t="str">
        <f>'Part II-Development Team'!Q5</f>
        <v>Jack Hammer</v>
      </c>
      <c r="R187" s="2749"/>
      <c r="S187" s="2749"/>
    </row>
    <row r="188" spans="1:19">
      <c r="A188" s="2691"/>
      <c r="B188" s="2691"/>
      <c r="C188" s="2691"/>
      <c r="D188" s="2765"/>
      <c r="E188" s="2699" t="s">
        <v>1071</v>
      </c>
      <c r="F188" s="2702"/>
      <c r="G188" s="2691"/>
      <c r="H188" s="2706" t="str">
        <f>'Part II-Development Team'!H6</f>
        <v>5505 Interstate North Parkway, NW</v>
      </c>
      <c r="I188" s="2749"/>
      <c r="J188" s="2749"/>
      <c r="K188" s="2749"/>
      <c r="L188" s="2749"/>
      <c r="M188" s="2749"/>
      <c r="N188" s="2749"/>
      <c r="O188" s="2699" t="s">
        <v>1835</v>
      </c>
      <c r="P188" s="2691"/>
      <c r="Q188" s="2706" t="str">
        <f>'Part II-Development Team'!Q6</f>
        <v>President</v>
      </c>
      <c r="R188" s="2749"/>
      <c r="S188" s="2749"/>
    </row>
    <row r="189" spans="1:19">
      <c r="A189" s="2691"/>
      <c r="B189" s="2691"/>
      <c r="C189" s="2691"/>
      <c r="D189" s="2765"/>
      <c r="E189" s="2699" t="s">
        <v>649</v>
      </c>
      <c r="F189" s="2691"/>
      <c r="G189" s="2691"/>
      <c r="H189" s="2706" t="str">
        <f>'Part II-Development Team'!H7</f>
        <v>Atlanta</v>
      </c>
      <c r="I189" s="2749"/>
      <c r="J189" s="2749"/>
      <c r="K189" s="2695" t="s">
        <v>803</v>
      </c>
      <c r="L189" s="2706">
        <f>'Part II-Development Team'!L7</f>
        <v>0</v>
      </c>
      <c r="M189" s="2749"/>
      <c r="N189" s="2749"/>
      <c r="O189" s="2699" t="s">
        <v>1891</v>
      </c>
      <c r="P189" s="2691"/>
      <c r="Q189" s="2707">
        <f>'Part II-Development Team'!Q7</f>
        <v>6788161329</v>
      </c>
      <c r="R189" s="2707"/>
      <c r="S189" s="2707"/>
    </row>
    <row r="190" spans="1:19">
      <c r="A190" s="2691"/>
      <c r="B190" s="2691"/>
      <c r="C190" s="2691"/>
      <c r="D190" s="2765"/>
      <c r="E190" s="2699" t="s">
        <v>1887</v>
      </c>
      <c r="F190" s="2691"/>
      <c r="G190" s="2691"/>
      <c r="H190" s="2695" t="str">
        <f>'Part II-Development Team'!H8</f>
        <v>GA</v>
      </c>
      <c r="I190" s="2695" t="s">
        <v>4553</v>
      </c>
      <c r="J190" s="2709">
        <f>'Part II-Development Team'!J8</f>
        <v>303285836</v>
      </c>
      <c r="K190" s="2749"/>
      <c r="L190" s="2766"/>
      <c r="M190" s="2766"/>
      <c r="N190" s="2766"/>
      <c r="O190" s="2699" t="s">
        <v>2077</v>
      </c>
      <c r="P190" s="2691"/>
      <c r="Q190" s="2707">
        <f>'Part II-Development Team'!Q8</f>
        <v>0</v>
      </c>
      <c r="R190" s="2707"/>
      <c r="S190" s="2707"/>
    </row>
    <row r="191" spans="1:19">
      <c r="A191" s="2691"/>
      <c r="B191" s="2691"/>
      <c r="C191" s="2691"/>
      <c r="D191" s="2765"/>
      <c r="E191" s="2699" t="s">
        <v>2083</v>
      </c>
      <c r="F191" s="2691"/>
      <c r="G191" s="2691"/>
      <c r="H191" s="2707">
        <f>'Part II-Development Team'!H9</f>
        <v>6788161329</v>
      </c>
      <c r="I191" s="2707"/>
      <c r="J191" s="2704">
        <f>'Part II-Development Team'!J9</f>
        <v>0</v>
      </c>
      <c r="K191" s="2695" t="s">
        <v>1890</v>
      </c>
      <c r="L191" s="2707">
        <f>'Part II-Development Team'!L9</f>
        <v>6788161299</v>
      </c>
      <c r="M191" s="2707"/>
      <c r="N191" s="2702" t="s">
        <v>2082</v>
      </c>
      <c r="O191" s="2711" t="str">
        <f>'Part II-Development Team'!O9</f>
        <v>jhammer@hsimanagement.com</v>
      </c>
      <c r="P191" s="2711"/>
      <c r="Q191" s="2711"/>
      <c r="R191" s="2711"/>
      <c r="S191" s="2711"/>
    </row>
    <row r="192" spans="1:19" ht="13.5">
      <c r="A192" s="2691"/>
      <c r="B192" s="2691"/>
      <c r="C192" s="2691"/>
      <c r="D192" s="2765"/>
      <c r="E192" s="2693" t="s">
        <v>2918</v>
      </c>
      <c r="F192" s="2691"/>
      <c r="G192" s="2691"/>
      <c r="H192" s="2756"/>
      <c r="I192" s="2691"/>
      <c r="J192" s="2691"/>
      <c r="K192" s="2767"/>
      <c r="L192" s="2691"/>
      <c r="M192" s="2691"/>
      <c r="N192" s="2694" t="s">
        <v>4372</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2084</v>
      </c>
      <c r="C194" s="2692" t="s">
        <v>1948</v>
      </c>
      <c r="D194" s="2691"/>
      <c r="E194" s="2691"/>
      <c r="F194" s="2692"/>
      <c r="G194" s="2692"/>
      <c r="H194" s="2692"/>
      <c r="I194" s="2692"/>
      <c r="J194" s="2692"/>
      <c r="K194" s="2691"/>
      <c r="L194" s="2691"/>
      <c r="M194" s="2691"/>
      <c r="N194" s="2767" t="s">
        <v>4554</v>
      </c>
      <c r="O194" s="2691"/>
      <c r="P194" s="2769" t="s">
        <v>1345</v>
      </c>
      <c r="Q194" s="2691"/>
      <c r="R194" s="2691"/>
      <c r="S194" s="2691"/>
    </row>
    <row r="195" spans="1:19" ht="13.5">
      <c r="A195" s="2691"/>
      <c r="B195" s="2691"/>
      <c r="C195" s="2770" t="s">
        <v>2085</v>
      </c>
      <c r="D195" s="2740" t="s">
        <v>2086</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2217</v>
      </c>
      <c r="E196" s="2691" t="s">
        <v>1949</v>
      </c>
      <c r="F196" s="2691"/>
      <c r="G196" s="2691"/>
      <c r="H196" s="2706" t="str">
        <f>'Part II-Development Team'!H14</f>
        <v>Lakeview Housing HSI GP LLC</v>
      </c>
      <c r="I196" s="2749"/>
      <c r="J196" s="2749"/>
      <c r="K196" s="2749"/>
      <c r="L196" s="2749"/>
      <c r="M196" s="2749"/>
      <c r="N196" s="2749"/>
      <c r="O196" s="2699" t="s">
        <v>2088</v>
      </c>
      <c r="P196" s="2699"/>
      <c r="Q196" s="2706" t="str">
        <f>'Part II-Development Team'!Q14</f>
        <v>Jack Hammer</v>
      </c>
      <c r="R196" s="2749"/>
      <c r="S196" s="2749"/>
    </row>
    <row r="197" spans="1:19">
      <c r="A197" s="2691"/>
      <c r="B197" s="2691"/>
      <c r="C197" s="2691"/>
      <c r="D197" s="2765"/>
      <c r="E197" s="2699" t="s">
        <v>1071</v>
      </c>
      <c r="F197" s="2702"/>
      <c r="G197" s="2691"/>
      <c r="H197" s="2706" t="str">
        <f>'Part II-Development Team'!H15</f>
        <v>5505 Interstate North Parkway, NW</v>
      </c>
      <c r="I197" s="2749"/>
      <c r="J197" s="2749"/>
      <c r="K197" s="2749"/>
      <c r="L197" s="2749"/>
      <c r="M197" s="2749"/>
      <c r="N197" s="2749"/>
      <c r="O197" s="2699" t="s">
        <v>1835</v>
      </c>
      <c r="P197" s="2691"/>
      <c r="Q197" s="2706" t="str">
        <f>'Part II-Development Team'!Q15</f>
        <v>President</v>
      </c>
      <c r="R197" s="2749"/>
      <c r="S197" s="2749"/>
    </row>
    <row r="198" spans="1:19">
      <c r="A198" s="2691"/>
      <c r="B198" s="2691"/>
      <c r="C198" s="2691"/>
      <c r="D198" s="2765"/>
      <c r="E198" s="2699" t="s">
        <v>649</v>
      </c>
      <c r="F198" s="2691"/>
      <c r="G198" s="2691"/>
      <c r="H198" s="2706" t="str">
        <f>'Part II-Development Team'!H16</f>
        <v>Atlanta</v>
      </c>
      <c r="I198" s="2749"/>
      <c r="J198" s="2749"/>
      <c r="K198" s="2695" t="s">
        <v>2874</v>
      </c>
      <c r="L198" s="2706">
        <f>'Part II-Development Team'!L16</f>
        <v>0</v>
      </c>
      <c r="M198" s="2749"/>
      <c r="N198" s="2749"/>
      <c r="O198" s="2699" t="s">
        <v>1891</v>
      </c>
      <c r="P198" s="2691"/>
      <c r="Q198" s="2707">
        <f>'Part II-Development Team'!Q16</f>
        <v>6788161329</v>
      </c>
      <c r="R198" s="2707"/>
      <c r="S198" s="2707"/>
    </row>
    <row r="199" spans="1:19">
      <c r="A199" s="2691"/>
      <c r="B199" s="2691"/>
      <c r="C199" s="2691"/>
      <c r="D199" s="2694"/>
      <c r="E199" s="2699" t="s">
        <v>1887</v>
      </c>
      <c r="F199" s="2691"/>
      <c r="G199" s="2691"/>
      <c r="H199" s="2695" t="str">
        <f>'Part II-Development Team'!H17</f>
        <v>GA</v>
      </c>
      <c r="I199" s="2695" t="s">
        <v>4553</v>
      </c>
      <c r="J199" s="2709">
        <f>'Part II-Development Team'!J17</f>
        <v>303285836</v>
      </c>
      <c r="K199" s="2749"/>
      <c r="L199" s="2691"/>
      <c r="M199" s="2691"/>
      <c r="N199" s="2691"/>
      <c r="O199" s="2699" t="s">
        <v>2077</v>
      </c>
      <c r="P199" s="2691"/>
      <c r="Q199" s="2707">
        <f>'Part II-Development Team'!Q17</f>
        <v>0</v>
      </c>
      <c r="R199" s="2707"/>
      <c r="S199" s="2707"/>
    </row>
    <row r="200" spans="1:19">
      <c r="A200" s="2691"/>
      <c r="B200" s="2691"/>
      <c r="C200" s="2691"/>
      <c r="D200" s="2765"/>
      <c r="E200" s="2699" t="s">
        <v>2083</v>
      </c>
      <c r="F200" s="2691"/>
      <c r="G200" s="2691"/>
      <c r="H200" s="2707">
        <f>'Part II-Development Team'!H18</f>
        <v>6788161329</v>
      </c>
      <c r="I200" s="2707"/>
      <c r="J200" s="2704">
        <f>'Part II-Development Team'!J18</f>
        <v>0</v>
      </c>
      <c r="K200" s="2695" t="s">
        <v>1890</v>
      </c>
      <c r="L200" s="2707">
        <f>'Part II-Development Team'!L18</f>
        <v>6788161299</v>
      </c>
      <c r="M200" s="2707"/>
      <c r="N200" s="2702" t="s">
        <v>2082</v>
      </c>
      <c r="O200" s="2711" t="str">
        <f>'Part II-Development Team'!O18</f>
        <v>jhammer@hsimanagement.com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2218</v>
      </c>
      <c r="E202" s="2691" t="s">
        <v>1950</v>
      </c>
      <c r="F202" s="2691"/>
      <c r="G202" s="2691"/>
      <c r="H202" s="2706">
        <f>'Part II-Development Team'!H20</f>
        <v>0</v>
      </c>
      <c r="I202" s="2706"/>
      <c r="J202" s="2706"/>
      <c r="K202" s="2706"/>
      <c r="L202" s="2706"/>
      <c r="M202" s="2706"/>
      <c r="N202" s="2706"/>
      <c r="O202" s="2699" t="s">
        <v>2088</v>
      </c>
      <c r="P202" s="2699"/>
      <c r="Q202" s="2706">
        <f>'Part II-Development Team'!Q20</f>
        <v>0</v>
      </c>
      <c r="R202" s="2706"/>
      <c r="S202" s="2706"/>
    </row>
    <row r="203" spans="1:19">
      <c r="A203" s="2691"/>
      <c r="B203" s="2691"/>
      <c r="C203" s="2691"/>
      <c r="D203" s="2765"/>
      <c r="E203" s="2699" t="s">
        <v>1071</v>
      </c>
      <c r="F203" s="2702"/>
      <c r="G203" s="2691"/>
      <c r="H203" s="2706">
        <f>'Part II-Development Team'!H21</f>
        <v>0</v>
      </c>
      <c r="I203" s="2706"/>
      <c r="J203" s="2706"/>
      <c r="K203" s="2706"/>
      <c r="L203" s="2706"/>
      <c r="M203" s="2706"/>
      <c r="N203" s="2706"/>
      <c r="O203" s="2699" t="s">
        <v>1835</v>
      </c>
      <c r="P203" s="2691"/>
      <c r="Q203" s="2706">
        <f>'Part II-Development Team'!Q21</f>
        <v>0</v>
      </c>
      <c r="R203" s="2706"/>
      <c r="S203" s="2706"/>
    </row>
    <row r="204" spans="1:19">
      <c r="A204" s="2691"/>
      <c r="B204" s="2691"/>
      <c r="C204" s="2691"/>
      <c r="D204" s="2765"/>
      <c r="E204" s="2699" t="s">
        <v>649</v>
      </c>
      <c r="F204" s="2691"/>
      <c r="G204" s="2691"/>
      <c r="H204" s="2706">
        <f>'Part II-Development Team'!H22</f>
        <v>0</v>
      </c>
      <c r="I204" s="2706"/>
      <c r="J204" s="2706"/>
      <c r="K204" s="2695" t="s">
        <v>2874</v>
      </c>
      <c r="L204" s="2706">
        <f>'Part II-Development Team'!L22</f>
        <v>0</v>
      </c>
      <c r="M204" s="2706"/>
      <c r="N204" s="2706"/>
      <c r="O204" s="2699" t="s">
        <v>1891</v>
      </c>
      <c r="P204" s="2691"/>
      <c r="Q204" s="2707">
        <f>'Part II-Development Team'!Q22</f>
        <v>0</v>
      </c>
      <c r="R204" s="2707"/>
      <c r="S204" s="2707"/>
    </row>
    <row r="205" spans="1:19">
      <c r="A205" s="2691"/>
      <c r="B205" s="2691"/>
      <c r="C205" s="2691"/>
      <c r="D205" s="2691"/>
      <c r="E205" s="2699" t="s">
        <v>1887</v>
      </c>
      <c r="F205" s="2691"/>
      <c r="G205" s="2691"/>
      <c r="H205" s="2695">
        <f>'Part II-Development Team'!H23</f>
        <v>0</v>
      </c>
      <c r="I205" s="2695" t="s">
        <v>4553</v>
      </c>
      <c r="J205" s="2709">
        <f>'Part II-Development Team'!J23</f>
        <v>0</v>
      </c>
      <c r="K205" s="2709"/>
      <c r="L205" s="2691"/>
      <c r="M205" s="2691"/>
      <c r="N205" s="2691"/>
      <c r="O205" s="2699" t="s">
        <v>2077</v>
      </c>
      <c r="P205" s="2691"/>
      <c r="Q205" s="2707">
        <f>'Part II-Development Team'!Q23</f>
        <v>0</v>
      </c>
      <c r="R205" s="2707"/>
      <c r="S205" s="2707"/>
    </row>
    <row r="206" spans="1:19">
      <c r="A206" s="2691"/>
      <c r="B206" s="2691"/>
      <c r="C206" s="2691"/>
      <c r="D206" s="2765"/>
      <c r="E206" s="2699" t="s">
        <v>2083</v>
      </c>
      <c r="F206" s="2691"/>
      <c r="G206" s="2691"/>
      <c r="H206" s="2707">
        <f>'Part II-Development Team'!H24</f>
        <v>0</v>
      </c>
      <c r="I206" s="2707"/>
      <c r="J206" s="2704">
        <f>'Part II-Development Team'!J24</f>
        <v>0</v>
      </c>
      <c r="K206" s="2695" t="s">
        <v>1890</v>
      </c>
      <c r="L206" s="2707">
        <f>'Part II-Development Team'!L24</f>
        <v>0</v>
      </c>
      <c r="M206" s="2707"/>
      <c r="N206" s="2702" t="s">
        <v>2082</v>
      </c>
      <c r="O206" s="2711">
        <f>'Part II-Development Team'!O24</f>
        <v>0</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1822</v>
      </c>
      <c r="E208" s="2691" t="s">
        <v>1950</v>
      </c>
      <c r="F208" s="2691"/>
      <c r="G208" s="2691"/>
      <c r="H208" s="2706">
        <f>'Part II-Development Team'!H26</f>
        <v>0</v>
      </c>
      <c r="I208" s="2706"/>
      <c r="J208" s="2706"/>
      <c r="K208" s="2706"/>
      <c r="L208" s="2706"/>
      <c r="M208" s="2706"/>
      <c r="N208" s="2706"/>
      <c r="O208" s="2699" t="s">
        <v>2088</v>
      </c>
      <c r="P208" s="2699"/>
      <c r="Q208" s="2706">
        <f>'Part II-Development Team'!Q26</f>
        <v>0</v>
      </c>
      <c r="R208" s="2706"/>
      <c r="S208" s="2706"/>
    </row>
    <row r="209" spans="1:19">
      <c r="A209" s="2691"/>
      <c r="B209" s="2691"/>
      <c r="C209" s="2691"/>
      <c r="D209" s="2765"/>
      <c r="E209" s="2699" t="s">
        <v>1071</v>
      </c>
      <c r="F209" s="2702"/>
      <c r="G209" s="2691"/>
      <c r="H209" s="2706">
        <f>'Part II-Development Team'!H27</f>
        <v>0</v>
      </c>
      <c r="I209" s="2706"/>
      <c r="J209" s="2706"/>
      <c r="K209" s="2706"/>
      <c r="L209" s="2706"/>
      <c r="M209" s="2706"/>
      <c r="N209" s="2706"/>
      <c r="O209" s="2699" t="s">
        <v>1835</v>
      </c>
      <c r="P209" s="2691"/>
      <c r="Q209" s="2706">
        <f>'Part II-Development Team'!Q27</f>
        <v>0</v>
      </c>
      <c r="R209" s="2706"/>
      <c r="S209" s="2706"/>
    </row>
    <row r="210" spans="1:19">
      <c r="A210" s="2691"/>
      <c r="B210" s="2691"/>
      <c r="C210" s="2691"/>
      <c r="D210" s="2765"/>
      <c r="E210" s="2699" t="s">
        <v>649</v>
      </c>
      <c r="F210" s="2691"/>
      <c r="G210" s="2691"/>
      <c r="H210" s="2706">
        <f>'Part II-Development Team'!H28</f>
        <v>0</v>
      </c>
      <c r="I210" s="2706"/>
      <c r="J210" s="2706"/>
      <c r="K210" s="2695" t="s">
        <v>2874</v>
      </c>
      <c r="L210" s="2706">
        <f>'Part II-Development Team'!L28</f>
        <v>0</v>
      </c>
      <c r="M210" s="2706"/>
      <c r="N210" s="2706"/>
      <c r="O210" s="2699" t="s">
        <v>1891</v>
      </c>
      <c r="P210" s="2691"/>
      <c r="Q210" s="2707">
        <f>'Part II-Development Team'!Q28</f>
        <v>0</v>
      </c>
      <c r="R210" s="2707"/>
      <c r="S210" s="2707"/>
    </row>
    <row r="211" spans="1:19">
      <c r="A211" s="2691"/>
      <c r="B211" s="2691"/>
      <c r="C211" s="2691"/>
      <c r="D211" s="2691"/>
      <c r="E211" s="2699" t="s">
        <v>1887</v>
      </c>
      <c r="F211" s="2691"/>
      <c r="G211" s="2691"/>
      <c r="H211" s="2695">
        <f>'Part II-Development Team'!H29</f>
        <v>0</v>
      </c>
      <c r="I211" s="2695" t="s">
        <v>4553</v>
      </c>
      <c r="J211" s="2709">
        <f>'Part II-Development Team'!J29</f>
        <v>0</v>
      </c>
      <c r="K211" s="2709"/>
      <c r="L211" s="2691"/>
      <c r="M211" s="2691"/>
      <c r="N211" s="2691"/>
      <c r="O211" s="2699" t="s">
        <v>2077</v>
      </c>
      <c r="P211" s="2691"/>
      <c r="Q211" s="2707">
        <f>'Part II-Development Team'!Q29</f>
        <v>0</v>
      </c>
      <c r="R211" s="2707"/>
      <c r="S211" s="2707"/>
    </row>
    <row r="212" spans="1:19">
      <c r="A212" s="2691"/>
      <c r="B212" s="2691"/>
      <c r="C212" s="2691"/>
      <c r="D212" s="2765"/>
      <c r="E212" s="2699" t="s">
        <v>2083</v>
      </c>
      <c r="F212" s="2691"/>
      <c r="G212" s="2691"/>
      <c r="H212" s="2707">
        <f>'Part II-Development Team'!H30</f>
        <v>0</v>
      </c>
      <c r="I212" s="2707"/>
      <c r="J212" s="2704">
        <f>'Part II-Development Team'!J30</f>
        <v>0</v>
      </c>
      <c r="K212" s="2695" t="s">
        <v>1890</v>
      </c>
      <c r="L212" s="2707">
        <f>'Part II-Development Team'!L30</f>
        <v>0</v>
      </c>
      <c r="M212" s="2707"/>
      <c r="N212" s="2702" t="s">
        <v>2082</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2087</v>
      </c>
      <c r="D214" s="2740" t="s">
        <v>1952</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2217</v>
      </c>
      <c r="E215" s="2691" t="s">
        <v>790</v>
      </c>
      <c r="F215" s="2691"/>
      <c r="G215" s="2691"/>
      <c r="H215" s="2706" t="str">
        <f>'Part II-Development Team'!H33</f>
        <v>CREA Lakeview, LLC</v>
      </c>
      <c r="I215" s="2706"/>
      <c r="J215" s="2706"/>
      <c r="K215" s="2706"/>
      <c r="L215" s="2706"/>
      <c r="M215" s="2706"/>
      <c r="N215" s="2706"/>
      <c r="O215" s="2699" t="s">
        <v>2088</v>
      </c>
      <c r="P215" s="2699"/>
      <c r="Q215" s="2706" t="str">
        <f>'Part II-Development Team'!Q33</f>
        <v>Bradley Bullock</v>
      </c>
      <c r="R215" s="2706"/>
      <c r="S215" s="2706"/>
    </row>
    <row r="216" spans="1:19">
      <c r="A216" s="2691"/>
      <c r="B216" s="2691"/>
      <c r="C216" s="2691"/>
      <c r="D216" s="2765"/>
      <c r="E216" s="2699" t="s">
        <v>1071</v>
      </c>
      <c r="F216" s="2702"/>
      <c r="G216" s="2691"/>
      <c r="H216" s="2706" t="str">
        <f>'Part II-Development Team'!H34</f>
        <v>1500 SW 1st Avenue, Suite 1090</v>
      </c>
      <c r="I216" s="2706"/>
      <c r="J216" s="2706"/>
      <c r="K216" s="2706"/>
      <c r="L216" s="2706"/>
      <c r="M216" s="2706"/>
      <c r="N216" s="2706"/>
      <c r="O216" s="2699" t="s">
        <v>1835</v>
      </c>
      <c r="P216" s="2691"/>
      <c r="Q216" s="2706" t="str">
        <f>'Part II-Development Team'!Q34</f>
        <v>Senior Vice President</v>
      </c>
      <c r="R216" s="2706"/>
      <c r="S216" s="2706"/>
    </row>
    <row r="217" spans="1:19">
      <c r="A217" s="2691"/>
      <c r="B217" s="2691"/>
      <c r="C217" s="2691"/>
      <c r="D217" s="2765"/>
      <c r="E217" s="2699" t="s">
        <v>649</v>
      </c>
      <c r="F217" s="2691"/>
      <c r="G217" s="2691"/>
      <c r="H217" s="2706" t="str">
        <f>'Part II-Development Team'!H35</f>
        <v>Portland</v>
      </c>
      <c r="I217" s="2706"/>
      <c r="J217" s="2706"/>
      <c r="K217" s="2695" t="s">
        <v>2874</v>
      </c>
      <c r="L217" s="2706" t="str">
        <f>'Part II-Development Team'!L35</f>
        <v>http://www.cityrealestateadvisors.com/</v>
      </c>
      <c r="M217" s="2706"/>
      <c r="N217" s="2706"/>
      <c r="O217" s="2699" t="s">
        <v>1891</v>
      </c>
      <c r="P217" s="2691"/>
      <c r="Q217" s="2707">
        <f>'Part II-Development Team'!Q35</f>
        <v>5032905034</v>
      </c>
      <c r="R217" s="2707"/>
      <c r="S217" s="2707"/>
    </row>
    <row r="218" spans="1:19">
      <c r="A218" s="2691"/>
      <c r="B218" s="2691"/>
      <c r="C218" s="2691"/>
      <c r="D218" s="2691"/>
      <c r="E218" s="2699" t="s">
        <v>1887</v>
      </c>
      <c r="F218" s="2691"/>
      <c r="G218" s="2691"/>
      <c r="H218" s="2695" t="str">
        <f>'Part II-Development Team'!H36</f>
        <v>OR</v>
      </c>
      <c r="I218" s="2695" t="s">
        <v>4553</v>
      </c>
      <c r="J218" s="2709">
        <f>'Part II-Development Team'!J36</f>
        <v>972015882</v>
      </c>
      <c r="K218" s="2709"/>
      <c r="L218" s="2691"/>
      <c r="M218" s="2691"/>
      <c r="N218" s="2691"/>
      <c r="O218" s="2699" t="s">
        <v>2077</v>
      </c>
      <c r="P218" s="2691"/>
      <c r="Q218" s="2707">
        <f>'Part II-Development Team'!Q36</f>
        <v>0</v>
      </c>
      <c r="R218" s="2707"/>
      <c r="S218" s="2707"/>
    </row>
    <row r="219" spans="1:19">
      <c r="A219" s="2691"/>
      <c r="B219" s="2691"/>
      <c r="C219" s="2691"/>
      <c r="D219" s="2765"/>
      <c r="E219" s="2699" t="s">
        <v>2083</v>
      </c>
      <c r="F219" s="2691"/>
      <c r="G219" s="2691"/>
      <c r="H219" s="2707">
        <f>'Part II-Development Team'!H37</f>
        <v>5032905034</v>
      </c>
      <c r="I219" s="2707"/>
      <c r="J219" s="2704">
        <f>'Part II-Development Team'!J37</f>
        <v>0</v>
      </c>
      <c r="K219" s="2695" t="s">
        <v>1890</v>
      </c>
      <c r="L219" s="2707">
        <f>'Part II-Development Team'!L37</f>
        <v>5032905035</v>
      </c>
      <c r="M219" s="2707"/>
      <c r="N219" s="2702" t="s">
        <v>2082</v>
      </c>
      <c r="O219" s="2711" t="str">
        <f>'Part II-Development Team'!O37</f>
        <v>bbullock@cityrealestateadvisors.com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2218</v>
      </c>
      <c r="E221" s="2691" t="s">
        <v>791</v>
      </c>
      <c r="F221" s="2694"/>
      <c r="G221" s="2691"/>
      <c r="H221" s="2706" t="str">
        <f>'Part II-Development Team'!H39</f>
        <v>CREA SLP, LLC</v>
      </c>
      <c r="I221" s="2749"/>
      <c r="J221" s="2749"/>
      <c r="K221" s="2749"/>
      <c r="L221" s="2749"/>
      <c r="M221" s="2749"/>
      <c r="N221" s="2749"/>
      <c r="O221" s="2699" t="s">
        <v>2088</v>
      </c>
      <c r="P221" s="2699"/>
      <c r="Q221" s="2706" t="str">
        <f>'Part II-Development Team'!Q39</f>
        <v>Bradley Bullock</v>
      </c>
      <c r="R221" s="2749"/>
      <c r="S221" s="2749"/>
    </row>
    <row r="222" spans="1:19">
      <c r="A222" s="2691"/>
      <c r="B222" s="2691"/>
      <c r="C222" s="2691"/>
      <c r="D222" s="2765"/>
      <c r="E222" s="2699" t="s">
        <v>1071</v>
      </c>
      <c r="F222" s="2702"/>
      <c r="G222" s="2691"/>
      <c r="H222" s="2706" t="str">
        <f>'Part II-Development Team'!H40</f>
        <v>1500 SW 1st Avenue, Suite 1090</v>
      </c>
      <c r="I222" s="2749"/>
      <c r="J222" s="2749"/>
      <c r="K222" s="2749"/>
      <c r="L222" s="2749"/>
      <c r="M222" s="2749"/>
      <c r="N222" s="2749"/>
      <c r="O222" s="2699" t="s">
        <v>1835</v>
      </c>
      <c r="P222" s="2691"/>
      <c r="Q222" s="2706" t="str">
        <f>'Part II-Development Team'!Q40</f>
        <v>Senior Vice President</v>
      </c>
      <c r="R222" s="2749"/>
      <c r="S222" s="2749"/>
    </row>
    <row r="223" spans="1:19">
      <c r="A223" s="2691"/>
      <c r="B223" s="2691"/>
      <c r="C223" s="2691"/>
      <c r="D223" s="2765"/>
      <c r="E223" s="2699" t="s">
        <v>649</v>
      </c>
      <c r="F223" s="2691"/>
      <c r="G223" s="2691"/>
      <c r="H223" s="2706" t="str">
        <f>'Part II-Development Team'!H41</f>
        <v>Portland</v>
      </c>
      <c r="I223" s="2749"/>
      <c r="J223" s="2749"/>
      <c r="K223" s="2695" t="s">
        <v>2874</v>
      </c>
      <c r="L223" s="2706" t="str">
        <f>'Part II-Development Team'!L41</f>
        <v>http://www.cityrealestateadvisors.com/</v>
      </c>
      <c r="M223" s="2749"/>
      <c r="N223" s="2749"/>
      <c r="O223" s="2699" t="s">
        <v>1891</v>
      </c>
      <c r="P223" s="2691"/>
      <c r="Q223" s="2707">
        <f>'Part II-Development Team'!Q41</f>
        <v>5032905034</v>
      </c>
      <c r="R223" s="2707"/>
      <c r="S223" s="2707"/>
    </row>
    <row r="224" spans="1:19">
      <c r="A224" s="2691"/>
      <c r="B224" s="2691"/>
      <c r="C224" s="2691"/>
      <c r="D224" s="2694"/>
      <c r="E224" s="2699" t="s">
        <v>1887</v>
      </c>
      <c r="F224" s="2691"/>
      <c r="G224" s="2691"/>
      <c r="H224" s="2695" t="str">
        <f>'Part II-Development Team'!H42</f>
        <v>OR</v>
      </c>
      <c r="I224" s="2695" t="s">
        <v>4553</v>
      </c>
      <c r="J224" s="2709">
        <f>'Part II-Development Team'!J42</f>
        <v>972015882</v>
      </c>
      <c r="K224" s="2749"/>
      <c r="L224" s="2691"/>
      <c r="M224" s="2691"/>
      <c r="N224" s="2691"/>
      <c r="O224" s="2699" t="s">
        <v>2077</v>
      </c>
      <c r="P224" s="2691"/>
      <c r="Q224" s="2707">
        <f>'Part II-Development Team'!Q42</f>
        <v>0</v>
      </c>
      <c r="R224" s="2707"/>
      <c r="S224" s="2707"/>
    </row>
    <row r="225" spans="1:19">
      <c r="A225" s="2691"/>
      <c r="B225" s="2691"/>
      <c r="C225" s="2691"/>
      <c r="D225" s="2765"/>
      <c r="E225" s="2699" t="s">
        <v>2083</v>
      </c>
      <c r="F225" s="2691"/>
      <c r="G225" s="2691"/>
      <c r="H225" s="2707">
        <f>'Part II-Development Team'!H43</f>
        <v>5032905034</v>
      </c>
      <c r="I225" s="2707"/>
      <c r="J225" s="2704">
        <f>'Part II-Development Team'!J43</f>
        <v>0</v>
      </c>
      <c r="K225" s="2695" t="s">
        <v>1890</v>
      </c>
      <c r="L225" s="2707">
        <f>'Part II-Development Team'!L43</f>
        <v>5032905035</v>
      </c>
      <c r="M225" s="2707"/>
      <c r="N225" s="2702" t="s">
        <v>2082</v>
      </c>
      <c r="O225" s="2711" t="str">
        <f>'Part II-Development Team'!O43</f>
        <v>bbullock@cityrealestateadvisors.com</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2661</v>
      </c>
      <c r="D227" s="2740" t="s">
        <v>686</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2088</v>
      </c>
      <c r="P228" s="2699"/>
      <c r="Q228" s="2706">
        <f>'Part II-Development Team'!Q46</f>
        <v>0</v>
      </c>
      <c r="R228" s="2749"/>
      <c r="S228" s="2749"/>
    </row>
    <row r="229" spans="1:19">
      <c r="A229" s="2691"/>
      <c r="B229" s="2691"/>
      <c r="C229" s="2691"/>
      <c r="D229" s="2765"/>
      <c r="E229" s="2699" t="s">
        <v>1071</v>
      </c>
      <c r="F229" s="2702"/>
      <c r="G229" s="2691"/>
      <c r="H229" s="2706">
        <f>'Part II-Development Team'!H47</f>
        <v>0</v>
      </c>
      <c r="I229" s="2749"/>
      <c r="J229" s="2749"/>
      <c r="K229" s="2749"/>
      <c r="L229" s="2749"/>
      <c r="M229" s="2749"/>
      <c r="N229" s="2749"/>
      <c r="O229" s="2699" t="s">
        <v>1835</v>
      </c>
      <c r="P229" s="2691"/>
      <c r="Q229" s="2706">
        <f>'Part II-Development Team'!Q47</f>
        <v>0</v>
      </c>
      <c r="R229" s="2749"/>
      <c r="S229" s="2749"/>
    </row>
    <row r="230" spans="1:19">
      <c r="A230" s="2691"/>
      <c r="B230" s="2691"/>
      <c r="C230" s="2691"/>
      <c r="D230" s="2765"/>
      <c r="E230" s="2699" t="s">
        <v>649</v>
      </c>
      <c r="F230" s="2691"/>
      <c r="G230" s="2691"/>
      <c r="H230" s="2706">
        <f>'Part II-Development Team'!H48</f>
        <v>0</v>
      </c>
      <c r="I230" s="2749"/>
      <c r="J230" s="2749"/>
      <c r="K230" s="2695" t="s">
        <v>2874</v>
      </c>
      <c r="L230" s="2706">
        <f>'Part II-Development Team'!L48</f>
        <v>0</v>
      </c>
      <c r="M230" s="2749"/>
      <c r="N230" s="2749"/>
      <c r="O230" s="2699" t="s">
        <v>1891</v>
      </c>
      <c r="P230" s="2691"/>
      <c r="Q230" s="2707">
        <f>'Part II-Development Team'!Q48</f>
        <v>0</v>
      </c>
      <c r="R230" s="2707"/>
      <c r="S230" s="2707"/>
    </row>
    <row r="231" spans="1:19">
      <c r="A231" s="2691"/>
      <c r="B231" s="2691"/>
      <c r="C231" s="2691"/>
      <c r="D231" s="2691"/>
      <c r="E231" s="2699" t="s">
        <v>1887</v>
      </c>
      <c r="F231" s="2691"/>
      <c r="G231" s="2691"/>
      <c r="H231" s="2695">
        <f>'Part II-Development Team'!H49</f>
        <v>0</v>
      </c>
      <c r="I231" s="2695" t="s">
        <v>4553</v>
      </c>
      <c r="J231" s="2709">
        <f>'Part II-Development Team'!J49</f>
        <v>0</v>
      </c>
      <c r="K231" s="2749"/>
      <c r="L231" s="2691"/>
      <c r="M231" s="2691"/>
      <c r="N231" s="2691"/>
      <c r="O231" s="2699" t="s">
        <v>2077</v>
      </c>
      <c r="P231" s="2691"/>
      <c r="Q231" s="2707">
        <f>'Part II-Development Team'!Q49</f>
        <v>0</v>
      </c>
      <c r="R231" s="2707"/>
      <c r="S231" s="2707"/>
    </row>
    <row r="232" spans="1:19">
      <c r="A232" s="2691"/>
      <c r="B232" s="2691"/>
      <c r="C232" s="2691"/>
      <c r="D232" s="2765"/>
      <c r="E232" s="2699" t="s">
        <v>2083</v>
      </c>
      <c r="F232" s="2691"/>
      <c r="G232" s="2691"/>
      <c r="H232" s="2707">
        <f>'Part II-Development Team'!H50</f>
        <v>0</v>
      </c>
      <c r="I232" s="2707"/>
      <c r="J232" s="2704">
        <f>'Part II-Development Team'!J50</f>
        <v>0</v>
      </c>
      <c r="K232" s="2695" t="s">
        <v>1890</v>
      </c>
      <c r="L232" s="2707">
        <f>'Part II-Development Team'!L50</f>
        <v>0</v>
      </c>
      <c r="M232" s="2707"/>
      <c r="N232" s="2702" t="s">
        <v>2082</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780</v>
      </c>
      <c r="B234" s="2694" t="s">
        <v>687</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2081</v>
      </c>
      <c r="C236" s="2694" t="s">
        <v>295</v>
      </c>
      <c r="D236" s="2691"/>
      <c r="E236" s="2691"/>
      <c r="F236" s="2691"/>
      <c r="G236" s="2691"/>
      <c r="H236" s="2706" t="str">
        <f>'Part II-Development Team'!H54</f>
        <v>LVH Developers, LLC</v>
      </c>
      <c r="I236" s="2749"/>
      <c r="J236" s="2749"/>
      <c r="K236" s="2749"/>
      <c r="L236" s="2749"/>
      <c r="M236" s="2749"/>
      <c r="N236" s="2749"/>
      <c r="O236" s="2699" t="s">
        <v>2088</v>
      </c>
      <c r="P236" s="2699"/>
      <c r="Q236" s="2706" t="str">
        <f>'Part II-Development Team'!Q54</f>
        <v>Jack Hammer</v>
      </c>
      <c r="R236" s="2749"/>
      <c r="S236" s="2749"/>
    </row>
    <row r="237" spans="1:19">
      <c r="A237" s="2691"/>
      <c r="B237" s="2691"/>
      <c r="C237" s="2691"/>
      <c r="D237" s="2765"/>
      <c r="E237" s="2699" t="s">
        <v>1071</v>
      </c>
      <c r="F237" s="2702"/>
      <c r="G237" s="2691"/>
      <c r="H237" s="2706" t="str">
        <f>'Part II-Development Team'!H55</f>
        <v>5505 Interstate North Parkway, NW</v>
      </c>
      <c r="I237" s="2749"/>
      <c r="J237" s="2749"/>
      <c r="K237" s="2749"/>
      <c r="L237" s="2749"/>
      <c r="M237" s="2749"/>
      <c r="N237" s="2749"/>
      <c r="O237" s="2699" t="s">
        <v>1835</v>
      </c>
      <c r="P237" s="2691"/>
      <c r="Q237" s="2706" t="str">
        <f>'Part II-Development Team'!Q55</f>
        <v>Principal</v>
      </c>
      <c r="R237" s="2749"/>
      <c r="S237" s="2749"/>
    </row>
    <row r="238" spans="1:19">
      <c r="A238" s="2691"/>
      <c r="B238" s="2691"/>
      <c r="C238" s="2691"/>
      <c r="D238" s="2765"/>
      <c r="E238" s="2699" t="s">
        <v>649</v>
      </c>
      <c r="F238" s="2691"/>
      <c r="G238" s="2691"/>
      <c r="H238" s="2706" t="str">
        <f>'Part II-Development Team'!H56</f>
        <v>Atlanta</v>
      </c>
      <c r="I238" s="2749"/>
      <c r="J238" s="2749"/>
      <c r="K238" s="2695" t="s">
        <v>2874</v>
      </c>
      <c r="L238" s="2706">
        <f>'Part II-Development Team'!L56</f>
        <v>0</v>
      </c>
      <c r="M238" s="2749"/>
      <c r="N238" s="2749"/>
      <c r="O238" s="2699" t="s">
        <v>1891</v>
      </c>
      <c r="P238" s="2691"/>
      <c r="Q238" s="2707">
        <f>'Part II-Development Team'!Q56</f>
        <v>6788161329</v>
      </c>
      <c r="R238" s="2707"/>
      <c r="S238" s="2707"/>
    </row>
    <row r="239" spans="1:19">
      <c r="A239" s="2691"/>
      <c r="B239" s="2691"/>
      <c r="C239" s="2691"/>
      <c r="D239" s="2691"/>
      <c r="E239" s="2699" t="s">
        <v>1887</v>
      </c>
      <c r="F239" s="2691"/>
      <c r="G239" s="2691"/>
      <c r="H239" s="2695" t="str">
        <f>'Part II-Development Team'!H57</f>
        <v>GA</v>
      </c>
      <c r="I239" s="2695" t="s">
        <v>4553</v>
      </c>
      <c r="J239" s="2709">
        <f>'Part II-Development Team'!J57</f>
        <v>303285836</v>
      </c>
      <c r="K239" s="2749"/>
      <c r="L239" s="2691"/>
      <c r="M239" s="2691"/>
      <c r="N239" s="2691"/>
      <c r="O239" s="2699" t="s">
        <v>2077</v>
      </c>
      <c r="P239" s="2691"/>
      <c r="Q239" s="2707">
        <f>'Part II-Development Team'!Q57</f>
        <v>0</v>
      </c>
      <c r="R239" s="2707"/>
      <c r="S239" s="2707"/>
    </row>
    <row r="240" spans="1:19">
      <c r="A240" s="2691"/>
      <c r="B240" s="2691"/>
      <c r="C240" s="2691"/>
      <c r="D240" s="2765"/>
      <c r="E240" s="2699" t="s">
        <v>2083</v>
      </c>
      <c r="F240" s="2691"/>
      <c r="G240" s="2691"/>
      <c r="H240" s="2707">
        <f>'Part II-Development Team'!H58</f>
        <v>6788161329</v>
      </c>
      <c r="I240" s="2707"/>
      <c r="J240" s="2704">
        <f>'Part II-Development Team'!J58</f>
        <v>0</v>
      </c>
      <c r="K240" s="2695" t="s">
        <v>1890</v>
      </c>
      <c r="L240" s="2707">
        <f>'Part II-Development Team'!L58</f>
        <v>6788161299</v>
      </c>
      <c r="M240" s="2707"/>
      <c r="N240" s="2702" t="s">
        <v>2082</v>
      </c>
      <c r="O240" s="2711" t="str">
        <f>'Part II-Development Team'!O58</f>
        <v>jhammer@hsimanagement.com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2084</v>
      </c>
      <c r="C242" s="2694" t="s">
        <v>296</v>
      </c>
      <c r="D242" s="2691"/>
      <c r="E242" s="2691"/>
      <c r="F242" s="2691"/>
      <c r="G242" s="2691"/>
      <c r="H242" s="2706">
        <f>'Part II-Development Team'!H60</f>
        <v>0</v>
      </c>
      <c r="I242" s="2749"/>
      <c r="J242" s="2749"/>
      <c r="K242" s="2749"/>
      <c r="L242" s="2749"/>
      <c r="M242" s="2749"/>
      <c r="N242" s="2749"/>
      <c r="O242" s="2699" t="s">
        <v>2088</v>
      </c>
      <c r="P242" s="2699"/>
      <c r="Q242" s="2706">
        <f>'Part II-Development Team'!Q60</f>
        <v>0</v>
      </c>
      <c r="R242" s="2749"/>
      <c r="S242" s="2749"/>
    </row>
    <row r="243" spans="1:19">
      <c r="A243" s="2691"/>
      <c r="B243" s="2691"/>
      <c r="C243" s="2691"/>
      <c r="D243" s="2765"/>
      <c r="E243" s="2699" t="s">
        <v>1071</v>
      </c>
      <c r="F243" s="2702"/>
      <c r="G243" s="2691"/>
      <c r="H243" s="2706">
        <f>'Part II-Development Team'!H61</f>
        <v>0</v>
      </c>
      <c r="I243" s="2749"/>
      <c r="J243" s="2749"/>
      <c r="K243" s="2749"/>
      <c r="L243" s="2749"/>
      <c r="M243" s="2749"/>
      <c r="N243" s="2749"/>
      <c r="O243" s="2699" t="s">
        <v>1835</v>
      </c>
      <c r="P243" s="2691"/>
      <c r="Q243" s="2706">
        <f>'Part II-Development Team'!Q61</f>
        <v>0</v>
      </c>
      <c r="R243" s="2749"/>
      <c r="S243" s="2749"/>
    </row>
    <row r="244" spans="1:19">
      <c r="A244" s="2691"/>
      <c r="B244" s="2691"/>
      <c r="C244" s="2691"/>
      <c r="D244" s="2765"/>
      <c r="E244" s="2699" t="s">
        <v>649</v>
      </c>
      <c r="F244" s="2691"/>
      <c r="G244" s="2691"/>
      <c r="H244" s="2706">
        <f>'Part II-Development Team'!H62</f>
        <v>0</v>
      </c>
      <c r="I244" s="2749"/>
      <c r="J244" s="2749"/>
      <c r="K244" s="2695" t="s">
        <v>2874</v>
      </c>
      <c r="L244" s="2706">
        <f>'Part II-Development Team'!L62</f>
        <v>0</v>
      </c>
      <c r="M244" s="2749"/>
      <c r="N244" s="2749"/>
      <c r="O244" s="2699" t="s">
        <v>1891</v>
      </c>
      <c r="P244" s="2691"/>
      <c r="Q244" s="2707">
        <f>'Part II-Development Team'!Q62</f>
        <v>0</v>
      </c>
      <c r="R244" s="2707"/>
      <c r="S244" s="2707"/>
    </row>
    <row r="245" spans="1:19">
      <c r="A245" s="2691"/>
      <c r="B245" s="2691"/>
      <c r="C245" s="2691"/>
      <c r="D245" s="2691"/>
      <c r="E245" s="2699" t="s">
        <v>1887</v>
      </c>
      <c r="F245" s="2691"/>
      <c r="G245" s="2691"/>
      <c r="H245" s="2695">
        <f>'Part II-Development Team'!H63</f>
        <v>0</v>
      </c>
      <c r="I245" s="2695" t="s">
        <v>4553</v>
      </c>
      <c r="J245" s="2709">
        <f>'Part II-Development Team'!J63</f>
        <v>0</v>
      </c>
      <c r="K245" s="2749"/>
      <c r="L245" s="2691"/>
      <c r="M245" s="2691"/>
      <c r="N245" s="2691"/>
      <c r="O245" s="2699" t="s">
        <v>2077</v>
      </c>
      <c r="P245" s="2691"/>
      <c r="Q245" s="2707">
        <f>'Part II-Development Team'!Q63</f>
        <v>0</v>
      </c>
      <c r="R245" s="2707"/>
      <c r="S245" s="2707"/>
    </row>
    <row r="246" spans="1:19">
      <c r="A246" s="2691"/>
      <c r="B246" s="2691"/>
      <c r="C246" s="2691"/>
      <c r="D246" s="2765"/>
      <c r="E246" s="2699" t="s">
        <v>2083</v>
      </c>
      <c r="F246" s="2691"/>
      <c r="G246" s="2691"/>
      <c r="H246" s="2707">
        <f>'Part II-Development Team'!H64</f>
        <v>0</v>
      </c>
      <c r="I246" s="2707"/>
      <c r="J246" s="2704">
        <f>'Part II-Development Team'!J64</f>
        <v>0</v>
      </c>
      <c r="K246" s="2695" t="s">
        <v>1890</v>
      </c>
      <c r="L246" s="2707">
        <f>'Part II-Development Team'!L64</f>
        <v>0</v>
      </c>
      <c r="M246" s="2707"/>
      <c r="N246" s="2702" t="s">
        <v>2082</v>
      </c>
      <c r="O246" s="2711">
        <f>'Part II-Development Team'!O64</f>
        <v>0</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789</v>
      </c>
      <c r="C248" s="2694" t="s">
        <v>1604</v>
      </c>
      <c r="D248" s="2691"/>
      <c r="E248" s="2691"/>
      <c r="F248" s="2691"/>
      <c r="G248" s="2691"/>
      <c r="H248" s="2706">
        <f>'Part II-Development Team'!H66</f>
        <v>0</v>
      </c>
      <c r="I248" s="2749"/>
      <c r="J248" s="2749"/>
      <c r="K248" s="2749"/>
      <c r="L248" s="2749"/>
      <c r="M248" s="2749"/>
      <c r="N248" s="2749"/>
      <c r="O248" s="2699" t="s">
        <v>2088</v>
      </c>
      <c r="P248" s="2699"/>
      <c r="Q248" s="2706">
        <f>'Part II-Development Team'!Q66</f>
        <v>0</v>
      </c>
      <c r="R248" s="2749"/>
      <c r="S248" s="2749"/>
    </row>
    <row r="249" spans="1:19">
      <c r="A249" s="2691"/>
      <c r="B249" s="2691"/>
      <c r="C249" s="2691"/>
      <c r="D249" s="2765"/>
      <c r="E249" s="2699" t="s">
        <v>1071</v>
      </c>
      <c r="F249" s="2702"/>
      <c r="G249" s="2691"/>
      <c r="H249" s="2706">
        <f>'Part II-Development Team'!H67</f>
        <v>0</v>
      </c>
      <c r="I249" s="2749"/>
      <c r="J249" s="2749"/>
      <c r="K249" s="2749"/>
      <c r="L249" s="2749"/>
      <c r="M249" s="2749"/>
      <c r="N249" s="2749"/>
      <c r="O249" s="2699" t="s">
        <v>1835</v>
      </c>
      <c r="P249" s="2691"/>
      <c r="Q249" s="2706">
        <f>'Part II-Development Team'!Q67</f>
        <v>0</v>
      </c>
      <c r="R249" s="2749"/>
      <c r="S249" s="2749"/>
    </row>
    <row r="250" spans="1:19">
      <c r="A250" s="2691"/>
      <c r="B250" s="2691"/>
      <c r="C250" s="2691"/>
      <c r="D250" s="2765"/>
      <c r="E250" s="2699" t="s">
        <v>649</v>
      </c>
      <c r="F250" s="2691"/>
      <c r="G250" s="2691"/>
      <c r="H250" s="2706">
        <f>'Part II-Development Team'!H68</f>
        <v>0</v>
      </c>
      <c r="I250" s="2749"/>
      <c r="J250" s="2749"/>
      <c r="K250" s="2695" t="s">
        <v>2874</v>
      </c>
      <c r="L250" s="2706">
        <f>'Part II-Development Team'!L68</f>
        <v>0</v>
      </c>
      <c r="M250" s="2749"/>
      <c r="N250" s="2749"/>
      <c r="O250" s="2699" t="s">
        <v>1891</v>
      </c>
      <c r="P250" s="2691"/>
      <c r="Q250" s="2707">
        <f>'Part II-Development Team'!Q68</f>
        <v>0</v>
      </c>
      <c r="R250" s="2707"/>
      <c r="S250" s="2707"/>
    </row>
    <row r="251" spans="1:19">
      <c r="A251" s="2691"/>
      <c r="B251" s="2691"/>
      <c r="C251" s="2691"/>
      <c r="D251" s="2691"/>
      <c r="E251" s="2699" t="s">
        <v>1887</v>
      </c>
      <c r="F251" s="2691"/>
      <c r="G251" s="2691"/>
      <c r="H251" s="2695">
        <f>'Part II-Development Team'!H69</f>
        <v>0</v>
      </c>
      <c r="I251" s="2695" t="s">
        <v>4553</v>
      </c>
      <c r="J251" s="2709">
        <f>'Part II-Development Team'!J69</f>
        <v>0</v>
      </c>
      <c r="K251" s="2749"/>
      <c r="L251" s="2691"/>
      <c r="M251" s="2691"/>
      <c r="N251" s="2691"/>
      <c r="O251" s="2699" t="s">
        <v>2077</v>
      </c>
      <c r="P251" s="2691"/>
      <c r="Q251" s="2707">
        <f>'Part II-Development Team'!Q69</f>
        <v>0</v>
      </c>
      <c r="R251" s="2707"/>
      <c r="S251" s="2707"/>
    </row>
    <row r="252" spans="1:19">
      <c r="A252" s="2691"/>
      <c r="B252" s="2691"/>
      <c r="C252" s="2691"/>
      <c r="D252" s="2765"/>
      <c r="E252" s="2699" t="s">
        <v>2083</v>
      </c>
      <c r="F252" s="2691"/>
      <c r="G252" s="2691"/>
      <c r="H252" s="2707">
        <f>'Part II-Development Team'!H70</f>
        <v>0</v>
      </c>
      <c r="I252" s="2707"/>
      <c r="J252" s="2704">
        <f>'Part II-Development Team'!J70</f>
        <v>0</v>
      </c>
      <c r="K252" s="2695" t="s">
        <v>1890</v>
      </c>
      <c r="L252" s="2707">
        <f>'Part II-Development Team'!L70</f>
        <v>0</v>
      </c>
      <c r="M252" s="2707"/>
      <c r="N252" s="2702" t="s">
        <v>2082</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2216</v>
      </c>
      <c r="C254" s="2694" t="s">
        <v>297</v>
      </c>
      <c r="D254" s="2691"/>
      <c r="E254" s="2691"/>
      <c r="F254" s="2691"/>
      <c r="G254" s="2691"/>
      <c r="H254" s="2706">
        <f>'Part II-Development Team'!H72</f>
        <v>0</v>
      </c>
      <c r="I254" s="2749"/>
      <c r="J254" s="2749"/>
      <c r="K254" s="2749"/>
      <c r="L254" s="2749"/>
      <c r="M254" s="2749"/>
      <c r="N254" s="2749"/>
      <c r="O254" s="2699" t="s">
        <v>2088</v>
      </c>
      <c r="P254" s="2699"/>
      <c r="Q254" s="2706">
        <f>'Part II-Development Team'!Q72</f>
        <v>0</v>
      </c>
      <c r="R254" s="2749"/>
      <c r="S254" s="2749"/>
    </row>
    <row r="255" spans="1:19">
      <c r="A255" s="2691"/>
      <c r="B255" s="2691"/>
      <c r="C255" s="2691"/>
      <c r="D255" s="2765"/>
      <c r="E255" s="2699" t="s">
        <v>1071</v>
      </c>
      <c r="F255" s="2702"/>
      <c r="G255" s="2691"/>
      <c r="H255" s="2706">
        <f>'Part II-Development Team'!H73</f>
        <v>0</v>
      </c>
      <c r="I255" s="2749"/>
      <c r="J255" s="2749"/>
      <c r="K255" s="2749"/>
      <c r="L255" s="2749"/>
      <c r="M255" s="2749"/>
      <c r="N255" s="2749"/>
      <c r="O255" s="2699" t="s">
        <v>1835</v>
      </c>
      <c r="P255" s="2691"/>
      <c r="Q255" s="2706">
        <f>'Part II-Development Team'!Q73</f>
        <v>0</v>
      </c>
      <c r="R255" s="2749"/>
      <c r="S255" s="2749"/>
    </row>
    <row r="256" spans="1:19">
      <c r="A256" s="2691"/>
      <c r="B256" s="2691"/>
      <c r="C256" s="2691"/>
      <c r="D256" s="2765"/>
      <c r="E256" s="2699" t="s">
        <v>649</v>
      </c>
      <c r="F256" s="2691"/>
      <c r="G256" s="2691"/>
      <c r="H256" s="2706">
        <f>'Part II-Development Team'!H74</f>
        <v>0</v>
      </c>
      <c r="I256" s="2749"/>
      <c r="J256" s="2749"/>
      <c r="K256" s="2695" t="s">
        <v>2874</v>
      </c>
      <c r="L256" s="2706">
        <f>'Part II-Development Team'!L74</f>
        <v>0</v>
      </c>
      <c r="M256" s="2749"/>
      <c r="N256" s="2749"/>
      <c r="O256" s="2699" t="s">
        <v>1891</v>
      </c>
      <c r="P256" s="2691"/>
      <c r="Q256" s="2707">
        <f>'Part II-Development Team'!Q74</f>
        <v>0</v>
      </c>
      <c r="R256" s="2707"/>
      <c r="S256" s="2707"/>
    </row>
    <row r="257" spans="1:19">
      <c r="A257" s="2691"/>
      <c r="B257" s="2691"/>
      <c r="C257" s="2691"/>
      <c r="D257" s="2691"/>
      <c r="E257" s="2699" t="s">
        <v>1887</v>
      </c>
      <c r="F257" s="2691"/>
      <c r="G257" s="2691"/>
      <c r="H257" s="2695">
        <f>'Part II-Development Team'!H75</f>
        <v>0</v>
      </c>
      <c r="I257" s="2695" t="s">
        <v>4553</v>
      </c>
      <c r="J257" s="2709">
        <f>'Part II-Development Team'!J75</f>
        <v>0</v>
      </c>
      <c r="K257" s="2749"/>
      <c r="L257" s="2691"/>
      <c r="M257" s="2691"/>
      <c r="N257" s="2691"/>
      <c r="O257" s="2699" t="s">
        <v>2077</v>
      </c>
      <c r="P257" s="2691"/>
      <c r="Q257" s="2707">
        <f>'Part II-Development Team'!Q75</f>
        <v>0</v>
      </c>
      <c r="R257" s="2707"/>
      <c r="S257" s="2707"/>
    </row>
    <row r="258" spans="1:19">
      <c r="A258" s="2691"/>
      <c r="B258" s="2691"/>
      <c r="C258" s="2691"/>
      <c r="D258" s="2765"/>
      <c r="E258" s="2699" t="s">
        <v>2083</v>
      </c>
      <c r="F258" s="2691"/>
      <c r="G258" s="2691"/>
      <c r="H258" s="2707">
        <f>'Part II-Development Team'!H76</f>
        <v>0</v>
      </c>
      <c r="I258" s="2707"/>
      <c r="J258" s="2704">
        <f>'Part II-Development Team'!J76</f>
        <v>0</v>
      </c>
      <c r="K258" s="2695" t="s">
        <v>1890</v>
      </c>
      <c r="L258" s="2707">
        <f>'Part II-Development Team'!L76</f>
        <v>0</v>
      </c>
      <c r="M258" s="2707"/>
      <c r="N258" s="2702" t="s">
        <v>2082</v>
      </c>
      <c r="O258" s="2711">
        <f>'Part II-Development Team'!O76</f>
        <v>0</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782</v>
      </c>
      <c r="B260" s="2692" t="s">
        <v>298</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2081</v>
      </c>
      <c r="C262" s="2694" t="s">
        <v>299</v>
      </c>
      <c r="D262" s="2691"/>
      <c r="E262" s="2691"/>
      <c r="F262" s="2691"/>
      <c r="G262" s="2691"/>
      <c r="H262" s="2706">
        <f>'Part II-Development Team'!H80</f>
        <v>0</v>
      </c>
      <c r="I262" s="2749"/>
      <c r="J262" s="2749"/>
      <c r="K262" s="2749"/>
      <c r="L262" s="2749"/>
      <c r="M262" s="2749"/>
      <c r="N262" s="2749"/>
      <c r="O262" s="2699" t="s">
        <v>2088</v>
      </c>
      <c r="P262" s="2699"/>
      <c r="Q262" s="2706">
        <f>'Part II-Development Team'!Q80</f>
        <v>0</v>
      </c>
      <c r="R262" s="2749"/>
      <c r="S262" s="2749"/>
    </row>
    <row r="263" spans="1:19">
      <c r="A263" s="2691"/>
      <c r="B263" s="2691"/>
      <c r="C263" s="2691"/>
      <c r="D263" s="2765"/>
      <c r="E263" s="2699" t="s">
        <v>1071</v>
      </c>
      <c r="F263" s="2702"/>
      <c r="G263" s="2691"/>
      <c r="H263" s="2706">
        <f>'Part II-Development Team'!H81</f>
        <v>0</v>
      </c>
      <c r="I263" s="2749"/>
      <c r="J263" s="2749"/>
      <c r="K263" s="2749"/>
      <c r="L263" s="2749"/>
      <c r="M263" s="2749"/>
      <c r="N263" s="2749"/>
      <c r="O263" s="2699" t="s">
        <v>1835</v>
      </c>
      <c r="P263" s="2691"/>
      <c r="Q263" s="2706">
        <f>'Part II-Development Team'!Q81</f>
        <v>0</v>
      </c>
      <c r="R263" s="2749"/>
      <c r="S263" s="2749"/>
    </row>
    <row r="264" spans="1:19">
      <c r="A264" s="2691"/>
      <c r="B264" s="2691"/>
      <c r="C264" s="2691"/>
      <c r="D264" s="2765"/>
      <c r="E264" s="2699" t="s">
        <v>649</v>
      </c>
      <c r="F264" s="2691"/>
      <c r="G264" s="2691"/>
      <c r="H264" s="2706">
        <f>'Part II-Development Team'!H82</f>
        <v>0</v>
      </c>
      <c r="I264" s="2749"/>
      <c r="J264" s="2749"/>
      <c r="K264" s="2695" t="s">
        <v>2874</v>
      </c>
      <c r="L264" s="2706">
        <f>'Part II-Development Team'!L82</f>
        <v>0</v>
      </c>
      <c r="M264" s="2749"/>
      <c r="N264" s="2749"/>
      <c r="O264" s="2699" t="s">
        <v>1891</v>
      </c>
      <c r="P264" s="2691"/>
      <c r="Q264" s="2707">
        <f>'Part II-Development Team'!Q82</f>
        <v>0</v>
      </c>
      <c r="R264" s="2707"/>
      <c r="S264" s="2707"/>
    </row>
    <row r="265" spans="1:19">
      <c r="A265" s="2691"/>
      <c r="B265" s="2691"/>
      <c r="C265" s="2691"/>
      <c r="D265" s="2691"/>
      <c r="E265" s="2699" t="s">
        <v>1887</v>
      </c>
      <c r="F265" s="2691"/>
      <c r="G265" s="2691"/>
      <c r="H265" s="2695">
        <f>'Part II-Development Team'!H83</f>
        <v>0</v>
      </c>
      <c r="I265" s="2695" t="s">
        <v>4553</v>
      </c>
      <c r="J265" s="2709">
        <f>'Part II-Development Team'!J83</f>
        <v>0</v>
      </c>
      <c r="K265" s="2749"/>
      <c r="L265" s="2691"/>
      <c r="M265" s="2691"/>
      <c r="N265" s="2691"/>
      <c r="O265" s="2699" t="s">
        <v>2077</v>
      </c>
      <c r="P265" s="2691"/>
      <c r="Q265" s="2707">
        <f>'Part II-Development Team'!Q83</f>
        <v>0</v>
      </c>
      <c r="R265" s="2707"/>
      <c r="S265" s="2707"/>
    </row>
    <row r="266" spans="1:19">
      <c r="A266" s="2691"/>
      <c r="B266" s="2691"/>
      <c r="C266" s="2691"/>
      <c r="D266" s="2765"/>
      <c r="E266" s="2699" t="s">
        <v>2083</v>
      </c>
      <c r="F266" s="2691"/>
      <c r="G266" s="2691"/>
      <c r="H266" s="2707">
        <f>'Part II-Development Team'!H84</f>
        <v>0</v>
      </c>
      <c r="I266" s="2707"/>
      <c r="J266" s="2704">
        <f>'Part II-Development Team'!J84</f>
        <v>0</v>
      </c>
      <c r="K266" s="2695" t="s">
        <v>1890</v>
      </c>
      <c r="L266" s="2707">
        <f>'Part II-Development Team'!L84</f>
        <v>0</v>
      </c>
      <c r="M266" s="2707"/>
      <c r="N266" s="2702" t="s">
        <v>2082</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2084</v>
      </c>
      <c r="C268" s="2694" t="s">
        <v>300</v>
      </c>
      <c r="D268" s="2691"/>
      <c r="E268" s="2691"/>
      <c r="F268" s="2691"/>
      <c r="G268" s="2691"/>
      <c r="H268" s="2706" t="str">
        <f>'Part II-Development Team'!H86</f>
        <v>Formula Construction Group</v>
      </c>
      <c r="I268" s="2749"/>
      <c r="J268" s="2749"/>
      <c r="K268" s="2749"/>
      <c r="L268" s="2749"/>
      <c r="M268" s="2749"/>
      <c r="N268" s="2749"/>
      <c r="O268" s="2699" t="s">
        <v>2088</v>
      </c>
      <c r="P268" s="2699"/>
      <c r="Q268" s="2706" t="str">
        <f>'Part II-Development Team'!Q86</f>
        <v>Mike Myers</v>
      </c>
      <c r="R268" s="2749"/>
      <c r="S268" s="2749"/>
    </row>
    <row r="269" spans="1:19">
      <c r="A269" s="2691"/>
      <c r="B269" s="2691"/>
      <c r="C269" s="2691"/>
      <c r="D269" s="2765"/>
      <c r="E269" s="2699" t="s">
        <v>1071</v>
      </c>
      <c r="F269" s="2702"/>
      <c r="G269" s="2691"/>
      <c r="H269" s="2706" t="str">
        <f>'Part II-Development Team'!H87</f>
        <v>515 Crossville Road, Suite 350</v>
      </c>
      <c r="I269" s="2749"/>
      <c r="J269" s="2749"/>
      <c r="K269" s="2749"/>
      <c r="L269" s="2749"/>
      <c r="M269" s="2749"/>
      <c r="N269" s="2749"/>
      <c r="O269" s="2699" t="s">
        <v>1835</v>
      </c>
      <c r="P269" s="2691"/>
      <c r="Q269" s="2706" t="str">
        <f>'Part II-Development Team'!Q87</f>
        <v>General Contractor</v>
      </c>
      <c r="R269" s="2749"/>
      <c r="S269" s="2749"/>
    </row>
    <row r="270" spans="1:19">
      <c r="A270" s="2691"/>
      <c r="B270" s="2691"/>
      <c r="C270" s="2691"/>
      <c r="D270" s="2765"/>
      <c r="E270" s="2699" t="s">
        <v>649</v>
      </c>
      <c r="F270" s="2691"/>
      <c r="G270" s="2691"/>
      <c r="H270" s="2706" t="str">
        <f>'Part II-Development Team'!H88</f>
        <v>Roswell</v>
      </c>
      <c r="I270" s="2749"/>
      <c r="J270" s="2749"/>
      <c r="K270" s="2695" t="s">
        <v>2874</v>
      </c>
      <c r="L270" s="2706" t="str">
        <f>'Part II-Development Team'!L88</f>
        <v>http://www.forumlaconstruction.com/</v>
      </c>
      <c r="M270" s="2749"/>
      <c r="N270" s="2749"/>
      <c r="O270" s="2699" t="s">
        <v>1891</v>
      </c>
      <c r="P270" s="2691"/>
      <c r="Q270" s="2707">
        <f>'Part II-Development Team'!Q88</f>
        <v>8006727090</v>
      </c>
      <c r="R270" s="2707"/>
      <c r="S270" s="2707"/>
    </row>
    <row r="271" spans="1:19">
      <c r="A271" s="2691"/>
      <c r="B271" s="2691"/>
      <c r="C271" s="2691"/>
      <c r="D271" s="2691"/>
      <c r="E271" s="2699" t="s">
        <v>1887</v>
      </c>
      <c r="F271" s="2691"/>
      <c r="G271" s="2691"/>
      <c r="H271" s="2695" t="str">
        <f>'Part II-Development Team'!H89</f>
        <v>GA</v>
      </c>
      <c r="I271" s="2695" t="s">
        <v>4553</v>
      </c>
      <c r="J271" s="2709">
        <f>'Part II-Development Team'!J89</f>
        <v>300755860</v>
      </c>
      <c r="K271" s="2749"/>
      <c r="L271" s="2691"/>
      <c r="M271" s="2691"/>
      <c r="N271" s="2691"/>
      <c r="O271" s="2699" t="s">
        <v>2077</v>
      </c>
      <c r="P271" s="2691"/>
      <c r="Q271" s="2707">
        <f>'Part II-Development Team'!Q89</f>
        <v>6788968422</v>
      </c>
      <c r="R271" s="2707"/>
      <c r="S271" s="2707"/>
    </row>
    <row r="272" spans="1:19">
      <c r="A272" s="2691"/>
      <c r="B272" s="2691"/>
      <c r="C272" s="2691"/>
      <c r="D272" s="2765"/>
      <c r="E272" s="2699" t="s">
        <v>2083</v>
      </c>
      <c r="F272" s="2691"/>
      <c r="G272" s="2691"/>
      <c r="H272" s="2707">
        <f>'Part II-Development Team'!H90</f>
        <v>8006727090</v>
      </c>
      <c r="I272" s="2707"/>
      <c r="J272" s="2704">
        <f>'Part II-Development Team'!J90</f>
        <v>0</v>
      </c>
      <c r="K272" s="2695" t="s">
        <v>1890</v>
      </c>
      <c r="L272" s="2707">
        <f>'Part II-Development Team'!L90</f>
        <v>0</v>
      </c>
      <c r="M272" s="2707"/>
      <c r="N272" s="2702" t="s">
        <v>2082</v>
      </c>
      <c r="O272" s="2711" t="str">
        <f>'Part II-Development Team'!O90</f>
        <v>mike.myers@formulaconstruction.com</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789</v>
      </c>
      <c r="C274" s="2694" t="s">
        <v>301</v>
      </c>
      <c r="D274" s="2691"/>
      <c r="E274" s="2691"/>
      <c r="F274" s="2697"/>
      <c r="G274" s="2691"/>
      <c r="H274" s="2706" t="str">
        <f>'Part II-Development Team'!H92</f>
        <v>HSI Management, Inc.</v>
      </c>
      <c r="I274" s="2749"/>
      <c r="J274" s="2749"/>
      <c r="K274" s="2749"/>
      <c r="L274" s="2749"/>
      <c r="M274" s="2749"/>
      <c r="N274" s="2749"/>
      <c r="O274" s="2699" t="s">
        <v>2088</v>
      </c>
      <c r="P274" s="2699"/>
      <c r="Q274" s="2706" t="str">
        <f>'Part II-Development Team'!Q92</f>
        <v>Doug Trivers</v>
      </c>
      <c r="R274" s="2749"/>
      <c r="S274" s="2749"/>
    </row>
    <row r="275" spans="1:19">
      <c r="A275" s="2691"/>
      <c r="B275" s="2691"/>
      <c r="C275" s="2691"/>
      <c r="D275" s="2765"/>
      <c r="E275" s="2699" t="s">
        <v>1071</v>
      </c>
      <c r="F275" s="2702"/>
      <c r="G275" s="2691"/>
      <c r="H275" s="2706" t="str">
        <f>'Part II-Development Team'!H93</f>
        <v>5505 Interstate North Parkway, NW</v>
      </c>
      <c r="I275" s="2749"/>
      <c r="J275" s="2749"/>
      <c r="K275" s="2749"/>
      <c r="L275" s="2749"/>
      <c r="M275" s="2749"/>
      <c r="N275" s="2749"/>
      <c r="O275" s="2699" t="s">
        <v>1835</v>
      </c>
      <c r="P275" s="2691"/>
      <c r="Q275" s="2706" t="str">
        <f>'Part II-Development Team'!Q93</f>
        <v>CFO</v>
      </c>
      <c r="R275" s="2749"/>
      <c r="S275" s="2749"/>
    </row>
    <row r="276" spans="1:19">
      <c r="A276" s="2691"/>
      <c r="B276" s="2691"/>
      <c r="C276" s="2691"/>
      <c r="D276" s="2765"/>
      <c r="E276" s="2699" t="s">
        <v>649</v>
      </c>
      <c r="F276" s="2691"/>
      <c r="G276" s="2691"/>
      <c r="H276" s="2706" t="str">
        <f>'Part II-Development Team'!H94</f>
        <v>Atlanta</v>
      </c>
      <c r="I276" s="2749"/>
      <c r="J276" s="2749"/>
      <c r="K276" s="2695" t="s">
        <v>2874</v>
      </c>
      <c r="L276" s="2706" t="str">
        <f>'Part II-Development Team'!L94</f>
        <v>http://www.hsimanagement.com</v>
      </c>
      <c r="M276" s="2749"/>
      <c r="N276" s="2749"/>
      <c r="O276" s="2699" t="s">
        <v>1891</v>
      </c>
      <c r="P276" s="2691"/>
      <c r="Q276" s="2707">
        <f>'Part II-Development Team'!Q94</f>
        <v>6788161329</v>
      </c>
      <c r="R276" s="2707"/>
      <c r="S276" s="2707"/>
    </row>
    <row r="277" spans="1:19">
      <c r="A277" s="2691"/>
      <c r="B277" s="2691"/>
      <c r="C277" s="2691"/>
      <c r="D277" s="2765"/>
      <c r="E277" s="2699" t="s">
        <v>1887</v>
      </c>
      <c r="F277" s="2691"/>
      <c r="G277" s="2691"/>
      <c r="H277" s="2695" t="str">
        <f>'Part II-Development Team'!H95</f>
        <v>GA</v>
      </c>
      <c r="I277" s="2695" t="s">
        <v>4553</v>
      </c>
      <c r="J277" s="2709">
        <f>'Part II-Development Team'!J95</f>
        <v>303285836</v>
      </c>
      <c r="K277" s="2749"/>
      <c r="L277" s="2691"/>
      <c r="M277" s="2691"/>
      <c r="N277" s="2691"/>
      <c r="O277" s="2699" t="s">
        <v>2077</v>
      </c>
      <c r="P277" s="2691"/>
      <c r="Q277" s="2707">
        <f>'Part II-Development Team'!Q95</f>
        <v>0</v>
      </c>
      <c r="R277" s="2707"/>
      <c r="S277" s="2707"/>
    </row>
    <row r="278" spans="1:19">
      <c r="A278" s="2691"/>
      <c r="B278" s="2691"/>
      <c r="C278" s="2691"/>
      <c r="D278" s="2765"/>
      <c r="E278" s="2699" t="s">
        <v>2083</v>
      </c>
      <c r="F278" s="2691"/>
      <c r="G278" s="2691"/>
      <c r="H278" s="2707">
        <f>'Part II-Development Team'!H96</f>
        <v>6788161329</v>
      </c>
      <c r="I278" s="2707"/>
      <c r="J278" s="2704">
        <f>'Part II-Development Team'!J96</f>
        <v>0</v>
      </c>
      <c r="K278" s="2695" t="s">
        <v>1890</v>
      </c>
      <c r="L278" s="2707">
        <f>'Part II-Development Team'!L96</f>
        <v>6788161299</v>
      </c>
      <c r="M278" s="2707"/>
      <c r="N278" s="2702" t="s">
        <v>2082</v>
      </c>
      <c r="O278" s="2711" t="str">
        <f>'Part II-Development Team'!O96</f>
        <v>dtrivers@hsimanagement.com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2216</v>
      </c>
      <c r="C280" s="2694" t="s">
        <v>302</v>
      </c>
      <c r="D280" s="2691"/>
      <c r="E280" s="2691"/>
      <c r="F280" s="2691"/>
      <c r="G280" s="2691"/>
      <c r="H280" s="2706" t="str">
        <f>'Part II-Development Team'!H98</f>
        <v>Barnes &amp; Thornburg, LLP</v>
      </c>
      <c r="I280" s="2749"/>
      <c r="J280" s="2749"/>
      <c r="K280" s="2749"/>
      <c r="L280" s="2749"/>
      <c r="M280" s="2749"/>
      <c r="N280" s="2749"/>
      <c r="O280" s="2699" t="s">
        <v>2088</v>
      </c>
      <c r="P280" s="2699"/>
      <c r="Q280" s="2706" t="str">
        <f>'Part II-Development Team'!Q98</f>
        <v>Holly Heer</v>
      </c>
      <c r="R280" s="2749"/>
      <c r="S280" s="2749"/>
    </row>
    <row r="281" spans="1:19">
      <c r="A281" s="2691"/>
      <c r="B281" s="2691"/>
      <c r="C281" s="2691"/>
      <c r="D281" s="2765"/>
      <c r="E281" s="2699" t="s">
        <v>1071</v>
      </c>
      <c r="F281" s="2702"/>
      <c r="G281" s="2691"/>
      <c r="H281" s="2706" t="str">
        <f>'Part II-Development Team'!H99</f>
        <v>41 South High Street, Suite 3300</v>
      </c>
      <c r="I281" s="2749"/>
      <c r="J281" s="2749"/>
      <c r="K281" s="2749"/>
      <c r="L281" s="2749"/>
      <c r="M281" s="2749"/>
      <c r="N281" s="2749"/>
      <c r="O281" s="2699" t="s">
        <v>1835</v>
      </c>
      <c r="P281" s="2691"/>
      <c r="Q281" s="2706" t="str">
        <f>'Part II-Development Team'!Q99</f>
        <v>Partner</v>
      </c>
      <c r="R281" s="2749"/>
      <c r="S281" s="2749"/>
    </row>
    <row r="282" spans="1:19">
      <c r="A282" s="2691"/>
      <c r="B282" s="2691"/>
      <c r="C282" s="2691"/>
      <c r="D282" s="2765"/>
      <c r="E282" s="2699" t="s">
        <v>649</v>
      </c>
      <c r="F282" s="2691"/>
      <c r="G282" s="2691"/>
      <c r="H282" s="2706" t="str">
        <f>'Part II-Development Team'!H100</f>
        <v>Columbus</v>
      </c>
      <c r="I282" s="2749"/>
      <c r="J282" s="2749"/>
      <c r="K282" s="2695" t="s">
        <v>2874</v>
      </c>
      <c r="L282" s="2706" t="str">
        <f>'Part II-Development Team'!L100</f>
        <v>http://www.btlaw.com</v>
      </c>
      <c r="M282" s="2749"/>
      <c r="N282" s="2749"/>
      <c r="O282" s="2699" t="s">
        <v>1891</v>
      </c>
      <c r="P282" s="2691"/>
      <c r="Q282" s="2707">
        <f>'Part II-Development Team'!Q100</f>
        <v>6146281458</v>
      </c>
      <c r="R282" s="2707"/>
      <c r="S282" s="2707"/>
    </row>
    <row r="283" spans="1:19">
      <c r="A283" s="2691"/>
      <c r="B283" s="2691"/>
      <c r="C283" s="2691"/>
      <c r="D283" s="2765"/>
      <c r="E283" s="2699" t="s">
        <v>1887</v>
      </c>
      <c r="F283" s="2691"/>
      <c r="G283" s="2691"/>
      <c r="H283" s="2695" t="str">
        <f>'Part II-Development Team'!H101</f>
        <v>OH</v>
      </c>
      <c r="I283" s="2695" t="s">
        <v>4553</v>
      </c>
      <c r="J283" s="2709">
        <f>'Part II-Development Team'!J101</f>
        <v>432153300</v>
      </c>
      <c r="K283" s="2749"/>
      <c r="L283" s="2691"/>
      <c r="M283" s="2691"/>
      <c r="N283" s="2691"/>
      <c r="O283" s="2699" t="s">
        <v>2077</v>
      </c>
      <c r="P283" s="2691"/>
      <c r="Q283" s="2707">
        <f>'Part II-Development Team'!Q101</f>
        <v>0</v>
      </c>
      <c r="R283" s="2707"/>
      <c r="S283" s="2707"/>
    </row>
    <row r="284" spans="1:19">
      <c r="A284" s="2697"/>
      <c r="B284" s="2697"/>
      <c r="C284" s="2697"/>
      <c r="D284" s="2697"/>
      <c r="E284" s="2699" t="s">
        <v>2083</v>
      </c>
      <c r="F284" s="2691"/>
      <c r="G284" s="2691"/>
      <c r="H284" s="2707">
        <f>'Part II-Development Team'!H102</f>
        <v>6146280096</v>
      </c>
      <c r="I284" s="2707"/>
      <c r="J284" s="2704">
        <f>'Part II-Development Team'!J102</f>
        <v>0</v>
      </c>
      <c r="K284" s="2695" t="s">
        <v>1890</v>
      </c>
      <c r="L284" s="2707">
        <f>'Part II-Development Team'!L102</f>
        <v>6146281433</v>
      </c>
      <c r="M284" s="2707"/>
      <c r="N284" s="2702" t="s">
        <v>2082</v>
      </c>
      <c r="O284" s="2711" t="str">
        <f>'Part II-Development Team'!O102</f>
        <v>holly.heer@btlaw.com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1823</v>
      </c>
      <c r="C287" s="2694" t="s">
        <v>303</v>
      </c>
      <c r="D287" s="2691"/>
      <c r="E287" s="2691"/>
      <c r="F287" s="2691"/>
      <c r="G287" s="2691"/>
      <c r="H287" s="2706" t="str">
        <f>'Part II-Development Team'!H105</f>
        <v>Cohn Reznick</v>
      </c>
      <c r="I287" s="2749"/>
      <c r="J287" s="2749"/>
      <c r="K287" s="2749"/>
      <c r="L287" s="2749"/>
      <c r="M287" s="2749"/>
      <c r="N287" s="2749"/>
      <c r="O287" s="2699" t="s">
        <v>2088</v>
      </c>
      <c r="P287" s="2699"/>
      <c r="Q287" s="2706" t="str">
        <f>'Part II-Development Team'!Q105</f>
        <v>Julie McNulty</v>
      </c>
      <c r="R287" s="2749"/>
      <c r="S287" s="2749"/>
    </row>
    <row r="288" spans="1:19">
      <c r="A288" s="2691"/>
      <c r="B288" s="2691"/>
      <c r="C288" s="2691"/>
      <c r="D288" s="2765"/>
      <c r="E288" s="2699" t="s">
        <v>1071</v>
      </c>
      <c r="F288" s="2702"/>
      <c r="G288" s="2691"/>
      <c r="H288" s="2706" t="str">
        <f>'Part II-Development Team'!H106</f>
        <v>3560 Lenox Road NE Ste 2800</v>
      </c>
      <c r="I288" s="2749"/>
      <c r="J288" s="2749"/>
      <c r="K288" s="2749"/>
      <c r="L288" s="2749"/>
      <c r="M288" s="2749"/>
      <c r="N288" s="2749"/>
      <c r="O288" s="2699" t="s">
        <v>1835</v>
      </c>
      <c r="P288" s="2691"/>
      <c r="Q288" s="2706" t="str">
        <f>'Part II-Development Team'!Q106</f>
        <v>Partner</v>
      </c>
      <c r="R288" s="2749"/>
      <c r="S288" s="2749"/>
    </row>
    <row r="289" spans="1:19">
      <c r="A289" s="2691"/>
      <c r="B289" s="2691"/>
      <c r="C289" s="2691"/>
      <c r="D289" s="2765"/>
      <c r="E289" s="2699" t="s">
        <v>649</v>
      </c>
      <c r="F289" s="2691"/>
      <c r="G289" s="2691"/>
      <c r="H289" s="2706" t="str">
        <f>'Part II-Development Team'!H107</f>
        <v>Atlanta</v>
      </c>
      <c r="I289" s="2749"/>
      <c r="J289" s="2749"/>
      <c r="K289" s="2695" t="s">
        <v>2874</v>
      </c>
      <c r="L289" s="2706" t="str">
        <f>'Part II-Development Team'!L107</f>
        <v>http://www.cohnreznick.com</v>
      </c>
      <c r="M289" s="2749"/>
      <c r="N289" s="2749"/>
      <c r="O289" s="2699" t="s">
        <v>1891</v>
      </c>
      <c r="P289" s="2691"/>
      <c r="Q289" s="2707">
        <f>'Part II-Development Team'!Q107</f>
        <v>4042504050</v>
      </c>
      <c r="R289" s="2707"/>
      <c r="S289" s="2707"/>
    </row>
    <row r="290" spans="1:19">
      <c r="A290" s="2691"/>
      <c r="B290" s="2691"/>
      <c r="C290" s="2691"/>
      <c r="D290" s="2765"/>
      <c r="E290" s="2699" t="s">
        <v>1887</v>
      </c>
      <c r="F290" s="2691"/>
      <c r="G290" s="2691"/>
      <c r="H290" s="2695" t="str">
        <f>'Part II-Development Team'!H108</f>
        <v>GA</v>
      </c>
      <c r="I290" s="2695" t="s">
        <v>4553</v>
      </c>
      <c r="J290" s="2709">
        <f>'Part II-Development Team'!J108</f>
        <v>303284276</v>
      </c>
      <c r="K290" s="2749"/>
      <c r="L290" s="2691"/>
      <c r="M290" s="2691"/>
      <c r="N290" s="2691"/>
      <c r="O290" s="2699" t="s">
        <v>2077</v>
      </c>
      <c r="P290" s="2691"/>
      <c r="Q290" s="2707">
        <f>'Part II-Development Team'!Q108</f>
        <v>0</v>
      </c>
      <c r="R290" s="2707"/>
      <c r="S290" s="2707"/>
    </row>
    <row r="291" spans="1:19">
      <c r="A291" s="2697"/>
      <c r="B291" s="2697"/>
      <c r="C291" s="2697"/>
      <c r="D291" s="2697"/>
      <c r="E291" s="2699" t="s">
        <v>2083</v>
      </c>
      <c r="F291" s="2691"/>
      <c r="G291" s="2691"/>
      <c r="H291" s="2707">
        <f>'Part II-Development Team'!H109</f>
        <v>4042504050</v>
      </c>
      <c r="I291" s="2707"/>
      <c r="J291" s="2704">
        <f>'Part II-Development Team'!J109</f>
        <v>0</v>
      </c>
      <c r="K291" s="2695" t="s">
        <v>1890</v>
      </c>
      <c r="L291" s="2707">
        <f>'Part II-Development Team'!L109</f>
        <v>0</v>
      </c>
      <c r="M291" s="2707"/>
      <c r="N291" s="2702" t="s">
        <v>2082</v>
      </c>
      <c r="O291" s="2711" t="str">
        <f>'Part II-Development Team'!O109</f>
        <v>julie.mcnulty@cohnreznick.com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1824</v>
      </c>
      <c r="C293" s="2694" t="s">
        <v>304</v>
      </c>
      <c r="D293" s="2691"/>
      <c r="E293" s="2691"/>
      <c r="F293" s="2691"/>
      <c r="G293" s="2691"/>
      <c r="H293" s="2706" t="str">
        <f>'Part II-Development Team'!H111</f>
        <v>Studio 8 Design</v>
      </c>
      <c r="I293" s="2749"/>
      <c r="J293" s="2749"/>
      <c r="K293" s="2749"/>
      <c r="L293" s="2749"/>
      <c r="M293" s="2749"/>
      <c r="N293" s="2749"/>
      <c r="O293" s="2699" t="s">
        <v>2088</v>
      </c>
      <c r="P293" s="2699"/>
      <c r="Q293" s="2706" t="str">
        <f>'Part II-Development Team'!Q111</f>
        <v>Robert Byington</v>
      </c>
      <c r="R293" s="2749"/>
      <c r="S293" s="2749"/>
    </row>
    <row r="294" spans="1:19">
      <c r="A294" s="2691"/>
      <c r="B294" s="2691"/>
      <c r="C294" s="2691"/>
      <c r="D294" s="2765"/>
      <c r="E294" s="2699" t="s">
        <v>1071</v>
      </c>
      <c r="F294" s="2702"/>
      <c r="G294" s="2691"/>
      <c r="H294" s="2706" t="str">
        <f>'Part II-Development Team'!H112</f>
        <v>2215 Bemiss Rd Ste E</v>
      </c>
      <c r="I294" s="2749"/>
      <c r="J294" s="2749"/>
      <c r="K294" s="2749"/>
      <c r="L294" s="2749"/>
      <c r="M294" s="2749"/>
      <c r="N294" s="2749"/>
      <c r="O294" s="2699" t="s">
        <v>1835</v>
      </c>
      <c r="P294" s="2691"/>
      <c r="Q294" s="2706" t="str">
        <f>'Part II-Development Team'!Q112</f>
        <v>Principal</v>
      </c>
      <c r="R294" s="2749"/>
      <c r="S294" s="2749"/>
    </row>
    <row r="295" spans="1:19">
      <c r="A295" s="2691"/>
      <c r="B295" s="2691"/>
      <c r="C295" s="2691"/>
      <c r="D295" s="2765"/>
      <c r="E295" s="2699" t="s">
        <v>649</v>
      </c>
      <c r="F295" s="2691"/>
      <c r="G295" s="2691"/>
      <c r="H295" s="2706" t="str">
        <f>'Part II-Development Team'!H113</f>
        <v>Valdosta</v>
      </c>
      <c r="I295" s="2749"/>
      <c r="J295" s="2749"/>
      <c r="K295" s="2695" t="s">
        <v>2874</v>
      </c>
      <c r="L295" s="2706" t="str">
        <f>'Part II-Development Team'!L113</f>
        <v>http://s8darchitects.com</v>
      </c>
      <c r="M295" s="2749"/>
      <c r="N295" s="2749"/>
      <c r="O295" s="2699" t="s">
        <v>1891</v>
      </c>
      <c r="P295" s="2691"/>
      <c r="Q295" s="2707">
        <f>'Part II-Development Team'!Q113</f>
        <v>2292441188</v>
      </c>
      <c r="R295" s="2707"/>
      <c r="S295" s="2707"/>
    </row>
    <row r="296" spans="1:19">
      <c r="A296" s="2691"/>
      <c r="B296" s="2691"/>
      <c r="C296" s="2691"/>
      <c r="D296" s="2765"/>
      <c r="E296" s="2699" t="s">
        <v>1887</v>
      </c>
      <c r="F296" s="2691"/>
      <c r="G296" s="2691"/>
      <c r="H296" s="2695" t="str">
        <f>'Part II-Development Team'!H114</f>
        <v>GA</v>
      </c>
      <c r="I296" s="2695" t="s">
        <v>4553</v>
      </c>
      <c r="J296" s="2709">
        <f>'Part II-Development Team'!J114</f>
        <v>316023735</v>
      </c>
      <c r="K296" s="2749"/>
      <c r="L296" s="2691"/>
      <c r="M296" s="2691"/>
      <c r="N296" s="2691"/>
      <c r="O296" s="2699" t="s">
        <v>2077</v>
      </c>
      <c r="P296" s="2691"/>
      <c r="Q296" s="2707">
        <f>'Part II-Development Team'!Q114</f>
        <v>2295611863</v>
      </c>
      <c r="R296" s="2707"/>
      <c r="S296" s="2707"/>
    </row>
    <row r="297" spans="1:19">
      <c r="A297" s="2691"/>
      <c r="B297" s="2691"/>
      <c r="C297" s="2691"/>
      <c r="D297" s="2765"/>
      <c r="E297" s="2699" t="s">
        <v>2083</v>
      </c>
      <c r="F297" s="2691"/>
      <c r="G297" s="2691"/>
      <c r="H297" s="2707">
        <f>'Part II-Development Team'!H115</f>
        <v>2292441188</v>
      </c>
      <c r="I297" s="2707"/>
      <c r="J297" s="2704">
        <f>'Part II-Development Team'!J115</f>
        <v>0</v>
      </c>
      <c r="K297" s="2695" t="s">
        <v>1890</v>
      </c>
      <c r="L297" s="2707">
        <f>'Part II-Development Team'!L115</f>
        <v>2292441188</v>
      </c>
      <c r="M297" s="2707"/>
      <c r="N297" s="2702" t="s">
        <v>2082</v>
      </c>
      <c r="O297" s="2711" t="str">
        <f>'Part II-Development Team'!O115</f>
        <v>rbyington@studio8design.biz</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1880</v>
      </c>
      <c r="B299" s="2694" t="s">
        <v>2731</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2081</v>
      </c>
      <c r="C301" s="2694" t="s">
        <v>3175</v>
      </c>
      <c r="D301" s="2697"/>
      <c r="E301" s="2697"/>
      <c r="F301" s="2697"/>
      <c r="G301" s="2697"/>
      <c r="H301" s="2773"/>
      <c r="I301" s="2773"/>
      <c r="J301" s="2773"/>
      <c r="K301" s="2773"/>
      <c r="L301" s="2773"/>
      <c r="M301" s="2773"/>
      <c r="N301" s="2773"/>
      <c r="O301" s="2773"/>
      <c r="P301" s="2773"/>
      <c r="Q301" s="2773"/>
      <c r="R301" s="2773"/>
      <c r="S301" s="2773"/>
    </row>
    <row r="302" spans="1:19">
      <c r="A302" s="2774" t="s">
        <v>4022</v>
      </c>
      <c r="B302" s="2774"/>
      <c r="C302" s="2774"/>
      <c r="D302" s="2774"/>
      <c r="E302" s="2774"/>
      <c r="F302" s="2704" t="s">
        <v>2636</v>
      </c>
      <c r="G302" s="2775" t="s">
        <v>4217</v>
      </c>
      <c r="H302" s="2775"/>
      <c r="I302" s="2775"/>
      <c r="J302" s="2775"/>
      <c r="K302" s="2775"/>
      <c r="L302" s="2775"/>
      <c r="M302" s="2775"/>
      <c r="N302" s="2775"/>
      <c r="O302" s="2775"/>
      <c r="P302" s="2775"/>
      <c r="Q302" s="2775"/>
      <c r="R302" s="2775"/>
      <c r="S302" s="2775"/>
    </row>
    <row r="303" spans="1:19">
      <c r="A303" s="2691"/>
      <c r="B303" s="2754"/>
      <c r="C303" s="2776" t="s">
        <v>2085</v>
      </c>
      <c r="D303" s="2777" t="s">
        <v>3176</v>
      </c>
      <c r="E303" s="2777"/>
      <c r="F303" s="2778" t="str">
        <f>'Part II-Development Team'!F121</f>
        <v>No</v>
      </c>
      <c r="G303" s="2779">
        <f>'Part II-Development Team'!G121</f>
        <v>0</v>
      </c>
      <c r="H303" s="2779"/>
      <c r="I303" s="2779"/>
      <c r="J303" s="2779"/>
      <c r="K303" s="2779"/>
      <c r="L303" s="2779"/>
      <c r="M303" s="2779"/>
      <c r="N303" s="2779"/>
      <c r="O303" s="2779"/>
      <c r="P303" s="2779"/>
      <c r="Q303" s="2779"/>
      <c r="R303" s="2779"/>
      <c r="S303" s="2779"/>
    </row>
    <row r="304" spans="1:19">
      <c r="A304" s="2691"/>
      <c r="B304" s="2754"/>
      <c r="C304" s="2776" t="s">
        <v>2087</v>
      </c>
      <c r="D304" s="2777" t="s">
        <v>3296</v>
      </c>
      <c r="E304" s="2777"/>
      <c r="F304" s="2778" t="str">
        <f>'Part II-Development Team'!F122</f>
        <v>Yes</v>
      </c>
      <c r="G304" s="2779" t="str">
        <f>'Part II-Development Team'!G122</f>
        <v>Seller is affilated entity of the general partner.  However, the general partner's interest is less than 50% of the new entity, thereby preserving the eligibilty for acqusition credit.</v>
      </c>
      <c r="H304" s="2779"/>
      <c r="I304" s="2779"/>
      <c r="J304" s="2779"/>
      <c r="K304" s="2779"/>
      <c r="L304" s="2779"/>
      <c r="M304" s="2779"/>
      <c r="N304" s="2779"/>
      <c r="O304" s="2779"/>
      <c r="P304" s="2779"/>
      <c r="Q304" s="2779"/>
      <c r="R304" s="2779"/>
      <c r="S304" s="2779"/>
    </row>
    <row r="305" spans="1:19">
      <c r="A305" s="2691"/>
      <c r="B305" s="2754"/>
      <c r="C305" s="2776" t="s">
        <v>2661</v>
      </c>
      <c r="D305" s="2777" t="s">
        <v>3262</v>
      </c>
      <c r="E305" s="2777"/>
      <c r="F305" s="2778" t="str">
        <f>'Part II-Development Team'!F123</f>
        <v>No</v>
      </c>
      <c r="G305" s="2779">
        <f>'Part II-Development Team'!G123</f>
        <v>0</v>
      </c>
      <c r="H305" s="2779"/>
      <c r="I305" s="2779"/>
      <c r="J305" s="2779"/>
      <c r="K305" s="2779"/>
      <c r="L305" s="2779"/>
      <c r="M305" s="2779"/>
      <c r="N305" s="2779"/>
      <c r="O305" s="2779"/>
      <c r="P305" s="2779"/>
      <c r="Q305" s="2779"/>
      <c r="R305" s="2779"/>
      <c r="S305" s="2779"/>
    </row>
    <row r="306" spans="1:19">
      <c r="A306" s="2691"/>
      <c r="B306" s="2754"/>
      <c r="C306" s="2776" t="s">
        <v>1283</v>
      </c>
      <c r="D306" s="2777" t="s">
        <v>3177</v>
      </c>
      <c r="E306" s="2777"/>
      <c r="F306" s="2778" t="str">
        <f>'Part II-Development Team'!F124</f>
        <v>No</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1284</v>
      </c>
      <c r="D307" s="2777" t="s">
        <v>4166</v>
      </c>
      <c r="E307" s="2777"/>
      <c r="F307" s="2778" t="str">
        <f>'Part II-Development Team'!F125</f>
        <v>No</v>
      </c>
      <c r="G307" s="2779">
        <f>'Part II-Development Team'!G125</f>
        <v>0</v>
      </c>
      <c r="H307" s="2779"/>
      <c r="I307" s="2779"/>
      <c r="J307" s="2779"/>
      <c r="K307" s="2779"/>
      <c r="L307" s="2779"/>
      <c r="M307" s="2779"/>
      <c r="N307" s="2779"/>
      <c r="O307" s="2779"/>
      <c r="P307" s="2779"/>
      <c r="Q307" s="2779"/>
      <c r="R307" s="2779"/>
      <c r="S307" s="2779"/>
    </row>
    <row r="308" spans="1:19">
      <c r="A308" s="2691"/>
      <c r="B308" s="2754"/>
      <c r="C308" s="2776" t="s">
        <v>1978</v>
      </c>
      <c r="D308" s="2777" t="s">
        <v>4167</v>
      </c>
      <c r="E308" s="2777"/>
      <c r="F308" s="2778" t="str">
        <f>'Part II-Development Team'!F126</f>
        <v>No</v>
      </c>
      <c r="G308" s="2779">
        <f>'Part II-Development Team'!G126</f>
        <v>0</v>
      </c>
      <c r="H308" s="2779"/>
      <c r="I308" s="2779"/>
      <c r="J308" s="2779"/>
      <c r="K308" s="2779"/>
      <c r="L308" s="2779"/>
      <c r="M308" s="2779"/>
      <c r="N308" s="2779"/>
      <c r="O308" s="2779"/>
      <c r="P308" s="2779"/>
      <c r="Q308" s="2779"/>
      <c r="R308" s="2779"/>
      <c r="S308" s="2779"/>
    </row>
    <row r="309" spans="1:19">
      <c r="A309" s="2691"/>
      <c r="B309" s="2754"/>
      <c r="C309" s="2776" t="s">
        <v>526</v>
      </c>
      <c r="D309" s="2777" t="s">
        <v>3178</v>
      </c>
      <c r="E309" s="2777"/>
      <c r="F309" s="2778" t="str">
        <f>'Part II-Development Team'!F127</f>
        <v>No</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527</v>
      </c>
      <c r="D310" s="2777" t="s">
        <v>1679</v>
      </c>
      <c r="E310" s="2777"/>
      <c r="F310" s="2778" t="str">
        <f>'Part II-Development Team'!F128</f>
        <v>No</v>
      </c>
      <c r="G310" s="2779">
        <f>'Part II-Development Team'!G128</f>
        <v>0</v>
      </c>
      <c r="H310" s="2779"/>
      <c r="I310" s="2779"/>
      <c r="J310" s="2779"/>
      <c r="K310" s="2779"/>
      <c r="L310" s="2779"/>
      <c r="M310" s="2779"/>
      <c r="N310" s="2779"/>
      <c r="O310" s="2779"/>
      <c r="P310" s="2779"/>
      <c r="Q310" s="2779"/>
      <c r="R310" s="2779"/>
      <c r="S310" s="2779"/>
    </row>
    <row r="311" spans="1:19">
      <c r="A311" s="2694" t="s">
        <v>1880</v>
      </c>
      <c r="B311" s="2694" t="s">
        <v>4555</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2084</v>
      </c>
      <c r="C313" s="2694" t="s">
        <v>3179</v>
      </c>
      <c r="D313" s="2697"/>
      <c r="E313" s="2697"/>
      <c r="F313" s="2697"/>
      <c r="G313" s="2697"/>
      <c r="H313" s="2697"/>
      <c r="I313" s="2697"/>
      <c r="J313" s="2697"/>
      <c r="K313" s="2697"/>
      <c r="L313" s="2697"/>
      <c r="M313" s="2697"/>
      <c r="N313" s="2697"/>
      <c r="O313" s="2697"/>
      <c r="P313" s="2697"/>
      <c r="Q313" s="2697"/>
      <c r="R313" s="2697"/>
      <c r="S313" s="2697"/>
    </row>
    <row r="314" spans="1:19">
      <c r="A314" s="2777" t="s">
        <v>671</v>
      </c>
      <c r="B314" s="2777"/>
      <c r="C314" s="2777"/>
      <c r="D314" s="2777"/>
      <c r="E314" s="2780" t="s">
        <v>4028</v>
      </c>
      <c r="F314" s="2781"/>
      <c r="G314" s="2781"/>
      <c r="H314" s="2781"/>
      <c r="I314" s="2781"/>
      <c r="J314" s="2780" t="s">
        <v>4029</v>
      </c>
      <c r="K314" s="2781" t="s">
        <v>4556</v>
      </c>
      <c r="L314" s="2781" t="s">
        <v>4557</v>
      </c>
      <c r="M314" s="2781" t="s">
        <v>4558</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4120</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2636</v>
      </c>
      <c r="J318" s="2780"/>
      <c r="K318" s="2781"/>
      <c r="L318" s="2781"/>
      <c r="M318" s="2704" t="s">
        <v>2636</v>
      </c>
      <c r="N318" s="2720" t="s">
        <v>3330</v>
      </c>
      <c r="O318" s="2720"/>
      <c r="P318" s="2720"/>
      <c r="Q318" s="2720"/>
      <c r="R318" s="2720"/>
      <c r="S318" s="2720"/>
    </row>
    <row r="319" spans="1:19">
      <c r="A319" s="2777" t="s">
        <v>4023</v>
      </c>
      <c r="B319" s="2777"/>
      <c r="C319" s="2777"/>
      <c r="D319" s="2777"/>
      <c r="E319" s="2779">
        <f>'Part II-Development Team'!E137</f>
        <v>0</v>
      </c>
      <c r="F319" s="2779"/>
      <c r="G319" s="2779"/>
      <c r="H319" s="2779"/>
      <c r="I319" s="2778" t="str">
        <f>'Part II-Development Team'!I137</f>
        <v>No</v>
      </c>
      <c r="J319" s="2778" t="str">
        <f>'Part II-Development Team'!J137</f>
        <v>No</v>
      </c>
      <c r="K319" s="2786" t="str">
        <f>'Part II-Development Team'!K137</f>
        <v>For Profit</v>
      </c>
      <c r="L319" s="2787">
        <f>'Part II-Development Team'!L137</f>
        <v>1E-4</v>
      </c>
      <c r="M319" s="2778">
        <f>'Part II-Development Team'!M137</f>
        <v>0</v>
      </c>
      <c r="N319" s="2788">
        <f>'Part II-Development Team'!N137</f>
        <v>0</v>
      </c>
      <c r="O319" s="2788"/>
      <c r="P319" s="2788"/>
      <c r="Q319" s="2788"/>
      <c r="R319" s="2788"/>
      <c r="S319" s="2788"/>
    </row>
    <row r="320" spans="1:19">
      <c r="A320" s="2777" t="s">
        <v>4024</v>
      </c>
      <c r="B320" s="2777"/>
      <c r="C320" s="2777"/>
      <c r="D320" s="2777"/>
      <c r="E320" s="2779">
        <f>'Part II-Development Team'!E138</f>
        <v>0</v>
      </c>
      <c r="F320" s="2779"/>
      <c r="G320" s="2779"/>
      <c r="H320" s="2779"/>
      <c r="I320" s="2778">
        <f>'Part II-Development Team'!I138</f>
        <v>0</v>
      </c>
      <c r="J320" s="2778">
        <f>'Part II-Development Team'!J138</f>
        <v>0</v>
      </c>
      <c r="K320" s="2786">
        <f>'Part II-Development Team'!K138</f>
        <v>0</v>
      </c>
      <c r="L320" s="2787">
        <f>'Part II-Development Team'!L138</f>
        <v>0</v>
      </c>
      <c r="M320" s="2778">
        <f>'Part II-Development Team'!M138</f>
        <v>0</v>
      </c>
      <c r="N320" s="2788">
        <f>'Part II-Development Team'!N138</f>
        <v>0</v>
      </c>
      <c r="O320" s="2788"/>
      <c r="P320" s="2788"/>
      <c r="Q320" s="2788"/>
      <c r="R320" s="2788"/>
      <c r="S320" s="2788"/>
    </row>
    <row r="321" spans="1:19">
      <c r="A321" s="2777" t="s">
        <v>4025</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4026</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0.99970000000000003</v>
      </c>
      <c r="M322" s="2778">
        <f>'Part II-Development Team'!M140</f>
        <v>0</v>
      </c>
      <c r="N322" s="2788">
        <f>'Part II-Development Team'!N140</f>
        <v>0</v>
      </c>
      <c r="O322" s="2788"/>
      <c r="P322" s="2788"/>
      <c r="Q322" s="2788"/>
      <c r="R322" s="2788"/>
      <c r="S322" s="2788"/>
    </row>
    <row r="323" spans="1:19">
      <c r="A323" s="2777" t="s">
        <v>4027</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1E-4</v>
      </c>
      <c r="M323" s="2778">
        <f>'Part II-Development Team'!M141</f>
        <v>0</v>
      </c>
      <c r="N323" s="2788">
        <f>'Part II-Development Team'!N141</f>
        <v>0</v>
      </c>
      <c r="O323" s="2788"/>
      <c r="P323" s="2788"/>
      <c r="Q323" s="2788"/>
      <c r="R323" s="2788"/>
      <c r="S323" s="2788"/>
    </row>
    <row r="324" spans="1:19">
      <c r="A324" s="2777" t="s">
        <v>3289</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688</v>
      </c>
      <c r="B325" s="2777"/>
      <c r="C325" s="2777"/>
      <c r="D325" s="2777"/>
      <c r="E325" s="2779">
        <f>'Part II-Development Team'!E143</f>
        <v>0</v>
      </c>
      <c r="F325" s="2779"/>
      <c r="G325" s="2779"/>
      <c r="H325" s="2779"/>
      <c r="I325" s="2778" t="str">
        <f>'Part II-Development Team'!I143</f>
        <v>No</v>
      </c>
      <c r="J325" s="2778" t="str">
        <f>'Part II-Development Team'!J143</f>
        <v>No</v>
      </c>
      <c r="K325" s="2786" t="str">
        <f>'Part II-Development Team'!K143</f>
        <v>For Profit</v>
      </c>
      <c r="L325" s="2787">
        <f>'Part II-Development Team'!L143</f>
        <v>0</v>
      </c>
      <c r="M325" s="2778">
        <f>'Part II-Development Team'!M143</f>
        <v>0</v>
      </c>
      <c r="N325" s="2788">
        <f>'Part II-Development Team'!N143</f>
        <v>0</v>
      </c>
      <c r="O325" s="2788"/>
      <c r="P325" s="2788"/>
      <c r="Q325" s="2788"/>
      <c r="R325" s="2788"/>
      <c r="S325" s="2788"/>
    </row>
    <row r="326" spans="1:19">
      <c r="A326" s="2777" t="s">
        <v>3290</v>
      </c>
      <c r="B326" s="2777"/>
      <c r="C326" s="2777"/>
      <c r="D326" s="2777"/>
      <c r="E326" s="2779">
        <f>'Part II-Development Team'!E144</f>
        <v>0</v>
      </c>
      <c r="F326" s="2779"/>
      <c r="G326" s="2779"/>
      <c r="H326" s="2779"/>
      <c r="I326" s="2778">
        <f>'Part II-Development Team'!I144</f>
        <v>0</v>
      </c>
      <c r="J326" s="2778">
        <f>'Part II-Development Team'!J144</f>
        <v>0</v>
      </c>
      <c r="K326" s="2786">
        <f>'Part II-Development Team'!K144</f>
        <v>0</v>
      </c>
      <c r="L326" s="2787">
        <f>'Part II-Development Team'!L144</f>
        <v>0</v>
      </c>
      <c r="M326" s="2778">
        <f>'Part II-Development Team'!M144</f>
        <v>0</v>
      </c>
      <c r="N326" s="2788">
        <f>'Part II-Development Team'!N144</f>
        <v>0</v>
      </c>
      <c r="O326" s="2788"/>
      <c r="P326" s="2788"/>
      <c r="Q326" s="2788"/>
      <c r="R326" s="2788"/>
      <c r="S326" s="2788"/>
    </row>
    <row r="327" spans="1:19">
      <c r="A327" s="2777" t="s">
        <v>3291</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3293</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3292</v>
      </c>
      <c r="B329" s="2777"/>
      <c r="C329" s="2777"/>
      <c r="D329" s="2777"/>
      <c r="E329" s="2779">
        <f>'Part II-Development Team'!E147</f>
        <v>0</v>
      </c>
      <c r="F329" s="2779"/>
      <c r="G329" s="2779"/>
      <c r="H329" s="2779"/>
      <c r="I329" s="2778">
        <f>'Part II-Development Team'!I147</f>
        <v>0</v>
      </c>
      <c r="J329" s="2778">
        <f>'Part II-Development Team'!J147</f>
        <v>0</v>
      </c>
      <c r="K329" s="2786">
        <f>'Part II-Development Team'!K147</f>
        <v>0</v>
      </c>
      <c r="L329" s="2787">
        <f>'Part II-Development Team'!L147</f>
        <v>0</v>
      </c>
      <c r="M329" s="2778">
        <f>'Part II-Development Team'!M147</f>
        <v>0</v>
      </c>
      <c r="N329" s="2788">
        <f>'Part II-Development Team'!N147</f>
        <v>0</v>
      </c>
      <c r="O329" s="2788"/>
      <c r="P329" s="2788"/>
      <c r="Q329" s="2788"/>
      <c r="R329" s="2788"/>
      <c r="S329" s="2788"/>
    </row>
    <row r="330" spans="1:19">
      <c r="A330" s="2777" t="s">
        <v>1605</v>
      </c>
      <c r="B330" s="2777"/>
      <c r="C330" s="2777"/>
      <c r="D330" s="2777"/>
      <c r="E330" s="2779">
        <f>'Part II-Development Team'!E148</f>
        <v>0</v>
      </c>
      <c r="F330" s="2779"/>
      <c r="G330" s="2779"/>
      <c r="H330" s="2779"/>
      <c r="I330" s="2778" t="str">
        <f>'Part II-Development Team'!I148</f>
        <v>No</v>
      </c>
      <c r="J330" s="2778" t="str">
        <f>'Part II-Development Team'!J148</f>
        <v>No</v>
      </c>
      <c r="K330" s="2786" t="str">
        <f>'Part II-Development Team'!K148</f>
        <v>For Profit</v>
      </c>
      <c r="L330" s="2787">
        <f>'Part II-Development Team'!L148</f>
        <v>0</v>
      </c>
      <c r="M330" s="2778">
        <f>'Part II-Development Team'!M148</f>
        <v>0</v>
      </c>
      <c r="N330" s="2788">
        <f>'Part II-Development Team'!N148</f>
        <v>0</v>
      </c>
      <c r="O330" s="2788"/>
      <c r="P330" s="2788"/>
      <c r="Q330" s="2788"/>
      <c r="R330" s="2788"/>
      <c r="S330" s="2788"/>
    </row>
    <row r="331" spans="1:19">
      <c r="A331" s="2777" t="s">
        <v>3294</v>
      </c>
      <c r="B331" s="2777"/>
      <c r="C331" s="2777"/>
      <c r="D331" s="2777"/>
      <c r="E331" s="2779">
        <f>'Part II-Development Team'!E149</f>
        <v>0</v>
      </c>
      <c r="F331" s="2779"/>
      <c r="G331" s="2779"/>
      <c r="H331" s="2779"/>
      <c r="I331" s="2778" t="str">
        <f>'Part II-Development Team'!I149</f>
        <v>No</v>
      </c>
      <c r="J331" s="2778" t="str">
        <f>'Part II-Development Team'!J149</f>
        <v>No</v>
      </c>
      <c r="K331" s="2786" t="str">
        <f>'Part II-Development Team'!K149</f>
        <v>For Profit</v>
      </c>
      <c r="L331" s="2787">
        <f>'Part II-Development Team'!L149</f>
        <v>0</v>
      </c>
      <c r="M331" s="2778">
        <f>'Part II-Development Team'!M149</f>
        <v>0</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563</v>
      </c>
      <c r="L332" s="2789">
        <f>SUM(L319:S331)</f>
        <v>0.99990000000000001</v>
      </c>
      <c r="M332" s="2695"/>
      <c r="N332" s="2691"/>
      <c r="O332" s="2691"/>
      <c r="P332" s="2697"/>
      <c r="Q332" s="2691"/>
      <c r="R332" s="2691"/>
      <c r="S332" s="2691"/>
    </row>
    <row r="333" spans="1:19">
      <c r="A333" s="2737" t="s">
        <v>1882</v>
      </c>
      <c r="B333" s="2740"/>
      <c r="C333" s="2737" t="s">
        <v>599</v>
      </c>
      <c r="D333" s="2697"/>
      <c r="E333" s="2697"/>
      <c r="F333" s="2697"/>
      <c r="G333" s="2697"/>
      <c r="H333" s="2697"/>
      <c r="I333" s="2697"/>
      <c r="J333" s="2697"/>
      <c r="K333" s="2697"/>
      <c r="L333" s="2697"/>
      <c r="M333" s="2697"/>
      <c r="N333" s="2737" t="s">
        <v>554</v>
      </c>
      <c r="O333" s="2737" t="s">
        <v>81</v>
      </c>
      <c r="P333" s="2697"/>
      <c r="Q333" s="2697"/>
      <c r="R333" s="2697"/>
      <c r="S333" s="2697"/>
    </row>
    <row r="334" spans="1:19" ht="13.5">
      <c r="A334" s="2764" t="str">
        <f>'Part II-Development Team'!A152</f>
        <v>Total project ownership only totals 99.99%  There is a Special Limited Partner that is an affiliate entity of the principals and members of the General Partner which will own the remaining 0.01%</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2015-056 Lakeview Apartments, Fort Valley, Peach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647</v>
      </c>
      <c r="B339" s="2737" t="s">
        <v>2614</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2826</v>
      </c>
      <c r="T340" s="2792"/>
    </row>
    <row r="341" spans="1:20" ht="13.5">
      <c r="A341" s="2690"/>
      <c r="B341" s="2695" t="str">
        <f>'Part III-Sources of Funds'!B5</f>
        <v>Yes</v>
      </c>
      <c r="C341" s="2699" t="s">
        <v>2530</v>
      </c>
      <c r="D341" s="2691"/>
      <c r="E341" s="2767"/>
      <c r="F341" s="2767"/>
      <c r="G341" s="2767"/>
      <c r="H341" s="2695" t="str">
        <f>'Part III-Sources of Funds'!H5</f>
        <v>Yes</v>
      </c>
      <c r="I341" s="2699" t="s">
        <v>2737</v>
      </c>
      <c r="J341" s="2767"/>
      <c r="K341" s="2767"/>
      <c r="L341" s="2767"/>
      <c r="M341" s="2767"/>
      <c r="N341" s="2695" t="str">
        <f>'Part III-Sources of Funds'!N5</f>
        <v>No</v>
      </c>
      <c r="O341" s="2699" t="s">
        <v>3102</v>
      </c>
      <c r="P341" s="2767"/>
      <c r="Q341" s="2767"/>
      <c r="S341" s="2764">
        <f>'Part III-Sources of Funds'!S5</f>
        <v>0</v>
      </c>
      <c r="T341" s="2764"/>
    </row>
    <row r="342" spans="1:20" ht="13.5">
      <c r="A342" s="2690"/>
      <c r="B342" s="2695" t="str">
        <f>'Part III-Sources of Funds'!B6</f>
        <v>No</v>
      </c>
      <c r="C342" s="2699" t="s">
        <v>574</v>
      </c>
      <c r="D342" s="2691"/>
      <c r="E342" s="2767"/>
      <c r="F342" s="2767"/>
      <c r="G342" s="2767"/>
      <c r="H342" s="2695" t="str">
        <f>'Part III-Sources of Funds'!H6</f>
        <v>No</v>
      </c>
      <c r="I342" s="2699" t="s">
        <v>4202</v>
      </c>
      <c r="J342" s="2767"/>
      <c r="K342" s="2693"/>
      <c r="L342" s="2693"/>
      <c r="M342" s="2767"/>
      <c r="N342" s="2695" t="str">
        <f>'Part III-Sources of Funds'!N6</f>
        <v>No</v>
      </c>
      <c r="O342" s="2699" t="s">
        <v>1613</v>
      </c>
      <c r="P342" s="2767"/>
      <c r="Q342" s="2754"/>
      <c r="S342" s="2764"/>
      <c r="T342" s="2764"/>
    </row>
    <row r="343" spans="1:20" ht="13.5">
      <c r="A343" s="2691"/>
      <c r="B343" s="2695" t="str">
        <f>'Part III-Sources of Funds'!B7</f>
        <v>No</v>
      </c>
      <c r="C343" s="2699" t="s">
        <v>1892</v>
      </c>
      <c r="D343" s="2767"/>
      <c r="E343" s="2767"/>
      <c r="F343" s="2767"/>
      <c r="G343" s="2767"/>
      <c r="H343" s="2695" t="str">
        <f>'Part III-Sources of Funds'!H7</f>
        <v>No</v>
      </c>
      <c r="I343" s="2691" t="s">
        <v>2729</v>
      </c>
      <c r="J343" s="2767"/>
      <c r="K343" s="2767"/>
      <c r="L343" s="2767"/>
      <c r="M343" s="2767"/>
      <c r="N343" s="2695" t="str">
        <f>'Part III-Sources of Funds'!N7</f>
        <v>No</v>
      </c>
      <c r="O343" s="2699" t="s">
        <v>573</v>
      </c>
      <c r="P343" s="2767"/>
      <c r="Q343" s="2767"/>
      <c r="S343" s="2764"/>
      <c r="T343" s="2764"/>
    </row>
    <row r="344" spans="1:20" ht="13.5">
      <c r="A344" s="2690"/>
      <c r="B344" s="2695" t="str">
        <f>'Part III-Sources of Funds'!B8</f>
        <v>No</v>
      </c>
      <c r="C344" s="2699" t="s">
        <v>1893</v>
      </c>
      <c r="D344" s="2691"/>
      <c r="E344" s="2767"/>
      <c r="F344" s="2767"/>
      <c r="G344" s="2767"/>
      <c r="H344" s="2695" t="str">
        <f>'Part III-Sources of Funds'!H8</f>
        <v>No</v>
      </c>
      <c r="I344" s="2739" t="s">
        <v>2730</v>
      </c>
      <c r="J344" s="2767"/>
      <c r="K344" s="2699"/>
      <c r="L344" s="2699"/>
      <c r="M344" s="2767"/>
      <c r="N344" s="2695" t="str">
        <f>'Part III-Sources of Funds'!N8</f>
        <v>No</v>
      </c>
      <c r="O344" s="2691" t="s">
        <v>2738</v>
      </c>
      <c r="P344" s="2767"/>
      <c r="Q344" s="2767"/>
      <c r="S344" s="2764"/>
      <c r="T344" s="2764"/>
    </row>
    <row r="345" spans="1:20" ht="13.5">
      <c r="A345" s="2690"/>
      <c r="B345" s="2695" t="str">
        <f>'Part III-Sources of Funds'!B9</f>
        <v>No</v>
      </c>
      <c r="C345" s="2699" t="s">
        <v>575</v>
      </c>
      <c r="D345" s="2767"/>
      <c r="E345" s="2767"/>
      <c r="F345" s="2767"/>
      <c r="G345" s="2767"/>
      <c r="H345" s="2695" t="str">
        <f>'Part III-Sources of Funds'!H9</f>
        <v>No</v>
      </c>
      <c r="I345" s="2691" t="s">
        <v>2736</v>
      </c>
      <c r="J345" s="2767"/>
      <c r="K345" s="2767"/>
      <c r="L345" s="2691"/>
      <c r="M345" s="2767"/>
      <c r="N345" s="2767"/>
      <c r="O345" s="2767"/>
      <c r="P345" s="2691"/>
      <c r="Q345" s="2691"/>
      <c r="S345" s="2767"/>
      <c r="T345" s="2767"/>
    </row>
    <row r="346" spans="1:20" ht="13.5">
      <c r="A346" s="2690"/>
      <c r="B346" s="2695" t="str">
        <f>'Part III-Sources of Funds'!B10</f>
        <v>No</v>
      </c>
      <c r="C346" s="2699" t="s">
        <v>4559</v>
      </c>
      <c r="D346" s="2691"/>
      <c r="E346" s="2767"/>
      <c r="F346" s="2767"/>
      <c r="G346" s="2793" t="s">
        <v>4033</v>
      </c>
      <c r="H346" s="2794">
        <f>'Part III-Sources of Funds'!H10</f>
        <v>0</v>
      </c>
      <c r="I346" s="2795"/>
      <c r="J346" s="2767"/>
      <c r="K346" s="2767"/>
      <c r="L346" s="2767"/>
      <c r="M346" s="2767"/>
      <c r="N346" s="2691"/>
      <c r="O346" s="2691"/>
      <c r="P346" s="2767"/>
      <c r="Q346" s="2691"/>
      <c r="S346" s="2767"/>
      <c r="T346" s="2767"/>
    </row>
    <row r="347" spans="1:20" ht="13.5">
      <c r="A347" s="2690"/>
      <c r="B347" s="2695" t="str">
        <f>'Part III-Sources of Funds'!B11</f>
        <v>No</v>
      </c>
      <c r="C347" s="2699" t="s">
        <v>2304</v>
      </c>
      <c r="D347" s="2767"/>
      <c r="E347" s="2767"/>
      <c r="F347" s="2767"/>
      <c r="G347" s="2767"/>
      <c r="H347" s="2796" t="str">
        <f>'Part III-Sources of Funds'!H11</f>
        <v>Specify Other HOME Source here</v>
      </c>
      <c r="I347" s="2796"/>
      <c r="J347" s="2796"/>
      <c r="K347" s="2796"/>
      <c r="L347" s="2796"/>
      <c r="M347" s="2796"/>
      <c r="N347" s="2691"/>
      <c r="O347" s="2691"/>
      <c r="P347" s="2691"/>
      <c r="Q347" s="2691"/>
      <c r="S347" s="2767"/>
      <c r="T347" s="2767"/>
    </row>
    <row r="348" spans="1:20" ht="13.5">
      <c r="A348" s="2690"/>
      <c r="B348" s="2695" t="str">
        <f>'Part III-Sources of Funds'!B12</f>
        <v>No</v>
      </c>
      <c r="C348" s="2706" t="str">
        <f>'Part III-Sources of Funds'!C12</f>
        <v>Other Type of Funding - describe here</v>
      </c>
      <c r="D348" s="2706"/>
      <c r="E348" s="2706"/>
      <c r="F348" s="2706"/>
      <c r="G348" s="2706"/>
      <c r="H348" s="2796" t="str">
        <f>'Part III-Sources of Funds'!H12</f>
        <v>Specify Source of Other Funding Type</v>
      </c>
      <c r="I348" s="2796"/>
      <c r="J348" s="2796"/>
      <c r="K348" s="2796"/>
      <c r="L348" s="2796"/>
      <c r="M348" s="2796"/>
      <c r="N348" s="2691"/>
      <c r="O348" s="2691"/>
      <c r="P348" s="2767"/>
      <c r="Q348" s="2691"/>
      <c r="S348" s="2767"/>
      <c r="T348" s="2767"/>
    </row>
    <row r="349" spans="1:20" ht="13.5">
      <c r="A349" s="2690"/>
      <c r="B349" s="2767" t="s">
        <v>3027</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780</v>
      </c>
      <c r="B351" s="2692" t="s">
        <v>2455</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1965</v>
      </c>
      <c r="C353" s="2691"/>
      <c r="D353" s="2691"/>
      <c r="E353" s="2691"/>
      <c r="F353" s="2691"/>
      <c r="G353" s="2691"/>
      <c r="H353" s="2706" t="s">
        <v>1362</v>
      </c>
      <c r="I353" s="2706"/>
      <c r="J353" s="2706"/>
      <c r="K353" s="2706"/>
      <c r="L353" s="2705" t="s">
        <v>2089</v>
      </c>
      <c r="M353" s="2705"/>
      <c r="N353" s="2705" t="s">
        <v>1583</v>
      </c>
      <c r="O353" s="2705"/>
      <c r="P353" s="2705" t="s">
        <v>1709</v>
      </c>
      <c r="Q353" s="2705"/>
      <c r="S353" s="2792" t="s">
        <v>2826</v>
      </c>
      <c r="T353" s="2792"/>
    </row>
    <row r="354" spans="1:20">
      <c r="A354" s="2691"/>
      <c r="B354" s="2797" t="s">
        <v>1668</v>
      </c>
      <c r="C354" s="2797"/>
      <c r="D354" s="2797"/>
      <c r="E354" s="2691"/>
      <c r="F354" s="2691"/>
      <c r="G354" s="2691"/>
      <c r="H354" s="2706">
        <f>'Part III-Sources of Funds'!H18</f>
        <v>0</v>
      </c>
      <c r="I354" s="2706"/>
      <c r="J354" s="2706"/>
      <c r="K354" s="2706"/>
      <c r="L354" s="2798">
        <f>'Part III-Sources of Funds'!L18</f>
        <v>0</v>
      </c>
      <c r="M354" s="2798"/>
      <c r="N354" s="2799">
        <f>'Part III-Sources of Funds'!N18</f>
        <v>0</v>
      </c>
      <c r="O354" s="2799"/>
      <c r="P354" s="2800">
        <f>'Part III-Sources of Funds'!P18</f>
        <v>0</v>
      </c>
      <c r="Q354" s="2800"/>
      <c r="S354" s="2764">
        <f>'Part III-Sources of Funds'!S18</f>
        <v>0</v>
      </c>
      <c r="T354" s="2764"/>
    </row>
    <row r="355" spans="1:20">
      <c r="A355" s="2691"/>
      <c r="B355" s="2797" t="s">
        <v>1669</v>
      </c>
      <c r="C355" s="2797"/>
      <c r="D355" s="2797"/>
      <c r="E355" s="2691"/>
      <c r="F355" s="2691"/>
      <c r="G355" s="2691"/>
      <c r="H355" s="2706">
        <f>'Part III-Sources of Funds'!H19</f>
        <v>0</v>
      </c>
      <c r="I355" s="2706"/>
      <c r="J355" s="2706"/>
      <c r="K355" s="2706"/>
      <c r="L355" s="2798">
        <f>'Part III-Sources of Funds'!L19</f>
        <v>0</v>
      </c>
      <c r="M355" s="2798"/>
      <c r="N355" s="2799">
        <f>'Part III-Sources of Funds'!N19</f>
        <v>0</v>
      </c>
      <c r="O355" s="2799"/>
      <c r="P355" s="2800">
        <f>'Part III-Sources of Funds'!P19</f>
        <v>0</v>
      </c>
      <c r="Q355" s="2800"/>
      <c r="S355" s="2764"/>
      <c r="T355" s="2764"/>
    </row>
    <row r="356" spans="1:20">
      <c r="A356" s="2691"/>
      <c r="B356" s="2797" t="s">
        <v>1670</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2321</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843</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672</v>
      </c>
      <c r="C359" s="2797"/>
      <c r="D359" s="2797"/>
      <c r="E359" s="2691"/>
      <c r="F359" s="2767"/>
      <c r="G359" s="2767"/>
      <c r="H359" s="2706">
        <f>'Part III-Sources of Funds'!H23</f>
        <v>0</v>
      </c>
      <c r="I359" s="2706"/>
      <c r="J359" s="2706"/>
      <c r="K359" s="2706"/>
      <c r="L359" s="2798">
        <f>'Part III-Sources of Funds'!L23</f>
        <v>0</v>
      </c>
      <c r="M359" s="2798"/>
      <c r="N359" s="2801"/>
      <c r="O359" s="2801"/>
      <c r="P359" s="2705"/>
      <c r="Q359" s="2705"/>
      <c r="S359" s="2764"/>
      <c r="T359" s="2764"/>
    </row>
    <row r="360" spans="1:20" ht="13.5">
      <c r="A360" s="2691"/>
      <c r="B360" s="2797" t="s">
        <v>844</v>
      </c>
      <c r="C360" s="2797"/>
      <c r="D360" s="2797"/>
      <c r="E360" s="2691"/>
      <c r="F360" s="2767"/>
      <c r="G360" s="2767"/>
      <c r="H360" s="2706" t="str">
        <f>'Part III-Sources of Funds'!H24</f>
        <v>CREA Lakeview, LLC</v>
      </c>
      <c r="I360" s="2706"/>
      <c r="J360" s="2706"/>
      <c r="K360" s="2706"/>
      <c r="L360" s="2798">
        <f>'Part III-Sources of Funds'!L24</f>
        <v>9998000</v>
      </c>
      <c r="M360" s="2798"/>
      <c r="N360" s="2691"/>
      <c r="O360" s="2691"/>
      <c r="P360" s="2691"/>
      <c r="Q360" s="2691"/>
      <c r="S360" s="2764"/>
      <c r="T360" s="2764"/>
    </row>
    <row r="361" spans="1:20" ht="13.5">
      <c r="A361" s="2691"/>
      <c r="B361" s="2797" t="s">
        <v>845</v>
      </c>
      <c r="C361" s="2797"/>
      <c r="D361" s="2797"/>
      <c r="E361" s="2691"/>
      <c r="F361" s="2767"/>
      <c r="G361" s="2767"/>
      <c r="H361" s="2706" t="str">
        <f>'Part III-Sources of Funds'!H25</f>
        <v>CREA Lakeview, LLC</v>
      </c>
      <c r="I361" s="2706"/>
      <c r="J361" s="2706"/>
      <c r="K361" s="2706"/>
      <c r="L361" s="2798">
        <f>'Part III-Sources of Funds'!L25</f>
        <v>4999000</v>
      </c>
      <c r="M361" s="2798"/>
      <c r="N361" s="2691"/>
      <c r="O361" s="2691"/>
      <c r="P361" s="2691"/>
      <c r="Q361" s="2691"/>
      <c r="S361" s="2764">
        <f>'Part III-Sources of Funds'!S25</f>
        <v>0</v>
      </c>
      <c r="T361" s="2764"/>
    </row>
    <row r="362" spans="1:20">
      <c r="A362" s="2691"/>
      <c r="B362" s="2691" t="s">
        <v>253</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253</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253</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1363</v>
      </c>
      <c r="C365" s="2691"/>
      <c r="D365" s="2691"/>
      <c r="E365" s="2691"/>
      <c r="F365" s="2691"/>
      <c r="G365" s="2691"/>
      <c r="H365" s="2691"/>
      <c r="I365" s="2691"/>
      <c r="J365" s="2767"/>
      <c r="K365" s="2767"/>
      <c r="L365" s="2802">
        <f>SUM(L354:L364)</f>
        <v>14997000</v>
      </c>
      <c r="M365" s="2802"/>
      <c r="N365" s="2697"/>
      <c r="O365" s="2697"/>
      <c r="P365" s="2697"/>
      <c r="Q365" s="2697"/>
      <c r="S365" s="2764"/>
      <c r="T365" s="2764"/>
    </row>
    <row r="366" spans="1:20" ht="13.5">
      <c r="A366" s="2691"/>
      <c r="B366" s="2699" t="s">
        <v>1364</v>
      </c>
      <c r="C366" s="2691"/>
      <c r="D366" s="2691"/>
      <c r="E366" s="2691"/>
      <c r="F366" s="2691"/>
      <c r="G366" s="2691"/>
      <c r="H366" s="2691"/>
      <c r="I366" s="2691"/>
      <c r="J366" s="2767"/>
      <c r="K366" s="2767"/>
      <c r="L366" s="2802">
        <f>'Part III-Sources of Funds'!L30</f>
        <v>12234733</v>
      </c>
      <c r="M366" s="2802"/>
      <c r="N366" s="2775"/>
      <c r="O366" s="2775"/>
      <c r="P366" s="2775"/>
      <c r="Q366" s="2775"/>
      <c r="S366" s="2764"/>
      <c r="T366" s="2764"/>
    </row>
    <row r="367" spans="1:20" ht="13.5">
      <c r="A367" s="2691"/>
      <c r="B367" s="2699" t="s">
        <v>2258</v>
      </c>
      <c r="C367" s="2691"/>
      <c r="D367" s="2691"/>
      <c r="E367" s="2691"/>
      <c r="F367" s="2691"/>
      <c r="G367" s="2691"/>
      <c r="H367" s="2691"/>
      <c r="I367" s="2691"/>
      <c r="J367" s="2767"/>
      <c r="K367" s="2767"/>
      <c r="L367" s="2803">
        <f>L365-L366</f>
        <v>2762267</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782</v>
      </c>
      <c r="B369" s="2692" t="s">
        <v>842</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2200</v>
      </c>
      <c r="L370" s="2695" t="s">
        <v>1360</v>
      </c>
      <c r="M370" s="2695" t="s">
        <v>1365</v>
      </c>
      <c r="N370" s="2804" t="s">
        <v>36</v>
      </c>
      <c r="O370" s="2804"/>
      <c r="P370" s="2695"/>
      <c r="Q370" s="2694"/>
      <c r="S370" s="2762"/>
    </row>
    <row r="371" spans="1:20" s="2767" customFormat="1" ht="13.15" customHeight="1">
      <c r="A371" s="2691"/>
      <c r="B371" s="2699" t="s">
        <v>1965</v>
      </c>
      <c r="C371" s="2691"/>
      <c r="D371" s="2691"/>
      <c r="E371" s="2706" t="s">
        <v>1362</v>
      </c>
      <c r="F371" s="2706"/>
      <c r="G371" s="2706"/>
      <c r="H371" s="2706"/>
      <c r="I371" s="2705" t="s">
        <v>510</v>
      </c>
      <c r="J371" s="2705"/>
      <c r="K371" s="2695" t="s">
        <v>1897</v>
      </c>
      <c r="L371" s="2695" t="s">
        <v>2320</v>
      </c>
      <c r="M371" s="2695" t="s">
        <v>2320</v>
      </c>
      <c r="N371" s="2804"/>
      <c r="O371" s="2804"/>
      <c r="P371" s="2705" t="s">
        <v>76</v>
      </c>
      <c r="Q371" s="2705"/>
      <c r="S371" s="2792" t="s">
        <v>2826</v>
      </c>
      <c r="T371" s="2792"/>
    </row>
    <row r="372" spans="1:20" s="2767" customFormat="1" ht="13.15" customHeight="1">
      <c r="A372" s="2691"/>
      <c r="B372" s="2797" t="s">
        <v>2742</v>
      </c>
      <c r="C372" s="2797"/>
      <c r="D372" s="2797"/>
      <c r="E372" s="2706">
        <f>'Part III-Sources of Funds'!E36</f>
        <v>0</v>
      </c>
      <c r="F372" s="2706"/>
      <c r="G372" s="2706"/>
      <c r="H372" s="2706"/>
      <c r="I372" s="2805">
        <f>'Part III-Sources of Funds'!I36</f>
        <v>0</v>
      </c>
      <c r="J372" s="2797"/>
      <c r="K372" s="2806">
        <f>'Part III-Sources of Funds'!K36</f>
        <v>0</v>
      </c>
      <c r="L372" s="2695">
        <f>'Part III-Sources of Funds'!L36</f>
        <v>0</v>
      </c>
      <c r="M372" s="2695">
        <f>'Part III-Sources of Funds'!M36</f>
        <v>0</v>
      </c>
      <c r="N372" s="2807" t="str">
        <f>'Part III-Sources of Funds'!N36</f>
        <v/>
      </c>
      <c r="O372" s="2807"/>
      <c r="P372" s="2705">
        <f>'Part III-Sources of Funds'!P36</f>
        <v>0</v>
      </c>
      <c r="Q372" s="2705"/>
      <c r="S372" s="2764">
        <f>'Part III-Sources of Funds'!S36</f>
        <v>0</v>
      </c>
      <c r="T372" s="2764"/>
    </row>
    <row r="373" spans="1:20" s="2767" customFormat="1" ht="13.15" customHeight="1">
      <c r="A373" s="2691"/>
      <c r="B373" s="2797" t="s">
        <v>2743</v>
      </c>
      <c r="C373" s="2797"/>
      <c r="D373" s="2797"/>
      <c r="E373" s="2706">
        <f>'Part III-Sources of Funds'!E37</f>
        <v>0</v>
      </c>
      <c r="F373" s="2706"/>
      <c r="G373" s="2706"/>
      <c r="H373" s="2706"/>
      <c r="I373" s="2805">
        <f>'Part III-Sources of Funds'!I37</f>
        <v>0</v>
      </c>
      <c r="J373" s="2797"/>
      <c r="K373" s="2806">
        <f>'Part III-Sources of Funds'!K37</f>
        <v>0</v>
      </c>
      <c r="L373" s="2695">
        <f>'Part III-Sources of Funds'!L37</f>
        <v>0</v>
      </c>
      <c r="M373" s="2695">
        <f>'Part III-Sources of Funds'!M37</f>
        <v>0</v>
      </c>
      <c r="N373" s="2807" t="str">
        <f>'Part III-Sources of Funds'!N37</f>
        <v/>
      </c>
      <c r="O373" s="2807"/>
      <c r="P373" s="2705">
        <f>'Part III-Sources of Funds'!P37</f>
        <v>0</v>
      </c>
      <c r="Q373" s="2705"/>
      <c r="S373" s="2764"/>
      <c r="T373" s="2764"/>
    </row>
    <row r="374" spans="1:20" s="2767" customFormat="1" ht="13.15" customHeight="1">
      <c r="A374" s="2691"/>
      <c r="B374" s="2797" t="s">
        <v>2744</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781</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2936</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237</v>
      </c>
      <c r="C377" s="2691"/>
      <c r="D377" s="2808">
        <f>'Part III-Sources of Funds'!D41</f>
        <v>0.43507277777777775</v>
      </c>
      <c r="E377" s="2706" t="str">
        <f>'Part III-Sources of Funds'!E41</f>
        <v>LVH Developers LLC</v>
      </c>
      <c r="F377" s="2706"/>
      <c r="G377" s="2706"/>
      <c r="H377" s="2706"/>
      <c r="I377" s="2805">
        <f>'Part III-Sources of Funds'!I41</f>
        <v>783131</v>
      </c>
      <c r="J377" s="2797"/>
      <c r="K377" s="2806">
        <f>'Part III-Sources of Funds'!K41</f>
        <v>0</v>
      </c>
      <c r="L377" s="2695">
        <f>'Part III-Sources of Funds'!L41</f>
        <v>10</v>
      </c>
      <c r="M377" s="2695">
        <f>'Part III-Sources of Funds'!M41</f>
        <v>0</v>
      </c>
      <c r="N377" s="2807" t="str">
        <f>'Part III-Sources of Funds'!N41</f>
        <v/>
      </c>
      <c r="O377" s="2807"/>
      <c r="P377" s="2705" t="str">
        <f>'Part III-Sources of Funds'!P41</f>
        <v>Cash Flow</v>
      </c>
      <c r="Q377" s="2705"/>
      <c r="S377" s="2764"/>
      <c r="T377" s="2764"/>
    </row>
    <row r="378" spans="1:20" s="2767" customFormat="1" ht="13.15" customHeight="1">
      <c r="A378" s="2691"/>
      <c r="B378" s="2797" t="s">
        <v>2321</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843</v>
      </c>
      <c r="C379" s="2797"/>
      <c r="D379" s="2797"/>
      <c r="E379" s="2706">
        <f>'Part III-Sources of Funds'!E43</f>
        <v>0</v>
      </c>
      <c r="F379" s="2706"/>
      <c r="G379" s="2706"/>
      <c r="H379" s="2706"/>
      <c r="I379" s="2805">
        <f>'Part III-Sources of Funds'!I43</f>
        <v>0</v>
      </c>
      <c r="J379" s="2797"/>
      <c r="L379" s="2809" t="s">
        <v>541</v>
      </c>
      <c r="M379" s="2809"/>
      <c r="N379" s="2810" t="s">
        <v>542</v>
      </c>
      <c r="O379" s="2810"/>
      <c r="P379" s="2695" t="s">
        <v>540</v>
      </c>
      <c r="Q379" s="2691"/>
      <c r="S379" s="2764"/>
      <c r="T379" s="2764"/>
    </row>
    <row r="380" spans="1:20" s="2767" customFormat="1" ht="13.15" customHeight="1">
      <c r="A380" s="2691"/>
      <c r="B380" s="2797" t="s">
        <v>844</v>
      </c>
      <c r="C380" s="2797"/>
      <c r="D380" s="2797"/>
      <c r="E380" s="2706" t="str">
        <f>'Part III-Sources of Funds'!E44</f>
        <v>CREA Lakeview, LLC</v>
      </c>
      <c r="F380" s="2706"/>
      <c r="G380" s="2706"/>
      <c r="H380" s="2706"/>
      <c r="I380" s="2805">
        <f>'Part III-Sources of Funds'!I44</f>
        <v>9998000</v>
      </c>
      <c r="J380" s="2797"/>
      <c r="L380" s="2811">
        <f>'Part III-Sources of Funds'!L44</f>
        <v>10000000</v>
      </c>
      <c r="M380" s="2811"/>
      <c r="N380" s="2812">
        <f>I380-L380</f>
        <v>-2000</v>
      </c>
      <c r="O380" s="2812"/>
      <c r="P380" s="2813" t="s">
        <v>2688</v>
      </c>
      <c r="Q380" s="2691"/>
      <c r="S380" s="2764"/>
      <c r="T380" s="2764"/>
    </row>
    <row r="381" spans="1:20" s="2767" customFormat="1" ht="13.15" customHeight="1">
      <c r="A381" s="2691"/>
      <c r="B381" s="2797" t="s">
        <v>845</v>
      </c>
      <c r="C381" s="2797"/>
      <c r="D381" s="2797"/>
      <c r="E381" s="2706" t="str">
        <f>'Part III-Sources of Funds'!E45</f>
        <v>CREA Lakeview, LLC</v>
      </c>
      <c r="F381" s="2706"/>
      <c r="G381" s="2706"/>
      <c r="H381" s="2706"/>
      <c r="I381" s="2805">
        <f>'Part III-Sources of Funds'!I45</f>
        <v>4999000</v>
      </c>
      <c r="J381" s="2797"/>
      <c r="L381" s="2811">
        <f>'Part III-Sources of Funds'!L45</f>
        <v>5000000</v>
      </c>
      <c r="M381" s="2811"/>
      <c r="N381" s="2812">
        <f>I381-L381</f>
        <v>-1000</v>
      </c>
      <c r="O381" s="2812"/>
      <c r="P381" s="2814">
        <f>I380/I390</f>
        <v>0.63358155898705781</v>
      </c>
      <c r="Q381" s="2691"/>
      <c r="S381" s="2764"/>
      <c r="T381" s="2764"/>
    </row>
    <row r="382" spans="1:20" s="2767" customFormat="1" ht="13.15" customHeight="1">
      <c r="A382" s="2691"/>
      <c r="B382" s="2797" t="s">
        <v>1481</v>
      </c>
      <c r="C382" s="2797"/>
      <c r="D382" s="2797"/>
      <c r="E382" s="2706">
        <f>'Part III-Sources of Funds'!E46</f>
        <v>0</v>
      </c>
      <c r="F382" s="2706"/>
      <c r="G382" s="2706"/>
      <c r="H382" s="2706"/>
      <c r="I382" s="2805">
        <f>'Part III-Sources of Funds'!I46</f>
        <v>0</v>
      </c>
      <c r="J382" s="2797"/>
      <c r="P382" s="2814">
        <f>I381/I390</f>
        <v>0.31679077949352891</v>
      </c>
      <c r="Q382" s="2691"/>
      <c r="S382" s="2764"/>
      <c r="T382" s="2764"/>
    </row>
    <row r="383" spans="1:20" s="2767" customFormat="1" ht="13.15" customHeight="1">
      <c r="A383" s="2691"/>
      <c r="B383" s="2691" t="s">
        <v>555</v>
      </c>
      <c r="C383" s="2691"/>
      <c r="D383" s="2691"/>
      <c r="E383" s="2706">
        <f>'Part III-Sources of Funds'!E47</f>
        <v>0</v>
      </c>
      <c r="F383" s="2706"/>
      <c r="G383" s="2706"/>
      <c r="H383" s="2706"/>
      <c r="I383" s="2805">
        <f>'Part III-Sources of Funds'!I47</f>
        <v>0</v>
      </c>
      <c r="J383" s="2797"/>
      <c r="K383" s="2691"/>
      <c r="P383" s="2814">
        <f>SUM(P381:P382)</f>
        <v>0.95037233848058666</v>
      </c>
      <c r="Q383" s="2691"/>
      <c r="S383" s="2764">
        <f>'Part III-Sources of Funds'!S47</f>
        <v>0</v>
      </c>
      <c r="T383" s="2764"/>
    </row>
    <row r="384" spans="1:20" s="2767" customFormat="1" ht="13.15" customHeight="1">
      <c r="A384" s="2691"/>
      <c r="B384" s="2691" t="s">
        <v>1963</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1964</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781</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781</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781</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2322</v>
      </c>
      <c r="C389" s="2691"/>
      <c r="D389" s="2691"/>
      <c r="E389" s="2691"/>
      <c r="F389" s="2691"/>
      <c r="G389" s="2691"/>
      <c r="I389" s="2816">
        <f>SUM(I372:J388)</f>
        <v>15780131</v>
      </c>
      <c r="J389" s="2816"/>
      <c r="K389" s="2691"/>
      <c r="L389" s="2695"/>
      <c r="M389" s="2815"/>
      <c r="N389" s="2815"/>
      <c r="O389" s="2815"/>
      <c r="P389" s="2815"/>
      <c r="Q389" s="2691"/>
      <c r="S389" s="2764"/>
      <c r="T389" s="2764"/>
    </row>
    <row r="390" spans="1:24" s="2767" customFormat="1" ht="13.15" customHeight="1">
      <c r="A390" s="2691"/>
      <c r="B390" s="2699" t="s">
        <v>2323</v>
      </c>
      <c r="C390" s="2691"/>
      <c r="D390" s="2691"/>
      <c r="E390" s="2691"/>
      <c r="F390" s="2691"/>
      <c r="G390" s="2691"/>
      <c r="I390" s="2816">
        <f>'Part IV-Uses of Funds'!$G$130</f>
        <v>15780131</v>
      </c>
      <c r="J390" s="2816"/>
      <c r="K390" s="2691"/>
      <c r="L390" s="2695"/>
      <c r="M390" s="2815"/>
      <c r="N390" s="2815"/>
      <c r="O390" s="2815"/>
      <c r="P390" s="2815"/>
      <c r="Q390" s="2691"/>
      <c r="S390" s="2764"/>
      <c r="T390" s="2764"/>
    </row>
    <row r="391" spans="1:24" s="2767" customFormat="1" ht="13.15" customHeight="1">
      <c r="A391" s="2691"/>
      <c r="B391" s="2699" t="s">
        <v>1601</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4168</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1880</v>
      </c>
      <c r="B394" s="2694" t="s">
        <v>599</v>
      </c>
      <c r="C394" s="2697"/>
      <c r="D394" s="2697"/>
      <c r="E394" s="2697"/>
      <c r="F394" s="2697"/>
      <c r="G394" s="2697"/>
      <c r="H394" s="2697"/>
      <c r="I394" s="2697"/>
      <c r="J394" s="2697"/>
      <c r="K394" s="2694" t="s">
        <v>1880</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f>'Part III-Sources of Funds'!A60</f>
        <v>0</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2015-056 Lakeview Apartments, Fort Valley, Peach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2015-056 Lakeview Apartments, Fort Valley, Peach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647</v>
      </c>
      <c r="B403" s="2821" t="s">
        <v>944</v>
      </c>
      <c r="C403" s="2691"/>
      <c r="D403" s="2821"/>
      <c r="E403" s="2821"/>
      <c r="F403" s="2821"/>
      <c r="G403" s="2821"/>
      <c r="H403" s="2821"/>
      <c r="I403" s="2821"/>
      <c r="J403" s="2822" t="s">
        <v>283</v>
      </c>
      <c r="K403" s="2822"/>
      <c r="L403" s="2718"/>
      <c r="M403" s="2823" t="s">
        <v>511</v>
      </c>
      <c r="N403" s="2823"/>
      <c r="O403" s="2691"/>
      <c r="P403" s="2822" t="s">
        <v>284</v>
      </c>
      <c r="Q403" s="2822"/>
      <c r="R403" s="2691"/>
      <c r="S403" s="2822" t="s">
        <v>285</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2826</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2099</v>
      </c>
      <c r="C406" s="2691"/>
      <c r="D406" s="2691"/>
      <c r="E406" s="2691"/>
      <c r="F406" s="2691"/>
      <c r="G406" s="2798">
        <f>'Part IV-Uses of Funds'!G8</f>
        <v>6500</v>
      </c>
      <c r="H406" s="2798"/>
      <c r="I406" s="2691"/>
      <c r="J406" s="2798">
        <f>'Part IV-Uses of Funds'!J8</f>
        <v>0</v>
      </c>
      <c r="K406" s="2798"/>
      <c r="L406" s="2719"/>
      <c r="M406" s="2798">
        <f>'Part IV-Uses of Funds'!M8</f>
        <v>0</v>
      </c>
      <c r="N406" s="2798"/>
      <c r="O406" s="2691"/>
      <c r="P406" s="2798">
        <f>'Part IV-Uses of Funds'!P8</f>
        <v>6500</v>
      </c>
      <c r="Q406" s="2798"/>
      <c r="R406" s="2691"/>
      <c r="S406" s="2798">
        <f>'Part IV-Uses of Funds'!S8</f>
        <v>0</v>
      </c>
      <c r="T406" s="2798"/>
      <c r="U406" s="2691"/>
      <c r="V406" s="2825">
        <f>'Part IV-Uses of Funds'!V8</f>
        <v>0</v>
      </c>
      <c r="W406" s="2826">
        <f>'Part IV-Uses of Funds'!W8</f>
        <v>0</v>
      </c>
      <c r="X406" s="2826"/>
    </row>
    <row r="407" spans="1:24">
      <c r="A407" s="2691"/>
      <c r="B407" s="2691" t="s">
        <v>476</v>
      </c>
      <c r="C407" s="2691"/>
      <c r="D407" s="2691"/>
      <c r="E407" s="2691"/>
      <c r="F407" s="2691"/>
      <c r="G407" s="2798">
        <f>'Part IV-Uses of Funds'!G9</f>
        <v>11000</v>
      </c>
      <c r="H407" s="2798"/>
      <c r="I407" s="2691"/>
      <c r="J407" s="2798">
        <f>'Part IV-Uses of Funds'!J9</f>
        <v>0</v>
      </c>
      <c r="K407" s="2798"/>
      <c r="L407" s="2719"/>
      <c r="M407" s="2798">
        <f>'Part IV-Uses of Funds'!M9</f>
        <v>0</v>
      </c>
      <c r="N407" s="2798"/>
      <c r="O407" s="2691"/>
      <c r="P407" s="2798">
        <f>'Part IV-Uses of Funds'!P9</f>
        <v>11000</v>
      </c>
      <c r="Q407" s="2798"/>
      <c r="R407" s="2691"/>
      <c r="S407" s="2798">
        <f>'Part IV-Uses of Funds'!S9</f>
        <v>0</v>
      </c>
      <c r="T407" s="2798"/>
      <c r="U407" s="2691"/>
      <c r="V407" s="2825">
        <f>'Part IV-Uses of Funds'!V9</f>
        <v>0</v>
      </c>
      <c r="W407" s="2826"/>
      <c r="X407" s="2826"/>
    </row>
    <row r="408" spans="1:24">
      <c r="A408" s="2691"/>
      <c r="B408" s="2691" t="s">
        <v>508</v>
      </c>
      <c r="C408" s="2691"/>
      <c r="D408" s="2691"/>
      <c r="E408" s="2691"/>
      <c r="F408" s="2691"/>
      <c r="G408" s="2798">
        <f>'Part IV-Uses of Funds'!G10</f>
        <v>22288</v>
      </c>
      <c r="H408" s="2798"/>
      <c r="I408" s="2691"/>
      <c r="J408" s="2798">
        <f>'Part IV-Uses of Funds'!J10</f>
        <v>0</v>
      </c>
      <c r="K408" s="2798"/>
      <c r="L408" s="2719"/>
      <c r="M408" s="2798">
        <f>'Part IV-Uses of Funds'!M10</f>
        <v>0</v>
      </c>
      <c r="N408" s="2798"/>
      <c r="O408" s="2691"/>
      <c r="P408" s="2798">
        <f>'Part IV-Uses of Funds'!P10</f>
        <v>22288</v>
      </c>
      <c r="Q408" s="2798"/>
      <c r="R408" s="2691"/>
      <c r="S408" s="2798">
        <f>'Part IV-Uses of Funds'!S10</f>
        <v>0</v>
      </c>
      <c r="T408" s="2798"/>
      <c r="U408" s="2691"/>
      <c r="V408" s="2825">
        <f>'Part IV-Uses of Funds'!V10</f>
        <v>0</v>
      </c>
      <c r="W408" s="2826"/>
      <c r="X408" s="2826"/>
    </row>
    <row r="409" spans="1:24">
      <c r="A409" s="2691"/>
      <c r="B409" s="2691" t="s">
        <v>509</v>
      </c>
      <c r="C409" s="2691"/>
      <c r="D409" s="2691"/>
      <c r="E409" s="2691"/>
      <c r="F409" s="2691"/>
      <c r="G409" s="2798">
        <f>'Part IV-Uses of Funds'!G11</f>
        <v>0</v>
      </c>
      <c r="H409" s="2798"/>
      <c r="I409" s="2691"/>
      <c r="J409" s="2798">
        <f>'Part IV-Uses of Funds'!J11</f>
        <v>0</v>
      </c>
      <c r="K409" s="2798"/>
      <c r="L409" s="2719"/>
      <c r="M409" s="2798">
        <f>'Part IV-Uses of Funds'!M11</f>
        <v>0</v>
      </c>
      <c r="N409" s="2798"/>
      <c r="O409" s="2691"/>
      <c r="P409" s="2798">
        <f>'Part IV-Uses of Funds'!P11</f>
        <v>0</v>
      </c>
      <c r="Q409" s="2798"/>
      <c r="R409" s="2691"/>
      <c r="S409" s="2798">
        <f>'Part IV-Uses of Funds'!S11</f>
        <v>0</v>
      </c>
      <c r="T409" s="2798"/>
      <c r="U409" s="2691"/>
      <c r="V409" s="2825">
        <f>'Part IV-Uses of Funds'!V11</f>
        <v>0</v>
      </c>
      <c r="W409" s="2826"/>
      <c r="X409" s="2826"/>
    </row>
    <row r="410" spans="1:24">
      <c r="A410" s="2691"/>
      <c r="B410" s="2691" t="s">
        <v>2623</v>
      </c>
      <c r="C410" s="2691"/>
      <c r="D410" s="2691"/>
      <c r="E410" s="2691"/>
      <c r="F410" s="2691"/>
      <c r="G410" s="2798">
        <f>'Part IV-Uses of Funds'!G12</f>
        <v>0</v>
      </c>
      <c r="H410" s="2798"/>
      <c r="I410" s="2691"/>
      <c r="J410" s="2798">
        <f>'Part IV-Uses of Funds'!J12</f>
        <v>0</v>
      </c>
      <c r="K410" s="2798"/>
      <c r="L410" s="2719"/>
      <c r="M410" s="2798">
        <f>'Part IV-Uses of Funds'!M12</f>
        <v>0</v>
      </c>
      <c r="N410" s="2798"/>
      <c r="O410" s="2691"/>
      <c r="P410" s="2798">
        <f>'Part IV-Uses of Funds'!P12</f>
        <v>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0</v>
      </c>
      <c r="H411" s="2798"/>
      <c r="I411" s="2691"/>
      <c r="J411" s="2798">
        <f>'Part IV-Uses of Funds'!J13</f>
        <v>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781</v>
      </c>
      <c r="C412" s="2706" t="str">
        <f>'Part IV-Uses of Funds'!C14</f>
        <v>&lt;Enter detailed description here; use Comments section if needed&gt;</v>
      </c>
      <c r="D412" s="2706"/>
      <c r="E412" s="2706"/>
      <c r="F412" s="2706"/>
      <c r="G412" s="2798">
        <f>'Part IV-Uses of Funds'!G14</f>
        <v>0</v>
      </c>
      <c r="H412" s="2798"/>
      <c r="I412" s="2691"/>
      <c r="J412" s="2798">
        <f>'Part IV-Uses of Funds'!J14</f>
        <v>0</v>
      </c>
      <c r="K412" s="2798"/>
      <c r="L412" s="2719"/>
      <c r="M412" s="2798">
        <f>'Part IV-Uses of Funds'!M14</f>
        <v>0</v>
      </c>
      <c r="N412" s="2798"/>
      <c r="O412" s="2691"/>
      <c r="P412" s="2798">
        <f>'Part IV-Uses of Funds'!P14</f>
        <v>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781</v>
      </c>
      <c r="C413" s="2706" t="str">
        <f>'Part IV-Uses of Funds'!C15</f>
        <v>&lt;Enter detailed description here; use Comments section if needed&gt;</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781</v>
      </c>
      <c r="C414" s="2706" t="str">
        <f>'Part IV-Uses of Funds'!C16</f>
        <v>&lt;Enter detailed description here; use Comments section if needed&gt;</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39788</v>
      </c>
      <c r="H415" s="2798"/>
      <c r="I415" s="2691"/>
      <c r="J415" s="2798">
        <f>SUM(J406:K414)</f>
        <v>0</v>
      </c>
      <c r="K415" s="2749"/>
      <c r="L415" s="2719"/>
      <c r="M415" s="2798">
        <f>SUM(M406:N414)</f>
        <v>0</v>
      </c>
      <c r="N415" s="2798"/>
      <c r="O415" s="2691"/>
      <c r="P415" s="2798">
        <f>SUM(P406:Q414)</f>
        <v>39788</v>
      </c>
      <c r="Q415" s="2798"/>
      <c r="R415" s="2691"/>
      <c r="S415" s="2798">
        <f>SUM(S406:T414)</f>
        <v>0</v>
      </c>
      <c r="T415" s="2798"/>
      <c r="U415" s="2691"/>
      <c r="V415" s="2825">
        <f>SUM(V406:V414)</f>
        <v>0</v>
      </c>
      <c r="W415" s="2826"/>
      <c r="X415" s="2826"/>
    </row>
    <row r="416" spans="1:24">
      <c r="A416" s="2691"/>
      <c r="B416" s="2694" t="s">
        <v>2300</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2301</v>
      </c>
      <c r="C417" s="2691"/>
      <c r="D417" s="2691"/>
      <c r="E417" s="2691"/>
      <c r="F417" s="2691"/>
      <c r="G417" s="2798">
        <f>'Part IV-Uses of Funds'!G19</f>
        <v>440000</v>
      </c>
      <c r="H417" s="2798"/>
      <c r="I417" s="2691"/>
      <c r="J417" s="2719"/>
      <c r="K417" s="2718"/>
      <c r="L417" s="2719"/>
      <c r="M417" s="2719"/>
      <c r="N417" s="2718"/>
      <c r="O417" s="2691"/>
      <c r="P417" s="2719"/>
      <c r="Q417" s="2718"/>
      <c r="R417" s="2691"/>
      <c r="S417" s="2798">
        <f>'Part IV-Uses of Funds'!S19</f>
        <v>440000</v>
      </c>
      <c r="T417" s="2798"/>
      <c r="U417" s="2691"/>
      <c r="V417" s="2825">
        <f>'Part IV-Uses of Funds'!V19</f>
        <v>0</v>
      </c>
      <c r="W417" s="2826">
        <f>'Part IV-Uses of Funds'!W19</f>
        <v>0</v>
      </c>
      <c r="X417" s="2826"/>
    </row>
    <row r="418" spans="1:24">
      <c r="A418" s="2691"/>
      <c r="B418" s="2691" t="s">
        <v>1170</v>
      </c>
      <c r="C418" s="2691"/>
      <c r="D418" s="2691"/>
      <c r="E418" s="2691"/>
      <c r="F418" s="2691"/>
      <c r="G418" s="2798">
        <f>'Part IV-Uses of Funds'!G20</f>
        <v>0</v>
      </c>
      <c r="H418" s="2798"/>
      <c r="I418" s="2691"/>
      <c r="J418" s="2719"/>
      <c r="K418" s="2718"/>
      <c r="L418" s="2719"/>
      <c r="M418" s="2719"/>
      <c r="N418" s="2718"/>
      <c r="O418" s="2691"/>
      <c r="P418" s="2719"/>
      <c r="Q418" s="2718"/>
      <c r="R418" s="2691"/>
      <c r="S418" s="2798">
        <f>'Part IV-Uses of Funds'!S20</f>
        <v>0</v>
      </c>
      <c r="T418" s="2798"/>
      <c r="U418" s="2691"/>
      <c r="V418" s="2825">
        <f>'Part IV-Uses of Funds'!V20</f>
        <v>0</v>
      </c>
      <c r="W418" s="2826"/>
      <c r="X418" s="2826"/>
    </row>
    <row r="419" spans="1:24">
      <c r="A419" s="2691"/>
      <c r="B419" s="2691" t="s">
        <v>477</v>
      </c>
      <c r="C419" s="2691"/>
      <c r="D419" s="2691"/>
      <c r="E419" s="2691"/>
      <c r="F419" s="2691"/>
      <c r="G419" s="2798">
        <f>'Part IV-Uses of Funds'!G21</f>
        <v>10000</v>
      </c>
      <c r="H419" s="2798"/>
      <c r="I419" s="2691"/>
      <c r="J419" s="2719"/>
      <c r="K419" s="2718"/>
      <c r="L419" s="2719"/>
      <c r="M419" s="2798">
        <f>'Part IV-Uses of Funds'!M21</f>
        <v>10000</v>
      </c>
      <c r="N419" s="2798"/>
      <c r="O419" s="2691"/>
      <c r="P419" s="2719"/>
      <c r="Q419" s="2718"/>
      <c r="R419" s="2691"/>
      <c r="S419" s="2798">
        <f>'Part IV-Uses of Funds'!S21</f>
        <v>0</v>
      </c>
      <c r="T419" s="2798"/>
      <c r="U419" s="2691"/>
      <c r="V419" s="2825">
        <f>'Part IV-Uses of Funds'!V21</f>
        <v>0</v>
      </c>
      <c r="W419" s="2826"/>
      <c r="X419" s="2826"/>
    </row>
    <row r="420" spans="1:24">
      <c r="A420" s="2691"/>
      <c r="B420" s="2691" t="s">
        <v>446</v>
      </c>
      <c r="C420" s="2691"/>
      <c r="D420" s="2691"/>
      <c r="E420" s="2691"/>
      <c r="F420" s="2691"/>
      <c r="G420" s="2798">
        <f>'Part IV-Uses of Funds'!G22</f>
        <v>1760000</v>
      </c>
      <c r="H420" s="2798"/>
      <c r="I420" s="2691"/>
      <c r="J420" s="2719"/>
      <c r="K420" s="2718"/>
      <c r="L420" s="2719"/>
      <c r="M420" s="2798">
        <f>'Part IV-Uses of Funds'!M22</f>
        <v>1760000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2210000</v>
      </c>
      <c r="H421" s="2798"/>
      <c r="I421" s="2691"/>
      <c r="J421" s="2719"/>
      <c r="K421" s="2718"/>
      <c r="L421" s="2719"/>
      <c r="M421" s="2798">
        <f>SUM(M419:N420)</f>
        <v>1770000</v>
      </c>
      <c r="N421" s="2798"/>
      <c r="O421" s="2691"/>
      <c r="P421" s="2719"/>
      <c r="Q421" s="2718"/>
      <c r="R421" s="2691"/>
      <c r="S421" s="2798">
        <f>SUM(S417:T420)</f>
        <v>440000</v>
      </c>
      <c r="T421" s="2798"/>
      <c r="U421" s="2691"/>
      <c r="V421" s="2825">
        <f>SUM(V417:V420)</f>
        <v>0</v>
      </c>
      <c r="W421" s="2826"/>
      <c r="X421" s="2826"/>
    </row>
    <row r="422" spans="1:24">
      <c r="A422" s="2691"/>
      <c r="B422" s="2694" t="s">
        <v>1171</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1172</v>
      </c>
      <c r="C423" s="2691"/>
      <c r="D423" s="2691"/>
      <c r="E423" s="2691"/>
      <c r="F423" s="2691"/>
      <c r="G423" s="2798">
        <f>'Part IV-Uses of Funds'!G25</f>
        <v>1423189</v>
      </c>
      <c r="H423" s="2798"/>
      <c r="I423" s="2691"/>
      <c r="J423" s="2798">
        <f>'Part IV-Uses of Funds'!J25</f>
        <v>0</v>
      </c>
      <c r="K423" s="2798"/>
      <c r="L423" s="2719"/>
      <c r="M423" s="2798">
        <f>'Part IV-Uses of Funds'!M25</f>
        <v>0</v>
      </c>
      <c r="N423" s="2798"/>
      <c r="O423" s="2691"/>
      <c r="P423" s="2798">
        <f>'Part IV-Uses of Funds'!P25</f>
        <v>1423189</v>
      </c>
      <c r="Q423" s="2798"/>
      <c r="R423" s="2691"/>
      <c r="S423" s="2798">
        <f>'Part IV-Uses of Funds'!S25</f>
        <v>0</v>
      </c>
      <c r="T423" s="2798"/>
      <c r="U423" s="2691"/>
      <c r="V423" s="2825">
        <f>'Part IV-Uses of Funds'!V25</f>
        <v>0</v>
      </c>
      <c r="W423" s="2826">
        <f>'Part IV-Uses of Funds'!W25</f>
        <v>0</v>
      </c>
      <c r="X423" s="2826"/>
    </row>
    <row r="424" spans="1:24">
      <c r="A424" s="2691"/>
      <c r="B424" s="2691" t="s">
        <v>1173</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1423189</v>
      </c>
      <c r="H425" s="2798"/>
      <c r="I425" s="2691"/>
      <c r="J425" s="2798">
        <f>SUM(J423:K424)</f>
        <v>0</v>
      </c>
      <c r="K425" s="2798"/>
      <c r="L425" s="2719"/>
      <c r="M425" s="2798">
        <f>M423</f>
        <v>0</v>
      </c>
      <c r="N425" s="2798"/>
      <c r="O425" s="2691"/>
      <c r="P425" s="2798">
        <f>P423</f>
        <v>1423189</v>
      </c>
      <c r="Q425" s="2798"/>
      <c r="R425" s="2691"/>
      <c r="S425" s="2798">
        <f>SUM(S423:T424)</f>
        <v>0</v>
      </c>
      <c r="T425" s="2798"/>
      <c r="U425" s="2691"/>
      <c r="V425" s="2825">
        <f>SUM(V423:V424)</f>
        <v>0</v>
      </c>
      <c r="W425" s="2826"/>
      <c r="X425" s="2826"/>
    </row>
    <row r="426" spans="1:24">
      <c r="A426" s="2691"/>
      <c r="B426" s="2694" t="s">
        <v>1174</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1175</v>
      </c>
      <c r="C427" s="2691"/>
      <c r="D427" s="2691"/>
      <c r="E427" s="2691"/>
      <c r="F427" s="2691"/>
      <c r="G427" s="2798">
        <f>'Part IV-Uses of Funds'!G29</f>
        <v>0</v>
      </c>
      <c r="H427" s="2798"/>
      <c r="I427" s="2691"/>
      <c r="J427" s="2798">
        <f>'Part IV-Uses of Funds'!J29</f>
        <v>0</v>
      </c>
      <c r="K427" s="2798"/>
      <c r="L427" s="2719"/>
      <c r="M427" s="2798">
        <f>'Part IV-Uses of Funds'!M29</f>
        <v>0</v>
      </c>
      <c r="N427" s="2798"/>
      <c r="O427" s="2691"/>
      <c r="P427" s="2798">
        <f>'Part IV-Uses of Funds'!P29</f>
        <v>0</v>
      </c>
      <c r="Q427" s="2798"/>
      <c r="R427" s="2691"/>
      <c r="S427" s="2798">
        <f>'Part IV-Uses of Funds'!S29</f>
        <v>0</v>
      </c>
      <c r="T427" s="2798"/>
      <c r="U427" s="2691"/>
      <c r="V427" s="2825">
        <f>'Part IV-Uses of Funds'!V29</f>
        <v>0</v>
      </c>
      <c r="W427" s="2826">
        <f>'Part IV-Uses of Funds'!W29</f>
        <v>0</v>
      </c>
      <c r="X427" s="2826"/>
    </row>
    <row r="428" spans="1:24">
      <c r="A428" s="2691"/>
      <c r="B428" s="2691" t="s">
        <v>1176</v>
      </c>
      <c r="C428" s="2691"/>
      <c r="D428" s="2691"/>
      <c r="E428" s="2691"/>
      <c r="F428" s="2691"/>
      <c r="G428" s="2798">
        <f>'Part IV-Uses of Funds'!G30</f>
        <v>6216616</v>
      </c>
      <c r="H428" s="2798"/>
      <c r="I428" s="2691"/>
      <c r="J428" s="2798">
        <f>'Part IV-Uses of Funds'!J30</f>
        <v>0</v>
      </c>
      <c r="K428" s="2798"/>
      <c r="L428" s="2719"/>
      <c r="M428" s="2798">
        <f>'Part IV-Uses of Funds'!M30</f>
        <v>0</v>
      </c>
      <c r="N428" s="2798"/>
      <c r="O428" s="2691"/>
      <c r="P428" s="2798">
        <f>'Part IV-Uses of Funds'!P30</f>
        <v>6216616</v>
      </c>
      <c r="Q428" s="2798"/>
      <c r="R428" s="2691"/>
      <c r="S428" s="2798">
        <f>'Part IV-Uses of Funds'!S30</f>
        <v>0</v>
      </c>
      <c r="T428" s="2798"/>
      <c r="U428" s="2691"/>
      <c r="V428" s="2825">
        <f>'Part IV-Uses of Funds'!V30</f>
        <v>0</v>
      </c>
      <c r="W428" s="2826"/>
      <c r="X428" s="2826"/>
    </row>
    <row r="429" spans="1:24">
      <c r="A429" s="2691"/>
      <c r="B429" s="2691" t="s">
        <v>3085</v>
      </c>
      <c r="C429" s="2691"/>
      <c r="D429" s="2691"/>
      <c r="E429" s="2691"/>
      <c r="F429" s="2691"/>
      <c r="G429" s="2798">
        <f>'Part IV-Uses of Funds'!G31</f>
        <v>0</v>
      </c>
      <c r="H429" s="2798"/>
      <c r="I429" s="2691"/>
      <c r="J429" s="2798">
        <f>'Part IV-Uses of Funds'!J31</f>
        <v>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3084</v>
      </c>
      <c r="C430" s="2697"/>
      <c r="D430" s="2697"/>
      <c r="E430" s="2697"/>
      <c r="F430" s="2697"/>
      <c r="G430" s="2798">
        <f>'Part IV-Uses of Funds'!G32</f>
        <v>297500</v>
      </c>
      <c r="H430" s="2798"/>
      <c r="I430" s="2691"/>
      <c r="J430" s="2798">
        <f>'Part IV-Uses of Funds'!J32</f>
        <v>0</v>
      </c>
      <c r="K430" s="2798"/>
      <c r="L430" s="2719"/>
      <c r="M430" s="2798">
        <f>'Part IV-Uses of Funds'!M32</f>
        <v>0</v>
      </c>
      <c r="N430" s="2798"/>
      <c r="O430" s="2691"/>
      <c r="P430" s="2798">
        <f>'Part IV-Uses of Funds'!P32</f>
        <v>297500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6514116</v>
      </c>
      <c r="H431" s="2798"/>
      <c r="I431" s="2691"/>
      <c r="J431" s="2798">
        <f>SUM(J427:K430)</f>
        <v>0</v>
      </c>
      <c r="K431" s="2798"/>
      <c r="L431" s="2719"/>
      <c r="M431" s="2798">
        <f>SUM(M427:N430)</f>
        <v>0</v>
      </c>
      <c r="N431" s="2798"/>
      <c r="O431" s="2691"/>
      <c r="P431" s="2798">
        <f>SUM(P427:Q430)</f>
        <v>6514116</v>
      </c>
      <c r="Q431" s="2798"/>
      <c r="R431" s="2691"/>
      <c r="S431" s="2798">
        <f>SUM(S427:T430)</f>
        <v>0</v>
      </c>
      <c r="T431" s="2798"/>
      <c r="U431" s="2691"/>
      <c r="V431" s="2825">
        <f>SUM(V427:V430)</f>
        <v>0</v>
      </c>
      <c r="W431" s="2826"/>
      <c r="X431" s="2826"/>
    </row>
    <row r="432" spans="1:24">
      <c r="A432" s="2691"/>
      <c r="B432" s="2694" t="s">
        <v>2453</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2454</v>
      </c>
      <c r="C433" s="2691"/>
      <c r="D433" s="2691"/>
      <c r="E433" s="2834">
        <f>'DCA Underwriting Assumptions'!$R$71</f>
        <v>0.06</v>
      </c>
      <c r="F433" s="2835">
        <f>'Part IV-Uses of Funds'!F35</f>
        <v>476238.3</v>
      </c>
      <c r="G433" s="2798">
        <f>'Part IV-Uses of Funds'!G35</f>
        <v>476238</v>
      </c>
      <c r="H433" s="2798"/>
      <c r="I433" s="2697"/>
      <c r="J433" s="2798">
        <f>'Part IV-Uses of Funds'!J35</f>
        <v>0</v>
      </c>
      <c r="K433" s="2798"/>
      <c r="L433" s="2719"/>
      <c r="M433" s="2798">
        <f>'Part IV-Uses of Funds'!M35</f>
        <v>0</v>
      </c>
      <c r="N433" s="2798"/>
      <c r="O433" s="2691"/>
      <c r="P433" s="2798">
        <f>'Part IV-Uses of Funds'!P35</f>
        <v>476238</v>
      </c>
      <c r="Q433" s="2798"/>
      <c r="R433" s="2691"/>
      <c r="S433" s="2798">
        <f>'Part IV-Uses of Funds'!S35</f>
        <v>0</v>
      </c>
      <c r="T433" s="2798"/>
      <c r="U433" s="2691"/>
      <c r="V433" s="2825">
        <f>'Part IV-Uses of Funds'!V35</f>
        <v>0</v>
      </c>
      <c r="W433" s="2826">
        <f>'Part IV-Uses of Funds'!W35</f>
        <v>0</v>
      </c>
      <c r="X433" s="2826"/>
    </row>
    <row r="434" spans="1:24">
      <c r="A434" s="2691"/>
      <c r="B434" s="2691" t="s">
        <v>2922</v>
      </c>
      <c r="C434" s="2691"/>
      <c r="D434" s="2691"/>
      <c r="E434" s="2834">
        <f>'DCA Underwriting Assumptions'!$R$72</f>
        <v>0.02</v>
      </c>
      <c r="F434" s="2835">
        <f>'Part IV-Uses of Funds'!F36</f>
        <v>158746.1</v>
      </c>
      <c r="G434" s="2798">
        <f>'Part IV-Uses of Funds'!G36</f>
        <v>158746</v>
      </c>
      <c r="H434" s="2798"/>
      <c r="I434" s="2697"/>
      <c r="J434" s="2798">
        <f>'Part IV-Uses of Funds'!J36</f>
        <v>0</v>
      </c>
      <c r="K434" s="2798"/>
      <c r="L434" s="2719"/>
      <c r="M434" s="2798">
        <f>'Part IV-Uses of Funds'!M36</f>
        <v>0</v>
      </c>
      <c r="N434" s="2798"/>
      <c r="O434" s="2691"/>
      <c r="P434" s="2798">
        <f>'Part IV-Uses of Funds'!P36</f>
        <v>158746</v>
      </c>
      <c r="Q434" s="2798"/>
      <c r="R434" s="2691"/>
      <c r="S434" s="2798">
        <f>'Part IV-Uses of Funds'!S36</f>
        <v>0</v>
      </c>
      <c r="T434" s="2798"/>
      <c r="U434" s="2691"/>
      <c r="V434" s="2825">
        <f>'Part IV-Uses of Funds'!V36</f>
        <v>0</v>
      </c>
      <c r="W434" s="2826"/>
      <c r="X434" s="2826"/>
    </row>
    <row r="435" spans="1:24">
      <c r="A435" s="2691"/>
      <c r="B435" s="2691" t="s">
        <v>2923</v>
      </c>
      <c r="C435" s="2691"/>
      <c r="D435" s="2691"/>
      <c r="E435" s="2834">
        <f>'DCA Underwriting Assumptions'!$R$73</f>
        <v>0.06</v>
      </c>
      <c r="F435" s="2835">
        <f>'Part IV-Uses of Funds'!F37</f>
        <v>476238.3</v>
      </c>
      <c r="G435" s="2798">
        <f>'Part IV-Uses of Funds'!G37</f>
        <v>476238</v>
      </c>
      <c r="H435" s="2798"/>
      <c r="I435" s="2697"/>
      <c r="J435" s="2798">
        <f>'Part IV-Uses of Funds'!J37</f>
        <v>0</v>
      </c>
      <c r="K435" s="2798"/>
      <c r="L435" s="2719"/>
      <c r="M435" s="2798">
        <f>'Part IV-Uses of Funds'!M37</f>
        <v>0</v>
      </c>
      <c r="N435" s="2798"/>
      <c r="O435" s="2691"/>
      <c r="P435" s="2798">
        <f>'Part IV-Uses of Funds'!P37</f>
        <v>476238</v>
      </c>
      <c r="Q435" s="2798"/>
      <c r="R435" s="2691"/>
      <c r="S435" s="2798">
        <f>'Part IV-Uses of Funds'!S37</f>
        <v>0</v>
      </c>
      <c r="T435" s="2798"/>
      <c r="U435" s="2691"/>
      <c r="V435" s="2825">
        <f>'Part IV-Uses of Funds'!V37</f>
        <v>0</v>
      </c>
      <c r="W435" s="2826"/>
      <c r="X435" s="2826"/>
    </row>
    <row r="436" spans="1:24">
      <c r="A436" s="2691"/>
      <c r="B436" s="2691" t="s">
        <v>2140</v>
      </c>
      <c r="C436" s="2691"/>
      <c r="D436" s="2836"/>
      <c r="E436" s="2691"/>
      <c r="F436" s="2828" t="s">
        <v>197</v>
      </c>
      <c r="G436" s="2798">
        <f>SUM(G433:H435)</f>
        <v>1111222</v>
      </c>
      <c r="H436" s="2798"/>
      <c r="I436" s="2691"/>
      <c r="J436" s="2798">
        <f>SUM(J433:K435)</f>
        <v>0</v>
      </c>
      <c r="K436" s="2798"/>
      <c r="L436" s="2719"/>
      <c r="M436" s="2798">
        <f>SUM(M433:N435)</f>
        <v>0</v>
      </c>
      <c r="N436" s="2798"/>
      <c r="O436" s="2691"/>
      <c r="P436" s="2798">
        <f>SUM(P433:Q435)</f>
        <v>1111222</v>
      </c>
      <c r="Q436" s="2798"/>
      <c r="R436" s="2691"/>
      <c r="S436" s="2798">
        <f>SUM(S433:T435)</f>
        <v>0</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4560</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781</v>
      </c>
      <c r="C439" s="2706" t="str">
        <f>'Part IV-Uses of Funds'!C41</f>
        <v>&lt;Enter detailed description here; use Comments section if needed&gt;</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4561</v>
      </c>
      <c r="C441" s="2838"/>
      <c r="D441" s="2691"/>
      <c r="E441" s="2822" t="s">
        <v>2931</v>
      </c>
      <c r="F441" s="2839">
        <f>B442/'Part VI-Revenues &amp; Expenses'!$M$60</f>
        <v>94255.489583333328</v>
      </c>
      <c r="G441" s="2840" t="s">
        <v>4562</v>
      </c>
      <c r="H441" s="2691"/>
      <c r="I441" s="2691"/>
      <c r="J441" s="2841">
        <f>B442/'Part VI-Revenues &amp; Expenses'!$M$62</f>
        <v>94255.489583333328</v>
      </c>
      <c r="K441" s="2841"/>
      <c r="L441" s="2691"/>
      <c r="M441" s="2842" t="s">
        <v>1471</v>
      </c>
      <c r="N441" s="2842"/>
      <c r="O441" s="2691"/>
      <c r="P441" s="2841">
        <f>B442/'Part I-Project Information'!$P$60</f>
        <v>82.893851114897672</v>
      </c>
      <c r="Q441" s="2841"/>
      <c r="R441" s="2691"/>
      <c r="S441" s="2843" t="s">
        <v>3083</v>
      </c>
      <c r="T441" s="2843"/>
      <c r="U441" s="2691"/>
      <c r="V441" s="2691"/>
      <c r="W441" s="2826"/>
      <c r="X441" s="2826"/>
    </row>
    <row r="442" spans="1:24">
      <c r="A442" s="2691"/>
      <c r="B442" s="2844">
        <f>G425+G431+G436+G439</f>
        <v>9048527</v>
      </c>
      <c r="C442" s="2844"/>
      <c r="D442" s="2691"/>
      <c r="E442" s="2822"/>
      <c r="F442" s="2839">
        <f>B442/'Part VI-Revenues &amp; Expenses'!$M$118</f>
        <v>101.4886717961372</v>
      </c>
      <c r="G442" s="2729" t="s">
        <v>4563</v>
      </c>
      <c r="H442" s="2691"/>
      <c r="I442" s="2691"/>
      <c r="J442" s="2841">
        <f>B442/'Part VI-Revenues &amp; Expenses'!$M$120</f>
        <v>101.4886717961372</v>
      </c>
      <c r="K442" s="2841"/>
      <c r="L442" s="2691"/>
      <c r="M442" s="2843" t="s">
        <v>3082</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1177</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2059</v>
      </c>
      <c r="C445" s="2697"/>
      <c r="D445" s="2697"/>
      <c r="E445" s="2697"/>
      <c r="F445" s="2845">
        <f>G445/B442</f>
        <v>5.5257612647892855E-2</v>
      </c>
      <c r="G445" s="2798">
        <f>'Part IV-Uses of Funds'!G47</f>
        <v>500000</v>
      </c>
      <c r="H445" s="2798"/>
      <c r="I445" s="2691"/>
      <c r="J445" s="2798">
        <f>'Part IV-Uses of Funds'!J47</f>
        <v>0</v>
      </c>
      <c r="K445" s="2798"/>
      <c r="L445" s="2719"/>
      <c r="M445" s="2798">
        <f>'Part IV-Uses of Funds'!M47</f>
        <v>0</v>
      </c>
      <c r="N445" s="2798"/>
      <c r="O445" s="2691"/>
      <c r="P445" s="2798">
        <f>'Part IV-Uses of Funds'!P47</f>
        <v>500000</v>
      </c>
      <c r="Q445" s="2798"/>
      <c r="R445" s="2691"/>
      <c r="S445" s="2798">
        <f>'Part IV-Uses of Funds'!S47</f>
        <v>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647</v>
      </c>
      <c r="B448" s="2821" t="s">
        <v>4564</v>
      </c>
      <c r="C448" s="2691"/>
      <c r="D448" s="2691"/>
      <c r="E448" s="2691"/>
      <c r="F448" s="2691"/>
      <c r="G448" s="2691"/>
      <c r="H448" s="2691"/>
      <c r="I448" s="2691"/>
      <c r="J448" s="2822" t="s">
        <v>283</v>
      </c>
      <c r="K448" s="2822"/>
      <c r="L448" s="2718"/>
      <c r="M448" s="2823" t="s">
        <v>511</v>
      </c>
      <c r="N448" s="2823"/>
      <c r="O448" s="2691"/>
      <c r="P448" s="2822" t="s">
        <v>284</v>
      </c>
      <c r="Q448" s="2822"/>
      <c r="R448" s="2691"/>
      <c r="S448" s="2822" t="s">
        <v>285</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2826</v>
      </c>
      <c r="X449" s="2741"/>
    </row>
    <row r="450" spans="1:24">
      <c r="A450" s="2691"/>
      <c r="B450" s="2694" t="s">
        <v>762</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292</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2456</v>
      </c>
      <c r="C452" s="2691"/>
      <c r="D452" s="2691"/>
      <c r="E452" s="2691"/>
      <c r="F452" s="2691"/>
      <c r="G452" s="2798">
        <f>'Part IV-Uses of Funds'!G54</f>
        <v>0</v>
      </c>
      <c r="H452" s="2798"/>
      <c r="I452" s="2691"/>
      <c r="J452" s="2798">
        <f>'Part IV-Uses of Funds'!J54</f>
        <v>0</v>
      </c>
      <c r="K452" s="2798"/>
      <c r="L452" s="2719"/>
      <c r="M452" s="2798">
        <f>'Part IV-Uses of Funds'!M54</f>
        <v>0</v>
      </c>
      <c r="N452" s="2798"/>
      <c r="O452" s="2691"/>
      <c r="P452" s="2798">
        <f>'Part IV-Uses of Funds'!P54</f>
        <v>0</v>
      </c>
      <c r="Q452" s="2798"/>
      <c r="R452" s="2691"/>
      <c r="S452" s="2798">
        <f>'Part IV-Uses of Funds'!S54</f>
        <v>0</v>
      </c>
      <c r="T452" s="2798"/>
      <c r="U452" s="2691"/>
      <c r="V452" s="2825">
        <f>'Part IV-Uses of Funds'!V54</f>
        <v>0</v>
      </c>
      <c r="W452" s="2826">
        <f>'Part IV-Uses of Funds'!W54</f>
        <v>0</v>
      </c>
      <c r="X452" s="2826"/>
    </row>
    <row r="453" spans="1:24">
      <c r="A453" s="2691"/>
      <c r="B453" s="2691" t="s">
        <v>2457</v>
      </c>
      <c r="C453" s="2691"/>
      <c r="D453" s="2691"/>
      <c r="E453" s="2691"/>
      <c r="F453" s="2691"/>
      <c r="G453" s="2798">
        <f>'Part IV-Uses of Funds'!G55</f>
        <v>0</v>
      </c>
      <c r="H453" s="2798"/>
      <c r="I453" s="2691"/>
      <c r="J453" s="2798">
        <f>'Part IV-Uses of Funds'!J55</f>
        <v>0</v>
      </c>
      <c r="K453" s="2798"/>
      <c r="L453" s="2719"/>
      <c r="M453" s="2798">
        <f>'Part IV-Uses of Funds'!M55</f>
        <v>0</v>
      </c>
      <c r="N453" s="2798"/>
      <c r="O453" s="2691"/>
      <c r="P453" s="2798">
        <f>'Part IV-Uses of Funds'!P55</f>
        <v>0</v>
      </c>
      <c r="Q453" s="2798"/>
      <c r="R453" s="2691"/>
      <c r="S453" s="2798">
        <f>'Part IV-Uses of Funds'!S55</f>
        <v>0</v>
      </c>
      <c r="T453" s="2798"/>
      <c r="U453" s="2691"/>
      <c r="V453" s="2825">
        <f>'Part IV-Uses of Funds'!V55</f>
        <v>0</v>
      </c>
      <c r="W453" s="2826"/>
      <c r="X453" s="2826"/>
    </row>
    <row r="454" spans="1:24">
      <c r="A454" s="2691"/>
      <c r="B454" s="2691" t="s">
        <v>2458</v>
      </c>
      <c r="C454" s="2691"/>
      <c r="D454" s="2691"/>
      <c r="E454" s="2691"/>
      <c r="F454" s="2691"/>
      <c r="G454" s="2798">
        <f>'Part IV-Uses of Funds'!G56</f>
        <v>0</v>
      </c>
      <c r="H454" s="2798"/>
      <c r="I454" s="2691"/>
      <c r="J454" s="2798">
        <f>'Part IV-Uses of Funds'!J56</f>
        <v>0</v>
      </c>
      <c r="K454" s="2798"/>
      <c r="L454" s="2719"/>
      <c r="M454" s="2798">
        <f>'Part IV-Uses of Funds'!M56</f>
        <v>0</v>
      </c>
      <c r="N454" s="2798"/>
      <c r="O454" s="2691"/>
      <c r="P454" s="2798">
        <f>'Part IV-Uses of Funds'!P56</f>
        <v>0</v>
      </c>
      <c r="Q454" s="2798"/>
      <c r="R454" s="2691"/>
      <c r="S454" s="2798">
        <f>'Part IV-Uses of Funds'!S56</f>
        <v>0</v>
      </c>
      <c r="T454" s="2798"/>
      <c r="U454" s="2691"/>
      <c r="V454" s="2825">
        <f>'Part IV-Uses of Funds'!V56</f>
        <v>0</v>
      </c>
      <c r="W454" s="2826"/>
      <c r="X454" s="2826"/>
    </row>
    <row r="455" spans="1:24">
      <c r="A455" s="2691"/>
      <c r="B455" s="2691" t="s">
        <v>2844</v>
      </c>
      <c r="C455" s="2691"/>
      <c r="D455" s="2691"/>
      <c r="E455" s="2691"/>
      <c r="F455" s="2691"/>
      <c r="G455" s="2798">
        <f>'Part IV-Uses of Funds'!G57</f>
        <v>25100</v>
      </c>
      <c r="H455" s="2798"/>
      <c r="I455" s="2691"/>
      <c r="J455" s="2798">
        <f>'Part IV-Uses of Funds'!J57</f>
        <v>0</v>
      </c>
      <c r="K455" s="2798"/>
      <c r="L455" s="2719"/>
      <c r="M455" s="2798">
        <f>'Part IV-Uses of Funds'!M57</f>
        <v>0</v>
      </c>
      <c r="N455" s="2798"/>
      <c r="O455" s="2691"/>
      <c r="P455" s="2798">
        <f>'Part IV-Uses of Funds'!P57</f>
        <v>25100</v>
      </c>
      <c r="Q455" s="2798"/>
      <c r="R455" s="2691"/>
      <c r="S455" s="2798">
        <f>'Part IV-Uses of Funds'!S57</f>
        <v>0</v>
      </c>
      <c r="T455" s="2798"/>
      <c r="U455" s="2691"/>
      <c r="V455" s="2825">
        <f>'Part IV-Uses of Funds'!V57</f>
        <v>0</v>
      </c>
      <c r="W455" s="2826"/>
      <c r="X455" s="2826"/>
    </row>
    <row r="456" spans="1:24">
      <c r="A456" s="2691"/>
      <c r="B456" s="2691" t="s">
        <v>763</v>
      </c>
      <c r="C456" s="2691"/>
      <c r="D456" s="2691"/>
      <c r="E456" s="2691"/>
      <c r="F456" s="2691"/>
      <c r="G456" s="2798">
        <f>'Part IV-Uses of Funds'!G58</f>
        <v>50655</v>
      </c>
      <c r="H456" s="2798"/>
      <c r="I456" s="2691"/>
      <c r="J456" s="2798">
        <f>'Part IV-Uses of Funds'!J58</f>
        <v>0</v>
      </c>
      <c r="K456" s="2798"/>
      <c r="L456" s="2719"/>
      <c r="M456" s="2798">
        <f>'Part IV-Uses of Funds'!M58</f>
        <v>0</v>
      </c>
      <c r="N456" s="2798"/>
      <c r="O456" s="2691"/>
      <c r="P456" s="2798">
        <f>'Part IV-Uses of Funds'!P58</f>
        <v>8443</v>
      </c>
      <c r="Q456" s="2798"/>
      <c r="R456" s="2691"/>
      <c r="S456" s="2798">
        <f>'Part IV-Uses of Funds'!S58</f>
        <v>42213</v>
      </c>
      <c r="T456" s="2798"/>
      <c r="U456" s="2691"/>
      <c r="V456" s="2825">
        <f>'Part IV-Uses of Funds'!V58</f>
        <v>0</v>
      </c>
      <c r="W456" s="2826"/>
      <c r="X456" s="2826"/>
    </row>
    <row r="457" spans="1:24">
      <c r="A457" s="2691"/>
      <c r="B457" s="2691" t="s">
        <v>2459</v>
      </c>
      <c r="C457" s="2691"/>
      <c r="D457" s="2691"/>
      <c r="E457" s="2691"/>
      <c r="F457" s="2691"/>
      <c r="G457" s="2798">
        <f>'Part IV-Uses of Funds'!G59</f>
        <v>35729</v>
      </c>
      <c r="H457" s="2798"/>
      <c r="I457" s="2691"/>
      <c r="J457" s="2798">
        <f>'Part IV-Uses of Funds'!J59</f>
        <v>0</v>
      </c>
      <c r="K457" s="2798"/>
      <c r="L457" s="2719"/>
      <c r="M457" s="2798">
        <f>'Part IV-Uses of Funds'!M59</f>
        <v>0</v>
      </c>
      <c r="N457" s="2798"/>
      <c r="O457" s="2691"/>
      <c r="P457" s="2798">
        <f>'Part IV-Uses of Funds'!P59</f>
        <v>5955</v>
      </c>
      <c r="Q457" s="2798"/>
      <c r="R457" s="2691"/>
      <c r="S457" s="2798">
        <f>'Part IV-Uses of Funds'!S59</f>
        <v>29774</v>
      </c>
      <c r="T457" s="2798"/>
      <c r="U457" s="2691"/>
      <c r="V457" s="2825">
        <f>'Part IV-Uses of Funds'!V59</f>
        <v>0</v>
      </c>
      <c r="W457" s="2826"/>
      <c r="X457" s="2826"/>
    </row>
    <row r="458" spans="1:24">
      <c r="A458" s="2691"/>
      <c r="B458" s="2691" t="s">
        <v>1336</v>
      </c>
      <c r="C458" s="2691"/>
      <c r="D458" s="2691"/>
      <c r="E458" s="2691"/>
      <c r="F458" s="2691"/>
      <c r="G458" s="2798">
        <f>'Part IV-Uses of Funds'!G60</f>
        <v>44693</v>
      </c>
      <c r="H458" s="2798"/>
      <c r="I458" s="2691"/>
      <c r="J458" s="2798">
        <f>'Part IV-Uses of Funds'!J60</f>
        <v>0</v>
      </c>
      <c r="K458" s="2798"/>
      <c r="L458" s="2719"/>
      <c r="M458" s="2798">
        <f>'Part IV-Uses of Funds'!M60</f>
        <v>44693</v>
      </c>
      <c r="N458" s="2798"/>
      <c r="O458" s="2691"/>
      <c r="P458" s="2798">
        <f>'Part IV-Uses of Funds'!P60</f>
        <v>0</v>
      </c>
      <c r="Q458" s="2798"/>
      <c r="R458" s="2691"/>
      <c r="S458" s="2798">
        <f>'Part IV-Uses of Funds'!S60</f>
        <v>0</v>
      </c>
      <c r="T458" s="2798"/>
      <c r="U458" s="2691"/>
      <c r="V458" s="2825">
        <f>'Part IV-Uses of Funds'!V60</f>
        <v>0</v>
      </c>
      <c r="W458" s="2826"/>
      <c r="X458" s="2826"/>
    </row>
    <row r="459" spans="1:24">
      <c r="A459" s="2691"/>
      <c r="B459" s="2836" t="s">
        <v>1208</v>
      </c>
      <c r="C459" s="2691"/>
      <c r="D459" s="2834"/>
      <c r="E459" s="2834"/>
      <c r="F459" s="2835"/>
      <c r="G459" s="2798">
        <f>'Part IV-Uses of Funds'!G61</f>
        <v>85000</v>
      </c>
      <c r="H459" s="2798"/>
      <c r="I459" s="2697"/>
      <c r="J459" s="2798">
        <f>'Part IV-Uses of Funds'!J61</f>
        <v>0</v>
      </c>
      <c r="K459" s="2798"/>
      <c r="L459" s="2719"/>
      <c r="M459" s="2798">
        <f>'Part IV-Uses of Funds'!M61</f>
        <v>0</v>
      </c>
      <c r="N459" s="2798"/>
      <c r="O459" s="2691"/>
      <c r="P459" s="2798">
        <f>'Part IV-Uses of Funds'!P61</f>
        <v>85000</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781</v>
      </c>
      <c r="C460" s="2706" t="str">
        <f>'Part IV-Uses of Funds'!C62</f>
        <v>&lt;Enter detailed description here; use Comments section if needed&gt;</v>
      </c>
      <c r="D460" s="2706"/>
      <c r="E460" s="2706"/>
      <c r="F460" s="2706"/>
      <c r="G460" s="2798">
        <f>'Part IV-Uses of Funds'!G62</f>
        <v>0</v>
      </c>
      <c r="H460" s="2798"/>
      <c r="I460" s="2691"/>
      <c r="J460" s="2798">
        <f>'Part IV-Uses of Funds'!J62</f>
        <v>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781</v>
      </c>
      <c r="C461" s="2706" t="str">
        <f>'Part IV-Uses of Funds'!C63</f>
        <v>&lt;Enter detailed description here; use Comments section if needed&gt;</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241177</v>
      </c>
      <c r="H462" s="2798"/>
      <c r="I462" s="2691"/>
      <c r="J462" s="2798">
        <f>SUM(J451:K461)</f>
        <v>0</v>
      </c>
      <c r="K462" s="2798"/>
      <c r="L462" s="2719"/>
      <c r="M462" s="2798">
        <f>SUM(M451:N461)</f>
        <v>44693</v>
      </c>
      <c r="N462" s="2798"/>
      <c r="O462" s="2691"/>
      <c r="P462" s="2798">
        <f>SUM(P451:Q461)</f>
        <v>124498</v>
      </c>
      <c r="Q462" s="2798"/>
      <c r="R462" s="2691"/>
      <c r="S462" s="2798">
        <f>SUM(S451:T461)</f>
        <v>71987</v>
      </c>
      <c r="T462" s="2798"/>
      <c r="U462" s="2691"/>
      <c r="V462" s="2825">
        <f>SUM(V452:V461)</f>
        <v>0</v>
      </c>
      <c r="W462" s="2826"/>
      <c r="X462" s="2826"/>
    </row>
    <row r="463" spans="1:24">
      <c r="A463" s="2691"/>
      <c r="B463" s="2694" t="s">
        <v>497</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498</v>
      </c>
      <c r="C464" s="2691"/>
      <c r="D464" s="2691"/>
      <c r="E464" s="2691"/>
      <c r="F464" s="2691"/>
      <c r="G464" s="2798">
        <f>'Part IV-Uses of Funds'!G66</f>
        <v>290993</v>
      </c>
      <c r="H464" s="2798"/>
      <c r="I464" s="2691"/>
      <c r="J464" s="2798">
        <f>'Part IV-Uses of Funds'!J66</f>
        <v>0</v>
      </c>
      <c r="K464" s="2798"/>
      <c r="L464" s="2719"/>
      <c r="M464" s="2798">
        <f>'Part IV-Uses of Funds'!M66</f>
        <v>0</v>
      </c>
      <c r="N464" s="2798"/>
      <c r="O464" s="2691"/>
      <c r="P464" s="2798">
        <f>'Part IV-Uses of Funds'!P66</f>
        <v>290993</v>
      </c>
      <c r="Q464" s="2798"/>
      <c r="R464" s="2691"/>
      <c r="S464" s="2798">
        <f>'Part IV-Uses of Funds'!S66</f>
        <v>0</v>
      </c>
      <c r="T464" s="2798"/>
      <c r="U464" s="2691"/>
      <c r="V464" s="2825">
        <f>'Part IV-Uses of Funds'!V66</f>
        <v>0</v>
      </c>
      <c r="W464" s="2826">
        <f>'Part IV-Uses of Funds'!W66</f>
        <v>0</v>
      </c>
      <c r="X464" s="2826"/>
    </row>
    <row r="465" spans="1:24">
      <c r="A465" s="2691"/>
      <c r="B465" s="2691" t="s">
        <v>499</v>
      </c>
      <c r="C465" s="2691"/>
      <c r="D465" s="2691"/>
      <c r="E465" s="2691"/>
      <c r="F465" s="2691"/>
      <c r="G465" s="2798">
        <f>'Part IV-Uses of Funds'!G67</f>
        <v>67748</v>
      </c>
      <c r="H465" s="2798"/>
      <c r="I465" s="2691"/>
      <c r="J465" s="2798">
        <f>'Part IV-Uses of Funds'!J67</f>
        <v>0</v>
      </c>
      <c r="K465" s="2798"/>
      <c r="L465" s="2719"/>
      <c r="M465" s="2798">
        <f>'Part IV-Uses of Funds'!M67</f>
        <v>0</v>
      </c>
      <c r="N465" s="2798"/>
      <c r="O465" s="2691"/>
      <c r="P465" s="2798">
        <f>'Part IV-Uses of Funds'!P67</f>
        <v>67748</v>
      </c>
      <c r="Q465" s="2798"/>
      <c r="R465" s="2691"/>
      <c r="S465" s="2798">
        <f>'Part IV-Uses of Funds'!S67</f>
        <v>0</v>
      </c>
      <c r="T465" s="2798"/>
      <c r="U465" s="2691"/>
      <c r="V465" s="2825">
        <f>'Part IV-Uses of Funds'!V67</f>
        <v>0</v>
      </c>
      <c r="W465" s="2826"/>
      <c r="X465" s="2826"/>
    </row>
    <row r="466" spans="1:24">
      <c r="A466" s="2691"/>
      <c r="B466" s="2691" t="s">
        <v>1179</v>
      </c>
      <c r="C466" s="2691"/>
      <c r="D466" s="2691"/>
      <c r="E466" s="2691"/>
      <c r="F466" s="2691" t="s">
        <v>3028</v>
      </c>
      <c r="G466" s="2798">
        <f>'Part IV-Uses of Funds'!G68</f>
        <v>20000</v>
      </c>
      <c r="H466" s="2798"/>
      <c r="I466" s="2691"/>
      <c r="J466" s="2798">
        <f>'Part IV-Uses of Funds'!J68</f>
        <v>0</v>
      </c>
      <c r="K466" s="2798"/>
      <c r="L466" s="2719"/>
      <c r="M466" s="2798">
        <f>'Part IV-Uses of Funds'!M68</f>
        <v>0</v>
      </c>
      <c r="N466" s="2798"/>
      <c r="O466" s="2691"/>
      <c r="P466" s="2798">
        <f>'Part IV-Uses of Funds'!P68</f>
        <v>20000</v>
      </c>
      <c r="Q466" s="2798"/>
      <c r="R466" s="2691"/>
      <c r="S466" s="2798">
        <f>'Part IV-Uses of Funds'!S68</f>
        <v>0</v>
      </c>
      <c r="T466" s="2798"/>
      <c r="U466" s="2691"/>
      <c r="V466" s="2825">
        <f>'Part IV-Uses of Funds'!V68</f>
        <v>0</v>
      </c>
      <c r="W466" s="2826"/>
      <c r="X466" s="2826"/>
    </row>
    <row r="467" spans="1:24">
      <c r="A467" s="2691"/>
      <c r="B467" s="2691" t="s">
        <v>1180</v>
      </c>
      <c r="C467" s="2691"/>
      <c r="D467" s="2691"/>
      <c r="E467" s="2691"/>
      <c r="F467" s="2691"/>
      <c r="G467" s="2798">
        <f>'Part IV-Uses of Funds'!G69</f>
        <v>25000</v>
      </c>
      <c r="H467" s="2798"/>
      <c r="I467" s="2691"/>
      <c r="J467" s="2798">
        <f>'Part IV-Uses of Funds'!J69</f>
        <v>0</v>
      </c>
      <c r="K467" s="2798"/>
      <c r="L467" s="2719"/>
      <c r="M467" s="2798">
        <f>'Part IV-Uses of Funds'!M69</f>
        <v>0</v>
      </c>
      <c r="N467" s="2798"/>
      <c r="O467" s="2691"/>
      <c r="P467" s="2798">
        <f>'Part IV-Uses of Funds'!P69</f>
        <v>25000</v>
      </c>
      <c r="Q467" s="2798"/>
      <c r="R467" s="2691"/>
      <c r="S467" s="2798">
        <f>'Part IV-Uses of Funds'!S69</f>
        <v>0</v>
      </c>
      <c r="T467" s="2798"/>
      <c r="U467" s="2691"/>
      <c r="V467" s="2825">
        <f>'Part IV-Uses of Funds'!V69</f>
        <v>0</v>
      </c>
      <c r="W467" s="2826"/>
      <c r="X467" s="2826"/>
    </row>
    <row r="468" spans="1:24">
      <c r="A468" s="2691"/>
      <c r="B468" s="2691" t="s">
        <v>1181</v>
      </c>
      <c r="C468" s="2691"/>
      <c r="D468" s="2691"/>
      <c r="E468" s="2691"/>
      <c r="F468" s="2691"/>
      <c r="G468" s="2798">
        <f>'Part IV-Uses of Funds'!G70</f>
        <v>5000</v>
      </c>
      <c r="H468" s="2798"/>
      <c r="I468" s="2691"/>
      <c r="J468" s="2798">
        <f>'Part IV-Uses of Funds'!J70</f>
        <v>0</v>
      </c>
      <c r="K468" s="2798"/>
      <c r="L468" s="2719"/>
      <c r="M468" s="2798">
        <f>'Part IV-Uses of Funds'!M70</f>
        <v>0</v>
      </c>
      <c r="N468" s="2798"/>
      <c r="O468" s="2691"/>
      <c r="P468" s="2798">
        <f>'Part IV-Uses of Funds'!P70</f>
        <v>5000</v>
      </c>
      <c r="Q468" s="2798"/>
      <c r="R468" s="2691"/>
      <c r="S468" s="2798">
        <f>'Part IV-Uses of Funds'!S70</f>
        <v>0</v>
      </c>
      <c r="T468" s="2798"/>
      <c r="U468" s="2691"/>
      <c r="V468" s="2825">
        <f>'Part IV-Uses of Funds'!V70</f>
        <v>0</v>
      </c>
      <c r="W468" s="2826"/>
      <c r="X468" s="2826"/>
    </row>
    <row r="469" spans="1:24">
      <c r="A469" s="2691"/>
      <c r="B469" s="2691" t="s">
        <v>1182</v>
      </c>
      <c r="C469" s="2691"/>
      <c r="D469" s="2691"/>
      <c r="E469" s="2691"/>
      <c r="F469" s="2691"/>
      <c r="G469" s="2798">
        <f>'Part IV-Uses of Funds'!G71</f>
        <v>0</v>
      </c>
      <c r="H469" s="2798"/>
      <c r="I469" s="2691"/>
      <c r="J469" s="2798">
        <f>'Part IV-Uses of Funds'!J71</f>
        <v>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500</v>
      </c>
      <c r="C470" s="2691"/>
      <c r="D470" s="2691"/>
      <c r="E470" s="2691"/>
      <c r="F470" s="2691"/>
      <c r="G470" s="2798">
        <f>'Part IV-Uses of Funds'!G72</f>
        <v>35000</v>
      </c>
      <c r="H470" s="2798"/>
      <c r="I470" s="2691"/>
      <c r="J470" s="2798">
        <f>'Part IV-Uses of Funds'!J72</f>
        <v>0</v>
      </c>
      <c r="K470" s="2798"/>
      <c r="L470" s="2719"/>
      <c r="M470" s="2798">
        <f>'Part IV-Uses of Funds'!M72</f>
        <v>0</v>
      </c>
      <c r="N470" s="2798"/>
      <c r="O470" s="2691"/>
      <c r="P470" s="2798">
        <f>'Part IV-Uses of Funds'!P72</f>
        <v>35000</v>
      </c>
      <c r="Q470" s="2798"/>
      <c r="R470" s="2691"/>
      <c r="S470" s="2798">
        <f>'Part IV-Uses of Funds'!S72</f>
        <v>0</v>
      </c>
      <c r="T470" s="2798"/>
      <c r="U470" s="2691"/>
      <c r="V470" s="2825">
        <f>'Part IV-Uses of Funds'!V72</f>
        <v>0</v>
      </c>
      <c r="W470" s="2826"/>
      <c r="X470" s="2826"/>
    </row>
    <row r="471" spans="1:24">
      <c r="A471" s="2691"/>
      <c r="B471" s="2691" t="s">
        <v>501</v>
      </c>
      <c r="C471" s="2691"/>
      <c r="D471" s="2691"/>
      <c r="E471" s="2691"/>
      <c r="F471" s="2691"/>
      <c r="G471" s="2798">
        <f>'Part IV-Uses of Funds'!G73</f>
        <v>90000</v>
      </c>
      <c r="H471" s="2798"/>
      <c r="I471" s="2691"/>
      <c r="J471" s="2798">
        <f>'Part IV-Uses of Funds'!J73</f>
        <v>0</v>
      </c>
      <c r="K471" s="2798"/>
      <c r="L471" s="2719"/>
      <c r="M471" s="2798">
        <f>'Part IV-Uses of Funds'!M73</f>
        <v>0</v>
      </c>
      <c r="N471" s="2798"/>
      <c r="O471" s="2691"/>
      <c r="P471" s="2798">
        <f>'Part IV-Uses of Funds'!P73</f>
        <v>35000</v>
      </c>
      <c r="Q471" s="2798"/>
      <c r="R471" s="2691"/>
      <c r="S471" s="2798">
        <f>'Part IV-Uses of Funds'!S73</f>
        <v>55000</v>
      </c>
      <c r="T471" s="2798"/>
      <c r="U471" s="2691"/>
      <c r="V471" s="2825">
        <f>'Part IV-Uses of Funds'!V73</f>
        <v>0</v>
      </c>
      <c r="W471" s="2826"/>
      <c r="X471" s="2826"/>
    </row>
    <row r="472" spans="1:24">
      <c r="A472" s="2691"/>
      <c r="B472" s="2691" t="s">
        <v>2150</v>
      </c>
      <c r="C472" s="2691"/>
      <c r="D472" s="2691"/>
      <c r="E472" s="2691"/>
      <c r="F472" s="2691"/>
      <c r="G472" s="2798">
        <f>'Part IV-Uses of Funds'!G74</f>
        <v>35000</v>
      </c>
      <c r="H472" s="2798"/>
      <c r="I472" s="2691"/>
      <c r="J472" s="2798">
        <f>'Part IV-Uses of Funds'!J74</f>
        <v>0</v>
      </c>
      <c r="K472" s="2798"/>
      <c r="L472" s="2719"/>
      <c r="M472" s="2798">
        <f>'Part IV-Uses of Funds'!M74</f>
        <v>0</v>
      </c>
      <c r="N472" s="2798"/>
      <c r="O472" s="2691"/>
      <c r="P472" s="2798">
        <f>'Part IV-Uses of Funds'!P74</f>
        <v>10000</v>
      </c>
      <c r="Q472" s="2798"/>
      <c r="R472" s="2691"/>
      <c r="S472" s="2798">
        <f>'Part IV-Uses of Funds'!S74</f>
        <v>25000</v>
      </c>
      <c r="T472" s="2798"/>
      <c r="U472" s="2691"/>
      <c r="V472" s="2825">
        <f>'Part IV-Uses of Funds'!V74</f>
        <v>0</v>
      </c>
      <c r="W472" s="2826"/>
      <c r="X472" s="2826"/>
    </row>
    <row r="473" spans="1:24">
      <c r="A473" s="2691"/>
      <c r="B473" s="2691" t="s">
        <v>1337</v>
      </c>
      <c r="C473" s="2691"/>
      <c r="D473" s="2691"/>
      <c r="E473" s="2691"/>
      <c r="F473" s="2691"/>
      <c r="G473" s="2798">
        <f>'Part IV-Uses of Funds'!G75</f>
        <v>0</v>
      </c>
      <c r="H473" s="2798"/>
      <c r="I473" s="2691"/>
      <c r="J473" s="2798">
        <f>'Part IV-Uses of Funds'!J75</f>
        <v>0</v>
      </c>
      <c r="K473" s="2798"/>
      <c r="L473" s="2719"/>
      <c r="M473" s="2798">
        <f>'Part IV-Uses of Funds'!M75</f>
        <v>0</v>
      </c>
      <c r="N473" s="2798"/>
      <c r="O473" s="2691"/>
      <c r="P473" s="2798">
        <f>'Part IV-Uses of Funds'!P75</f>
        <v>0</v>
      </c>
      <c r="Q473" s="2798"/>
      <c r="R473" s="2691"/>
      <c r="S473" s="2798">
        <f>'Part IV-Uses of Funds'!S75</f>
        <v>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781</v>
      </c>
      <c r="C474" s="2706" t="str">
        <f>'Part IV-Uses of Funds'!C76</f>
        <v>CREA Construction Inspection</v>
      </c>
      <c r="D474" s="2706"/>
      <c r="E474" s="2706"/>
      <c r="F474" s="2706"/>
      <c r="G474" s="2798">
        <f>'Part IV-Uses of Funds'!G76</f>
        <v>10500</v>
      </c>
      <c r="H474" s="2798"/>
      <c r="I474" s="2691"/>
      <c r="J474" s="2798">
        <f>'Part IV-Uses of Funds'!J76</f>
        <v>0</v>
      </c>
      <c r="K474" s="2798"/>
      <c r="L474" s="2719"/>
      <c r="M474" s="2798">
        <f>'Part IV-Uses of Funds'!M76</f>
        <v>0</v>
      </c>
      <c r="N474" s="2798"/>
      <c r="O474" s="2691"/>
      <c r="P474" s="2798">
        <f>'Part IV-Uses of Funds'!P76</f>
        <v>10500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579241</v>
      </c>
      <c r="H475" s="2798"/>
      <c r="I475" s="2691"/>
      <c r="J475" s="2798">
        <f>SUM(J464:K474)</f>
        <v>0</v>
      </c>
      <c r="K475" s="2798"/>
      <c r="L475" s="2719"/>
      <c r="M475" s="2798">
        <f>SUM(M464:N474)</f>
        <v>0</v>
      </c>
      <c r="N475" s="2798"/>
      <c r="O475" s="2691"/>
      <c r="P475" s="2798">
        <f>SUM(P464:Q474)</f>
        <v>499241</v>
      </c>
      <c r="Q475" s="2798"/>
      <c r="R475" s="2691"/>
      <c r="S475" s="2798">
        <f>SUM(S464:T474)</f>
        <v>80000</v>
      </c>
      <c r="T475" s="2798"/>
      <c r="U475" s="2691"/>
      <c r="V475" s="2825">
        <f>SUM(V464:V474)</f>
        <v>0</v>
      </c>
      <c r="W475" s="2826"/>
      <c r="X475" s="2826"/>
    </row>
    <row r="476" spans="1:24">
      <c r="A476" s="2691"/>
      <c r="B476" s="2694" t="s">
        <v>1329</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1330</v>
      </c>
      <c r="C477" s="2691"/>
      <c r="D477" s="2691"/>
      <c r="E477" s="2691"/>
      <c r="F477" s="2691"/>
      <c r="G477" s="2798">
        <f>'Part IV-Uses of Funds'!G79</f>
        <v>25000</v>
      </c>
      <c r="H477" s="2798"/>
      <c r="I477" s="2691"/>
      <c r="J477" s="2798">
        <f>'Part IV-Uses of Funds'!J79</f>
        <v>0</v>
      </c>
      <c r="K477" s="2798"/>
      <c r="L477" s="2719"/>
      <c r="M477" s="2798">
        <f>'Part IV-Uses of Funds'!M79</f>
        <v>0</v>
      </c>
      <c r="N477" s="2798"/>
      <c r="O477" s="2691"/>
      <c r="P477" s="2798">
        <f>'Part IV-Uses of Funds'!P79</f>
        <v>25000</v>
      </c>
      <c r="Q477" s="2798"/>
      <c r="R477" s="2691"/>
      <c r="S477" s="2798">
        <f>'Part IV-Uses of Funds'!S79</f>
        <v>0</v>
      </c>
      <c r="T477" s="2798"/>
      <c r="U477" s="2691"/>
      <c r="V477" s="2825">
        <f>'Part IV-Uses of Funds'!V79</f>
        <v>0</v>
      </c>
      <c r="W477" s="2826">
        <f>'Part IV-Uses of Funds'!W79</f>
        <v>0</v>
      </c>
      <c r="X477" s="2847"/>
    </row>
    <row r="478" spans="1:24">
      <c r="A478" s="2691"/>
      <c r="B478" s="2691" t="s">
        <v>1331</v>
      </c>
      <c r="C478" s="2691"/>
      <c r="D478" s="2691"/>
      <c r="E478" s="2691"/>
      <c r="F478" s="2691"/>
      <c r="G478" s="2798">
        <f>'Part IV-Uses of Funds'!G80</f>
        <v>0</v>
      </c>
      <c r="H478" s="2798"/>
      <c r="I478" s="2691"/>
      <c r="J478" s="2798">
        <f>'Part IV-Uses of Funds'!J80</f>
        <v>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1332</v>
      </c>
      <c r="C479" s="2691"/>
      <c r="D479" s="2848" t="s">
        <v>1472</v>
      </c>
      <c r="E479" s="2849">
        <f>'Part IV-Uses of Funds'!E81</f>
        <v>0</v>
      </c>
      <c r="F479" s="2691"/>
      <c r="G479" s="2798">
        <f>'Part IV-Uses of Funds'!G81</f>
        <v>0</v>
      </c>
      <c r="H479" s="2798"/>
      <c r="I479" s="2697"/>
      <c r="J479" s="2798">
        <f>'Part IV-Uses of Funds'!J81</f>
        <v>0</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1333</v>
      </c>
      <c r="C480" s="2691"/>
      <c r="D480" s="2848" t="s">
        <v>1472</v>
      </c>
      <c r="E480" s="2849">
        <f>'Part IV-Uses of Funds'!E82</f>
        <v>0</v>
      </c>
      <c r="F480" s="2691"/>
      <c r="G480" s="2798">
        <f>'Part IV-Uses of Funds'!G82</f>
        <v>0</v>
      </c>
      <c r="H480" s="2798"/>
      <c r="I480" s="2697"/>
      <c r="J480" s="2798">
        <f>'Part IV-Uses of Funds'!J82</f>
        <v>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25000</v>
      </c>
      <c r="H481" s="2798"/>
      <c r="I481" s="2691"/>
      <c r="J481" s="2798">
        <f>SUM(J477:K480)</f>
        <v>0</v>
      </c>
      <c r="K481" s="2798"/>
      <c r="L481" s="2719"/>
      <c r="M481" s="2798">
        <f>SUM(M477:N480)</f>
        <v>0</v>
      </c>
      <c r="N481" s="2798"/>
      <c r="O481" s="2691"/>
      <c r="P481" s="2798">
        <f>SUM(P477:Q480)</f>
        <v>25000</v>
      </c>
      <c r="Q481" s="2798"/>
      <c r="R481" s="2691"/>
      <c r="S481" s="2798">
        <f>SUM(S477:T480)</f>
        <v>0</v>
      </c>
      <c r="T481" s="2798"/>
      <c r="U481" s="2691"/>
      <c r="V481" s="2825">
        <f>SUM(V477:V480)</f>
        <v>0</v>
      </c>
      <c r="W481" s="2847"/>
      <c r="X481" s="2847"/>
    </row>
    <row r="482" spans="1:24">
      <c r="A482" s="2691"/>
      <c r="B482" s="2694" t="s">
        <v>764</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1334</v>
      </c>
      <c r="C483" s="2691"/>
      <c r="D483" s="2691"/>
      <c r="E483" s="2691"/>
      <c r="F483" s="2691"/>
      <c r="G483" s="2798">
        <f>'Part IV-Uses of Funds'!G85</f>
        <v>0</v>
      </c>
      <c r="H483" s="2798"/>
      <c r="I483" s="2691"/>
      <c r="J483" s="2850"/>
      <c r="K483" s="2850"/>
      <c r="L483" s="2719"/>
      <c r="M483" s="2850"/>
      <c r="N483" s="2850"/>
      <c r="O483" s="2691"/>
      <c r="P483" s="2850"/>
      <c r="Q483" s="2850"/>
      <c r="R483" s="2691"/>
      <c r="S483" s="2798">
        <f>'Part IV-Uses of Funds'!S85</f>
        <v>0</v>
      </c>
      <c r="T483" s="2798"/>
      <c r="U483" s="2691"/>
      <c r="V483" s="2825">
        <f>'Part IV-Uses of Funds'!V85</f>
        <v>0</v>
      </c>
      <c r="W483" s="2826">
        <f>'Part IV-Uses of Funds'!W85</f>
        <v>0</v>
      </c>
      <c r="X483" s="2847"/>
    </row>
    <row r="484" spans="1:24">
      <c r="A484" s="2691"/>
      <c r="B484" s="2691" t="s">
        <v>1335</v>
      </c>
      <c r="C484" s="2691"/>
      <c r="D484" s="2691"/>
      <c r="E484" s="2691"/>
      <c r="F484" s="2691"/>
      <c r="G484" s="2798">
        <f>'Part IV-Uses of Funds'!G86</f>
        <v>0</v>
      </c>
      <c r="H484" s="2798"/>
      <c r="I484" s="2691"/>
      <c r="J484" s="2850"/>
      <c r="K484" s="2850"/>
      <c r="L484" s="2719"/>
      <c r="M484" s="2850"/>
      <c r="N484" s="2850"/>
      <c r="O484" s="2691"/>
      <c r="P484" s="2850"/>
      <c r="Q484" s="2850"/>
      <c r="R484" s="2691"/>
      <c r="S484" s="2798">
        <f>'Part IV-Uses of Funds'!S86</f>
        <v>0</v>
      </c>
      <c r="T484" s="2798"/>
      <c r="U484" s="2691"/>
      <c r="V484" s="2825">
        <f>'Part IV-Uses of Funds'!V86</f>
        <v>0</v>
      </c>
      <c r="W484" s="2847"/>
      <c r="X484" s="2847"/>
    </row>
    <row r="485" spans="1:24">
      <c r="A485" s="2691"/>
      <c r="B485" s="2691" t="s">
        <v>1336</v>
      </c>
      <c r="C485" s="2691"/>
      <c r="D485" s="2691"/>
      <c r="E485" s="2691"/>
      <c r="F485" s="2691"/>
      <c r="G485" s="2798">
        <f>'Part IV-Uses of Funds'!G87</f>
        <v>0</v>
      </c>
      <c r="H485" s="2798"/>
      <c r="I485" s="2691"/>
      <c r="J485" s="2850"/>
      <c r="K485" s="2850"/>
      <c r="L485" s="2719"/>
      <c r="M485" s="2850"/>
      <c r="N485" s="2850"/>
      <c r="O485" s="2691"/>
      <c r="P485" s="2850"/>
      <c r="Q485" s="2850"/>
      <c r="R485" s="2691"/>
      <c r="S485" s="2798">
        <f>'Part IV-Uses of Funds'!S87</f>
        <v>0</v>
      </c>
      <c r="T485" s="2798"/>
      <c r="U485" s="2691"/>
      <c r="V485" s="2825">
        <f>'Part IV-Uses of Funds'!V87</f>
        <v>0</v>
      </c>
      <c r="W485" s="2847"/>
      <c r="X485" s="2847"/>
    </row>
    <row r="486" spans="1:24">
      <c r="A486" s="2691"/>
      <c r="B486" s="2691" t="s">
        <v>1338</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2407</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781</v>
      </c>
      <c r="C488" s="2706" t="str">
        <f>'Part IV-Uses of Funds'!C90</f>
        <v>&lt;Enter detailed description here; use Comments section if needed&gt;</v>
      </c>
      <c r="D488" s="2706"/>
      <c r="E488" s="2706"/>
      <c r="F488" s="2706"/>
      <c r="G488" s="2798">
        <f>'Part IV-Uses of Funds'!G90</f>
        <v>0</v>
      </c>
      <c r="H488" s="2798"/>
      <c r="I488" s="2691"/>
      <c r="J488" s="2850"/>
      <c r="K488" s="2850"/>
      <c r="L488" s="2719"/>
      <c r="M488" s="2850"/>
      <c r="N488" s="2850"/>
      <c r="O488" s="2691"/>
      <c r="P488" s="2850"/>
      <c r="Q488" s="2850"/>
      <c r="R488" s="2691"/>
      <c r="S488" s="2798">
        <f>'Part IV-Uses of Funds'!S90</f>
        <v>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0</v>
      </c>
      <c r="H489" s="2798"/>
      <c r="I489" s="2691"/>
      <c r="J489" s="2850"/>
      <c r="K489" s="2850"/>
      <c r="L489" s="2719"/>
      <c r="M489" s="2850"/>
      <c r="N489" s="2850"/>
      <c r="O489" s="2691"/>
      <c r="P489" s="2850"/>
      <c r="Q489" s="2850"/>
      <c r="R489" s="2691"/>
      <c r="S489" s="2798">
        <f>SUM(S483:T488)</f>
        <v>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647</v>
      </c>
      <c r="B491" s="2821" t="s">
        <v>4565</v>
      </c>
      <c r="C491" s="2691"/>
      <c r="D491" s="2691"/>
      <c r="E491" s="2691"/>
      <c r="F491" s="2691"/>
      <c r="G491" s="2691"/>
      <c r="H491" s="2691"/>
      <c r="I491" s="2691"/>
      <c r="J491" s="2822" t="s">
        <v>283</v>
      </c>
      <c r="K491" s="2822"/>
      <c r="L491" s="2718"/>
      <c r="M491" s="2823" t="s">
        <v>511</v>
      </c>
      <c r="N491" s="2823"/>
      <c r="O491" s="2691"/>
      <c r="P491" s="2822" t="s">
        <v>284</v>
      </c>
      <c r="Q491" s="2822"/>
      <c r="R491" s="2691"/>
      <c r="S491" s="2822" t="s">
        <v>285</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2826</v>
      </c>
      <c r="X492" s="2741"/>
    </row>
    <row r="493" spans="1:24">
      <c r="A493" s="2691"/>
      <c r="B493" s="2694" t="s">
        <v>765</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6500</v>
      </c>
      <c r="T495" s="2798"/>
      <c r="U495" s="2691"/>
      <c r="V495" s="2825">
        <f>'Part IV-Uses of Funds'!V97</f>
        <v>0</v>
      </c>
      <c r="W495" s="2847"/>
      <c r="X495" s="2847"/>
    </row>
    <row r="496" spans="1:24">
      <c r="A496" s="2691"/>
      <c r="B496" s="2691" t="s">
        <v>2848</v>
      </c>
      <c r="C496" s="2691"/>
      <c r="D496" s="2691"/>
      <c r="E496" s="2691"/>
      <c r="F496" s="2691"/>
      <c r="G496" s="2798">
        <f>'Part IV-Uses of Funds'!G98</f>
        <v>1500</v>
      </c>
      <c r="H496" s="2798"/>
      <c r="I496" s="2691"/>
      <c r="J496" s="2719"/>
      <c r="K496" s="2719"/>
      <c r="L496" s="2851"/>
      <c r="M496" s="2719"/>
      <c r="N496" s="2719"/>
      <c r="O496" s="2691"/>
      <c r="P496" s="2719"/>
      <c r="Q496" s="2719"/>
      <c r="R496" s="2691"/>
      <c r="S496" s="2798">
        <f>'Part IV-Uses of Funds'!S98</f>
        <v>1500</v>
      </c>
      <c r="T496" s="2798"/>
      <c r="U496" s="2691"/>
      <c r="V496" s="2825">
        <f>'Part IV-Uses of Funds'!V98</f>
        <v>0</v>
      </c>
      <c r="W496" s="2847"/>
      <c r="X496" s="2847"/>
    </row>
    <row r="497" spans="1:24">
      <c r="A497" s="2691"/>
      <c r="B497" s="2691" t="s">
        <v>543</v>
      </c>
      <c r="C497" s="2691"/>
      <c r="D497" s="2691"/>
      <c r="E497" s="2852">
        <f>'DCA Underwriting Assumptions'!$Q$74*J571</f>
        <v>80000</v>
      </c>
      <c r="F497" s="2852"/>
      <c r="G497" s="2798">
        <f>'Part IV-Uses of Funds'!G99</f>
        <v>80000</v>
      </c>
      <c r="H497" s="2798"/>
      <c r="I497" s="2691"/>
      <c r="J497" s="2719"/>
      <c r="K497" s="2719"/>
      <c r="L497" s="2719"/>
      <c r="M497" s="2719"/>
      <c r="N497" s="2719"/>
      <c r="O497" s="2691"/>
      <c r="P497" s="2719"/>
      <c r="Q497" s="2719"/>
      <c r="R497" s="2691"/>
      <c r="S497" s="2798">
        <f>'Part IV-Uses of Funds'!S99</f>
        <v>80000</v>
      </c>
      <c r="T497" s="2798"/>
      <c r="U497" s="2691"/>
      <c r="V497" s="2825">
        <f>'Part IV-Uses of Funds'!V99</f>
        <v>0</v>
      </c>
      <c r="W497" s="2847"/>
      <c r="X497" s="2847"/>
    </row>
    <row r="498" spans="1:24">
      <c r="A498" s="2691"/>
      <c r="B498" s="2691" t="s">
        <v>793</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498" s="2852"/>
      <c r="G498" s="2798">
        <f>'Part IV-Uses of Funds'!G100</f>
        <v>76800</v>
      </c>
      <c r="H498" s="2798"/>
      <c r="I498" s="2691"/>
      <c r="J498" s="2697"/>
      <c r="K498" s="2697"/>
      <c r="L498" s="2697"/>
      <c r="M498" s="2697"/>
      <c r="N498" s="2697"/>
      <c r="O498" s="2697"/>
      <c r="P498" s="2697"/>
      <c r="Q498" s="2697"/>
      <c r="R498" s="2691"/>
      <c r="S498" s="2798">
        <f>'Part IV-Uses of Funds'!S100</f>
        <v>76800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3000</v>
      </c>
      <c r="H500" s="2798"/>
      <c r="I500" s="2691"/>
      <c r="J500" s="2697"/>
      <c r="K500" s="2697"/>
      <c r="L500" s="2697"/>
      <c r="M500" s="2697"/>
      <c r="N500" s="2697"/>
      <c r="O500" s="2697"/>
      <c r="P500" s="2697"/>
      <c r="Q500" s="2697"/>
      <c r="R500" s="2691"/>
      <c r="S500" s="2798">
        <f>'Part IV-Uses of Funds'!S102</f>
        <v>3000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781</v>
      </c>
      <c r="C501" s="2706" t="str">
        <f>'Part IV-Uses of Funds'!C103</f>
        <v>&lt;Enter detailed description here; use Comments section if needed&gt;</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781</v>
      </c>
      <c r="C502" s="2706" t="str">
        <f>'Part IV-Uses of Funds'!C104</f>
        <v>&lt;Enter detailed description here; use Comments section if needed&gt;</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167800</v>
      </c>
      <c r="H503" s="2798"/>
      <c r="I503" s="2691"/>
      <c r="J503" s="2719"/>
      <c r="K503" s="2719"/>
      <c r="L503" s="2719"/>
      <c r="M503" s="2719"/>
      <c r="N503" s="2719"/>
      <c r="O503" s="2691"/>
      <c r="P503" s="2719"/>
      <c r="Q503" s="2719"/>
      <c r="R503" s="2691"/>
      <c r="S503" s="2798">
        <f>SUM(S494:T502)</f>
        <v>167800</v>
      </c>
      <c r="T503" s="2798"/>
      <c r="U503" s="2691"/>
      <c r="V503" s="2825">
        <f>SUM(V494:V502)</f>
        <v>0</v>
      </c>
      <c r="W503" s="2847"/>
      <c r="X503" s="2847"/>
    </row>
    <row r="504" spans="1:24">
      <c r="A504" s="2691"/>
      <c r="B504" s="2694" t="s">
        <v>2408</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291</v>
      </c>
      <c r="C505" s="2691"/>
      <c r="D505" s="2691"/>
      <c r="E505" s="2691"/>
      <c r="F505" s="2691"/>
      <c r="G505" s="2798">
        <f>'Part IV-Uses of Funds'!G107</f>
        <v>0</v>
      </c>
      <c r="H505" s="2798"/>
      <c r="I505" s="2691"/>
      <c r="J505" s="2850"/>
      <c r="K505" s="2850"/>
      <c r="L505" s="2719"/>
      <c r="M505" s="2850"/>
      <c r="N505" s="2850"/>
      <c r="O505" s="2691"/>
      <c r="P505" s="2850"/>
      <c r="Q505" s="2850"/>
      <c r="R505" s="2691"/>
      <c r="S505" s="2798">
        <f>'Part IV-Uses of Funds'!S107</f>
        <v>0</v>
      </c>
      <c r="T505" s="2798"/>
      <c r="U505" s="2691"/>
      <c r="V505" s="2825">
        <f>'Part IV-Uses of Funds'!V107</f>
        <v>0</v>
      </c>
      <c r="W505" s="2826">
        <f>'Part IV-Uses of Funds'!W107</f>
        <v>0</v>
      </c>
      <c r="X505" s="2847"/>
    </row>
    <row r="506" spans="1:24">
      <c r="A506" s="2691"/>
      <c r="B506" s="2691" t="s">
        <v>293</v>
      </c>
      <c r="C506" s="2691"/>
      <c r="D506" s="2691"/>
      <c r="E506" s="2691"/>
      <c r="F506" s="2691"/>
      <c r="G506" s="2798">
        <f>'Part IV-Uses of Funds'!G108</f>
        <v>0</v>
      </c>
      <c r="H506" s="2798"/>
      <c r="I506" s="2691"/>
      <c r="J506" s="2850"/>
      <c r="K506" s="2850"/>
      <c r="L506" s="2719"/>
      <c r="M506" s="2850"/>
      <c r="N506" s="2850"/>
      <c r="O506" s="2691"/>
      <c r="P506" s="2850"/>
      <c r="Q506" s="2850"/>
      <c r="R506" s="2691"/>
      <c r="S506" s="2798">
        <f>'Part IV-Uses of Funds'!S108</f>
        <v>0</v>
      </c>
      <c r="T506" s="2798"/>
      <c r="U506" s="2691"/>
      <c r="V506" s="2825">
        <f>'Part IV-Uses of Funds'!V108</f>
        <v>0</v>
      </c>
      <c r="W506" s="2847"/>
      <c r="X506" s="2847"/>
    </row>
    <row r="507" spans="1:24">
      <c r="A507" s="2691"/>
      <c r="B507" s="2691" t="s">
        <v>2500</v>
      </c>
      <c r="C507" s="2691"/>
      <c r="D507" s="2691"/>
      <c r="E507" s="2691"/>
      <c r="F507" s="2691"/>
      <c r="G507" s="2798">
        <f>'Part IV-Uses of Funds'!G109</f>
        <v>0</v>
      </c>
      <c r="H507" s="2798"/>
      <c r="I507" s="2691"/>
      <c r="J507" s="2850"/>
      <c r="K507" s="2850"/>
      <c r="L507" s="2719"/>
      <c r="M507" s="2850"/>
      <c r="N507" s="2850"/>
      <c r="O507" s="2691"/>
      <c r="P507" s="2850"/>
      <c r="Q507" s="2850"/>
      <c r="R507" s="2691"/>
      <c r="S507" s="2798">
        <f>'Part IV-Uses of Funds'!S109</f>
        <v>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781</v>
      </c>
      <c r="C508" s="2706" t="str">
        <f>'Part IV-Uses of Funds'!C110</f>
        <v>CREA Due Diligence Fee ($45,000) + Lease Review ($2,880)</v>
      </c>
      <c r="D508" s="2706"/>
      <c r="E508" s="2706"/>
      <c r="F508" s="2706"/>
      <c r="G508" s="2798">
        <f>'Part IV-Uses of Funds'!G110</f>
        <v>47880</v>
      </c>
      <c r="H508" s="2798"/>
      <c r="I508" s="2691"/>
      <c r="J508" s="2850"/>
      <c r="K508" s="2850"/>
      <c r="L508" s="2719"/>
      <c r="M508" s="2850"/>
      <c r="N508" s="2850"/>
      <c r="O508" s="2691"/>
      <c r="P508" s="2850"/>
      <c r="Q508" s="2850"/>
      <c r="R508" s="2691"/>
      <c r="S508" s="2798">
        <f>'Part IV-Uses of Funds'!S110</f>
        <v>47880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47880</v>
      </c>
      <c r="H509" s="2798"/>
      <c r="I509" s="2691"/>
      <c r="J509" s="2850"/>
      <c r="K509" s="2850"/>
      <c r="L509" s="2719"/>
      <c r="M509" s="2850"/>
      <c r="N509" s="2850"/>
      <c r="O509" s="2691"/>
      <c r="P509" s="2850"/>
      <c r="Q509" s="2850"/>
      <c r="R509" s="2691"/>
      <c r="S509" s="2798">
        <f>SUM(S505:T508)</f>
        <v>47880</v>
      </c>
      <c r="T509" s="2798"/>
      <c r="U509" s="2691"/>
      <c r="V509" s="2825">
        <f>SUM(V505:V508)</f>
        <v>0</v>
      </c>
      <c r="W509" s="2847"/>
      <c r="X509" s="2847"/>
    </row>
    <row r="510" spans="1:24">
      <c r="A510" s="2691"/>
      <c r="B510" s="2694" t="s">
        <v>294</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1953</v>
      </c>
      <c r="C511" s="2691"/>
      <c r="D511" s="2691"/>
      <c r="E511" s="2691"/>
      <c r="F511" s="2806">
        <f>G511/G514</f>
        <v>0</v>
      </c>
      <c r="G511" s="2798">
        <f>'Part IV-Uses of Funds'!G113</f>
        <v>0</v>
      </c>
      <c r="H511" s="2798"/>
      <c r="I511" s="2691"/>
      <c r="J511" s="2798">
        <f>'Part IV-Uses of Funds'!J113</f>
        <v>0</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1954</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1946</v>
      </c>
      <c r="C513" s="2691"/>
      <c r="D513" s="2691"/>
      <c r="E513" s="2691"/>
      <c r="F513" s="2806">
        <f>G513/G514</f>
        <v>1</v>
      </c>
      <c r="G513" s="2798">
        <f>'Part IV-Uses of Funds'!G115</f>
        <v>1800000</v>
      </c>
      <c r="H513" s="2798"/>
      <c r="I513" s="2691"/>
      <c r="J513" s="2798">
        <f>'Part IV-Uses of Funds'!J115</f>
        <v>0</v>
      </c>
      <c r="K513" s="2798"/>
      <c r="L513" s="2719"/>
      <c r="M513" s="2798">
        <f>'Part IV-Uses of Funds'!M115</f>
        <v>90000</v>
      </c>
      <c r="N513" s="2798"/>
      <c r="O513" s="2691"/>
      <c r="P513" s="2798">
        <f>'Part IV-Uses of Funds'!P115</f>
        <v>1710000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1800000</v>
      </c>
      <c r="H514" s="2798"/>
      <c r="I514" s="2691"/>
      <c r="J514" s="2798">
        <f>SUM(J511:K513)</f>
        <v>0</v>
      </c>
      <c r="K514" s="2798"/>
      <c r="L514" s="2719"/>
      <c r="M514" s="2798">
        <f>SUM(M511:N513)</f>
        <v>90000</v>
      </c>
      <c r="N514" s="2798"/>
      <c r="O514" s="2691"/>
      <c r="P514" s="2798">
        <f>SUM(P511:Q513)</f>
        <v>1710000</v>
      </c>
      <c r="Q514" s="2798"/>
      <c r="R514" s="2691"/>
      <c r="S514" s="2798">
        <f>SUM(S511:T513)</f>
        <v>0</v>
      </c>
      <c r="T514" s="2798"/>
      <c r="U514" s="2691"/>
      <c r="V514" s="2825">
        <f>SUM(V511:V513)</f>
        <v>0</v>
      </c>
      <c r="W514" s="2847"/>
      <c r="X514" s="2847"/>
    </row>
    <row r="515" spans="1:24">
      <c r="A515" s="2691"/>
      <c r="B515" s="2694" t="s">
        <v>1374</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262</v>
      </c>
      <c r="C516" s="2691"/>
      <c r="D516" s="2691"/>
      <c r="E516" s="2691"/>
      <c r="F516" s="2691"/>
      <c r="G516" s="2798">
        <f>'Part IV-Uses of Funds'!G118</f>
        <v>0</v>
      </c>
      <c r="H516" s="2798"/>
      <c r="I516" s="2691"/>
      <c r="J516" s="2851"/>
      <c r="K516" s="2851"/>
      <c r="L516" s="2851"/>
      <c r="M516" s="2851"/>
      <c r="N516" s="2851"/>
      <c r="O516" s="2691"/>
      <c r="P516" s="2851"/>
      <c r="Q516" s="2851"/>
      <c r="R516" s="2691"/>
      <c r="S516" s="2798">
        <f>'Part IV-Uses of Funds'!S118</f>
        <v>0</v>
      </c>
      <c r="T516" s="2798"/>
      <c r="U516" s="2691"/>
      <c r="V516" s="2825">
        <f>'Part IV-Uses of Funds'!V118</f>
        <v>0</v>
      </c>
      <c r="W516" s="2826">
        <f>'Part IV-Uses of Funds'!W118</f>
        <v>0</v>
      </c>
      <c r="X516" s="2847"/>
    </row>
    <row r="517" spans="1:24">
      <c r="A517" s="2691"/>
      <c r="B517" s="2691" t="s">
        <v>1612</v>
      </c>
      <c r="C517" s="2691"/>
      <c r="D517" s="2691"/>
      <c r="E517" s="2691"/>
      <c r="F517" s="2825">
        <f>+'Part VI-Revenues &amp; Expenses'!$P$178*('DCA Underwriting Assumptions'!$Q$96/12)</f>
        <v>142822.75</v>
      </c>
      <c r="G517" s="2798">
        <f>'Part IV-Uses of Funds'!G119</f>
        <v>142823</v>
      </c>
      <c r="H517" s="2798"/>
      <c r="I517" s="2691"/>
      <c r="J517" s="2850"/>
      <c r="K517" s="2850"/>
      <c r="L517" s="2719"/>
      <c r="M517" s="2850"/>
      <c r="N517" s="2850"/>
      <c r="O517" s="2691"/>
      <c r="P517" s="2850"/>
      <c r="Q517" s="2850"/>
      <c r="R517" s="2691"/>
      <c r="S517" s="2798">
        <f>'Part IV-Uses of Funds'!S119</f>
        <v>142823</v>
      </c>
      <c r="T517" s="2798"/>
      <c r="U517" s="2691"/>
      <c r="V517" s="2825">
        <f>'Part IV-Uses of Funds'!V119</f>
        <v>0</v>
      </c>
      <c r="W517" s="2847"/>
      <c r="X517" s="2847"/>
    </row>
    <row r="518" spans="1:24">
      <c r="A518" s="2691"/>
      <c r="B518" s="2691" t="s">
        <v>714</v>
      </c>
      <c r="C518" s="2691"/>
      <c r="D518" s="2691"/>
      <c r="E518" s="2691"/>
      <c r="F518" s="2853">
        <f>'Part VI-Revenues &amp; Expenses'!$P$178*('DCA Underwriting Assumptions'!$Q$95/12)+('Part VII-Pro Forma'!$B$23+'Part VII-Pro Forma'!$B$24+'Part VII-Pro Forma'!$B$25+'Part VII-Pro Forma'!$B$26)*'DCA Underwriting Assumptions'!$Q$94/(-12)</f>
        <v>285645.5</v>
      </c>
      <c r="G518" s="2798">
        <f>'Part IV-Uses of Funds'!G120</f>
        <v>313395</v>
      </c>
      <c r="H518" s="2798"/>
      <c r="I518" s="2691"/>
      <c r="J518" s="2851"/>
      <c r="K518" s="2851"/>
      <c r="L518" s="2851"/>
      <c r="M518" s="2851"/>
      <c r="N518" s="2851"/>
      <c r="O518" s="2691"/>
      <c r="P518" s="2851"/>
      <c r="Q518" s="2851"/>
      <c r="R518" s="2691"/>
      <c r="S518" s="2798">
        <f>'Part IV-Uses of Funds'!S120</f>
        <v>313395</v>
      </c>
      <c r="T518" s="2798"/>
      <c r="U518" s="2691"/>
      <c r="V518" s="2825">
        <f>'Part IV-Uses of Funds'!V120</f>
        <v>0</v>
      </c>
      <c r="W518" s="2847"/>
      <c r="X518" s="2847"/>
    </row>
    <row r="519" spans="1:24">
      <c r="A519" s="2691"/>
      <c r="B519" s="2691" t="s">
        <v>1304</v>
      </c>
      <c r="C519" s="2691"/>
      <c r="D519" s="2691"/>
      <c r="E519" s="2691"/>
      <c r="F519" s="2691"/>
      <c r="G519" s="2798">
        <f>'Part IV-Uses of Funds'!G121</f>
        <v>405000</v>
      </c>
      <c r="H519" s="2798"/>
      <c r="I519" s="2691"/>
      <c r="J519" s="2851"/>
      <c r="K519" s="2851"/>
      <c r="L519" s="2851"/>
      <c r="M519" s="2851"/>
      <c r="N519" s="2851"/>
      <c r="O519" s="2691"/>
      <c r="P519" s="2851"/>
      <c r="Q519" s="2851"/>
      <c r="R519" s="2691"/>
      <c r="S519" s="2798">
        <f>'Part IV-Uses of Funds'!S121</f>
        <v>405000</v>
      </c>
      <c r="T519" s="2798"/>
      <c r="U519" s="2691"/>
      <c r="V519" s="2825">
        <f>'Part IV-Uses of Funds'!V121</f>
        <v>0</v>
      </c>
      <c r="W519" s="2847"/>
      <c r="X519" s="2847"/>
    </row>
    <row r="520" spans="1:24">
      <c r="A520" s="2691"/>
      <c r="B520" s="2691" t="s">
        <v>1305</v>
      </c>
      <c r="C520" s="2691"/>
      <c r="D520" s="2691"/>
      <c r="E520" s="2854" t="s">
        <v>4362</v>
      </c>
      <c r="F520" s="2855">
        <f>G520/'Part VI-Revenues &amp; Expenses'!$M$62</f>
        <v>0</v>
      </c>
      <c r="G520" s="2798">
        <f>'Part IV-Uses of Funds'!G122</f>
        <v>0</v>
      </c>
      <c r="H520" s="2798"/>
      <c r="I520" s="2691"/>
      <c r="J520" s="2798">
        <f>'Part IV-Uses of Funds'!J122</f>
        <v>0</v>
      </c>
      <c r="K520" s="2798"/>
      <c r="L520" s="2719"/>
      <c r="M520" s="2798">
        <f>'Part IV-Uses of Funds'!M122</f>
        <v>0</v>
      </c>
      <c r="N520" s="2798"/>
      <c r="O520" s="2691"/>
      <c r="P520" s="2798">
        <f>'Part IV-Uses of Funds'!P122</f>
        <v>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781</v>
      </c>
      <c r="C521" s="2706" t="str">
        <f>'Part IV-Uses of Funds'!C123</f>
        <v>&lt;Enter detailed description here; use Comments section if needed&gt;</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861218</v>
      </c>
      <c r="H522" s="2798"/>
      <c r="I522" s="2691"/>
      <c r="J522" s="2798">
        <f>SUM(J520:K521)</f>
        <v>0</v>
      </c>
      <c r="K522" s="2798"/>
      <c r="L522" s="2719"/>
      <c r="M522" s="2798">
        <f>SUM(M520:N521)</f>
        <v>0</v>
      </c>
      <c r="N522" s="2798"/>
      <c r="O522" s="2691"/>
      <c r="P522" s="2798">
        <f>SUM(P520:Q521)</f>
        <v>0</v>
      </c>
      <c r="Q522" s="2798"/>
      <c r="R522" s="2691"/>
      <c r="S522" s="2798">
        <f>SUM(S516:T521)</f>
        <v>861218</v>
      </c>
      <c r="T522" s="2798"/>
      <c r="U522" s="2691"/>
      <c r="V522" s="2825">
        <f>SUM(V516:V521)</f>
        <v>0</v>
      </c>
      <c r="W522" s="2847"/>
      <c r="X522" s="2847"/>
    </row>
    <row r="523" spans="1:24">
      <c r="A523" s="2691"/>
      <c r="B523" s="2694" t="s">
        <v>641</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642</v>
      </c>
      <c r="C524" s="2699"/>
      <c r="D524" s="2691"/>
      <c r="E524" s="2691"/>
      <c r="F524" s="2691"/>
      <c r="G524" s="2798">
        <f>'Part IV-Uses of Funds'!G126</f>
        <v>259500</v>
      </c>
      <c r="H524" s="2798"/>
      <c r="I524" s="2691"/>
      <c r="J524" s="2798">
        <f>'Part IV-Uses of Funds'!J126</f>
        <v>0</v>
      </c>
      <c r="K524" s="2798"/>
      <c r="L524" s="2829"/>
      <c r="M524" s="2798">
        <f>'Part IV-Uses of Funds'!M126</f>
        <v>0</v>
      </c>
      <c r="N524" s="2798"/>
      <c r="O524" s="2691"/>
      <c r="P524" s="2798">
        <f>'Part IV-Uses of Funds'!P126</f>
        <v>259500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781</v>
      </c>
      <c r="C525" s="2706">
        <f>'Part IV-Uses of Funds'!C127</f>
        <v>0</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259500</v>
      </c>
      <c r="H526" s="2798"/>
      <c r="I526" s="2691"/>
      <c r="J526" s="2798">
        <f>SUM(J524:K525)</f>
        <v>0</v>
      </c>
      <c r="K526" s="2798"/>
      <c r="L526" s="2719"/>
      <c r="M526" s="2798">
        <f>SUM(M524:N525)</f>
        <v>0</v>
      </c>
      <c r="N526" s="2798"/>
      <c r="O526" s="2691"/>
      <c r="P526" s="2798">
        <f>SUM(P524:Q525)</f>
        <v>259500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4566</v>
      </c>
      <c r="C528" s="2691"/>
      <c r="D528" s="2691"/>
      <c r="E528" s="2691"/>
      <c r="F528" s="2691"/>
      <c r="G528" s="2858">
        <f>G415+G421+G425+G431+G436+G439+G445+G462+G475+G481+G489+G503+G509+G514+G522+G526</f>
        <v>15780131</v>
      </c>
      <c r="H528" s="2858"/>
      <c r="I528" s="2691"/>
      <c r="J528" s="2858">
        <f>J415+J421+J425+J431+J436+J439+J445+J462+J475+J481+J489+J503+J509+J514+J522+J526</f>
        <v>0</v>
      </c>
      <c r="K528" s="2858"/>
      <c r="L528" s="2691"/>
      <c r="M528" s="2858">
        <f>M415+M421+M425+M431+M436+M439+M445+M462+M475+M481+M489+M503+M509+M514+M522+M526</f>
        <v>1904693</v>
      </c>
      <c r="N528" s="2858"/>
      <c r="O528" s="2691"/>
      <c r="P528" s="2858">
        <f>P415+P421+P425+P431+P436+P439+P445+P462+P475+P481+P489+P503+P509+P514+P522+P526</f>
        <v>12206554</v>
      </c>
      <c r="Q528" s="2858"/>
      <c r="R528" s="2691"/>
      <c r="S528" s="2858">
        <f>S415+S421+S425+S431+S436+S439+S445+S462+S475+S481+S489+S503+S509+S514+S522+S526</f>
        <v>1668885</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4567</v>
      </c>
      <c r="C530" s="2838"/>
      <c r="D530" s="2860">
        <f>G528/'Part VI-Revenues &amp; Expenses'!$M$62</f>
        <v>164376.36458333334</v>
      </c>
      <c r="E530" s="2860"/>
      <c r="F530" s="2849" t="s">
        <v>3034</v>
      </c>
      <c r="G530" s="2860">
        <f>G528/'Part VI-Revenues &amp; Expenses'!$M$120</f>
        <v>176.99063460373719</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780</v>
      </c>
      <c r="B533" s="2863" t="s">
        <v>1498</v>
      </c>
      <c r="C533" s="2690"/>
      <c r="D533" s="2719"/>
      <c r="E533" s="2719"/>
      <c r="F533" s="2719"/>
      <c r="G533" s="2691"/>
      <c r="H533" s="2691"/>
      <c r="I533" s="2864"/>
      <c r="J533" s="2822" t="s">
        <v>283</v>
      </c>
      <c r="K533" s="2822"/>
      <c r="L533" s="2691"/>
      <c r="M533" s="2822" t="s">
        <v>102</v>
      </c>
      <c r="N533" s="2822"/>
      <c r="O533" s="2691"/>
      <c r="P533" s="2822" t="s">
        <v>284</v>
      </c>
      <c r="Q533" s="2822"/>
      <c r="R533" s="2691"/>
      <c r="S533" s="2691"/>
      <c r="T533" s="2691"/>
      <c r="U533" s="2691"/>
      <c r="V533" s="2691"/>
      <c r="W533" s="2846" t="str">
        <f>B533</f>
        <v>TAX CREDIT CALCULATION - BASIS METHOD</v>
      </c>
      <c r="X533" s="2699"/>
    </row>
    <row r="534" spans="1:24">
      <c r="A534" s="2691"/>
      <c r="B534" s="2692" t="s">
        <v>2145</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2253</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1956</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1957</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265</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1679</v>
      </c>
      <c r="C541" s="2706" t="str">
        <f>'Part IV-Uses of Funds'!C143</f>
        <v>&lt;Enter detailed description here; use Comments section if needed&gt;</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1958</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2450</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1878</v>
      </c>
      <c r="C545" s="2691"/>
      <c r="D545" s="2691"/>
      <c r="E545" s="2691"/>
      <c r="F545" s="2691"/>
      <c r="G545" s="2691"/>
      <c r="H545" s="2691"/>
      <c r="I545" s="2691"/>
      <c r="J545" s="2865">
        <f>J528</f>
        <v>0</v>
      </c>
      <c r="K545" s="2865"/>
      <c r="L545" s="2691"/>
      <c r="M545" s="2865">
        <f>M528</f>
        <v>1904693</v>
      </c>
      <c r="N545" s="2865"/>
      <c r="O545" s="2691"/>
      <c r="P545" s="2865">
        <f>P528</f>
        <v>12206554</v>
      </c>
      <c r="Q545" s="2865"/>
      <c r="R545" s="2691"/>
      <c r="S545" s="2691"/>
      <c r="T545" s="2691"/>
      <c r="U545" s="2691"/>
      <c r="V545" s="2825"/>
      <c r="W545" s="2826">
        <f>'Part IV-Uses of Funds'!W147</f>
        <v>0</v>
      </c>
      <c r="X545" s="2847"/>
    </row>
    <row r="546" spans="1:24">
      <c r="A546" s="2691"/>
      <c r="B546" s="2691" t="s">
        <v>2327</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2328</v>
      </c>
      <c r="C547" s="2691"/>
      <c r="D547" s="2691"/>
      <c r="E547" s="2691"/>
      <c r="F547" s="2691"/>
      <c r="G547" s="2691"/>
      <c r="H547" s="2691"/>
      <c r="I547" s="2691"/>
      <c r="J547" s="2865">
        <f>J545-J546</f>
        <v>0</v>
      </c>
      <c r="K547" s="2865"/>
      <c r="L547" s="2691"/>
      <c r="M547" s="2865">
        <f>M545</f>
        <v>1904693</v>
      </c>
      <c r="N547" s="2865"/>
      <c r="O547" s="2691"/>
      <c r="P547" s="2865">
        <f>P545-P546</f>
        <v>12206554</v>
      </c>
      <c r="Q547" s="2865"/>
      <c r="R547" s="2691"/>
      <c r="S547" s="2691"/>
      <c r="T547" s="2691"/>
      <c r="U547" s="2691"/>
      <c r="V547" s="2825"/>
      <c r="W547" s="2847"/>
      <c r="X547" s="2847"/>
    </row>
    <row r="548" spans="1:24">
      <c r="A548" s="2691"/>
      <c r="B548" s="2691" t="s">
        <v>1561</v>
      </c>
      <c r="C548" s="2691"/>
      <c r="D548" s="2691"/>
      <c r="E548" s="2691"/>
      <c r="F548" s="2691"/>
      <c r="G548" s="2695" t="s">
        <v>1799</v>
      </c>
      <c r="H548" s="2705" t="str">
        <f>'Part IV-Uses of Funds'!H150</f>
        <v>DDA/QCT</v>
      </c>
      <c r="I548" s="2705"/>
      <c r="J548" s="2866">
        <f>'Part IV-Uses of Funds'!J150</f>
        <v>0</v>
      </c>
      <c r="K548" s="2866"/>
      <c r="L548" s="2691"/>
      <c r="M548" s="2866"/>
      <c r="N548" s="2866"/>
      <c r="O548" s="2691"/>
      <c r="P548" s="2866">
        <f>'Part IV-Uses of Funds'!P150</f>
        <v>1.3</v>
      </c>
      <c r="Q548" s="2866"/>
      <c r="R548" s="2691"/>
      <c r="S548" s="2691"/>
      <c r="T548" s="2691"/>
      <c r="U548" s="2691"/>
      <c r="V548" s="2825"/>
      <c r="W548" s="2847"/>
      <c r="X548" s="2847"/>
    </row>
    <row r="549" spans="1:24">
      <c r="A549" s="2691"/>
      <c r="B549" s="2691" t="s">
        <v>2155</v>
      </c>
      <c r="C549" s="2691"/>
      <c r="D549" s="2691"/>
      <c r="E549" s="2691"/>
      <c r="F549" s="2691"/>
      <c r="G549" s="2691"/>
      <c r="H549" s="2691"/>
      <c r="I549" s="2691"/>
      <c r="J549" s="2865">
        <f>J547*J548</f>
        <v>0</v>
      </c>
      <c r="K549" s="2865"/>
      <c r="L549" s="2691"/>
      <c r="M549" s="2865">
        <f>+M547</f>
        <v>1904693</v>
      </c>
      <c r="N549" s="2865"/>
      <c r="O549" s="2691"/>
      <c r="P549" s="2865">
        <f>P547*P548</f>
        <v>15868520.200000001</v>
      </c>
      <c r="Q549" s="2865"/>
      <c r="R549" s="2691"/>
      <c r="S549" s="2691"/>
      <c r="T549" s="2691"/>
      <c r="U549" s="2691"/>
      <c r="V549" s="2825"/>
      <c r="W549" s="2847"/>
      <c r="X549" s="2847"/>
    </row>
    <row r="550" spans="1:24">
      <c r="A550" s="2691"/>
      <c r="B550" s="2691" t="s">
        <v>2669</v>
      </c>
      <c r="C550" s="2691"/>
      <c r="D550" s="2691"/>
      <c r="E550" s="2691"/>
      <c r="F550" s="2691"/>
      <c r="G550" s="2691"/>
      <c r="H550" s="2691"/>
      <c r="I550" s="2691"/>
      <c r="J550" s="2867">
        <f>MIN('Part VI-Revenues &amp; Expenses'!$M$58/'Part VI-Revenues &amp; Expenses'!$M$60,'Part VI-Revenues &amp; Expenses'!$M$116/'Part VI-Revenues &amp; Expenses'!$M$118)</f>
        <v>1</v>
      </c>
      <c r="K550" s="2867"/>
      <c r="L550" s="2691"/>
      <c r="M550" s="2867">
        <f>MIN('Part VI-Revenues &amp; Expenses'!$M$58/'Part VI-Revenues &amp; Expenses'!$M$60,'Part VI-Revenues &amp; Expenses'!$M$116/'Part VI-Revenues &amp; Expenses'!$M$118)</f>
        <v>1</v>
      </c>
      <c r="N550" s="2867"/>
      <c r="O550" s="2691"/>
      <c r="P550" s="2867">
        <f>MIN('Part VI-Revenues &amp; Expenses'!$M$58/'Part VI-Revenues &amp; Expenses'!$M$60,'Part VI-Revenues &amp; Expenses'!$M$116/'Part VI-Revenues &amp; Expenses'!$M$118)</f>
        <v>1</v>
      </c>
      <c r="Q550" s="2867"/>
      <c r="R550" s="2691"/>
      <c r="S550" s="2691"/>
      <c r="T550" s="2691"/>
      <c r="U550" s="2691"/>
      <c r="V550" s="2825"/>
      <c r="W550" s="2847"/>
      <c r="X550" s="2847"/>
    </row>
    <row r="551" spans="1:24">
      <c r="A551" s="2691"/>
      <c r="B551" s="2691" t="s">
        <v>2146</v>
      </c>
      <c r="C551" s="2691"/>
      <c r="D551" s="2691"/>
      <c r="E551" s="2691"/>
      <c r="F551" s="2691"/>
      <c r="G551" s="2691"/>
      <c r="H551" s="2691"/>
      <c r="I551" s="2691"/>
      <c r="J551" s="2865">
        <f>J549*J550</f>
        <v>0</v>
      </c>
      <c r="K551" s="2865"/>
      <c r="L551" s="2691"/>
      <c r="M551" s="2865">
        <f>M549*M550</f>
        <v>1904693</v>
      </c>
      <c r="N551" s="2865"/>
      <c r="O551" s="2691"/>
      <c r="P551" s="2865">
        <f>P549*P550</f>
        <v>15868520.200000001</v>
      </c>
      <c r="Q551" s="2865"/>
      <c r="R551" s="2691"/>
      <c r="S551" s="2691"/>
      <c r="T551" s="2691"/>
      <c r="U551" s="2691"/>
      <c r="V551" s="2825"/>
      <c r="W551" s="2847"/>
      <c r="X551" s="2847"/>
    </row>
    <row r="552" spans="1:24">
      <c r="A552" s="2691"/>
      <c r="B552" s="2691" t="s">
        <v>2147</v>
      </c>
      <c r="C552" s="2691"/>
      <c r="D552" s="2691"/>
      <c r="E552" s="2691"/>
      <c r="F552" s="2691"/>
      <c r="G552" s="2691"/>
      <c r="H552" s="2691"/>
      <c r="I552" s="2691"/>
      <c r="J552" s="2866">
        <f>'Part IV-Uses of Funds'!J154</f>
        <v>0</v>
      </c>
      <c r="K552" s="2866"/>
      <c r="L552" s="2691"/>
      <c r="M552" s="2866">
        <f>'Part IV-Uses of Funds'!M154</f>
        <v>3.1899999999999998E-2</v>
      </c>
      <c r="N552" s="2866"/>
      <c r="O552" s="2691"/>
      <c r="P552" s="2866">
        <f>'Part IV-Uses of Funds'!P154</f>
        <v>7.4399999999999994E-2</v>
      </c>
      <c r="Q552" s="2866"/>
      <c r="R552" s="2691"/>
      <c r="S552" s="2691"/>
      <c r="T552" s="2691"/>
      <c r="U552" s="2691"/>
      <c r="V552" s="2825"/>
      <c r="W552" s="2847"/>
      <c r="X552" s="2847"/>
    </row>
    <row r="553" spans="1:24">
      <c r="A553" s="2691"/>
      <c r="B553" s="2691" t="s">
        <v>2670</v>
      </c>
      <c r="C553" s="2691"/>
      <c r="D553" s="2691"/>
      <c r="E553" s="2691"/>
      <c r="F553" s="2691"/>
      <c r="G553" s="2691"/>
      <c r="H553" s="2691"/>
      <c r="I553" s="2691"/>
      <c r="J553" s="2865">
        <f>J551*J552</f>
        <v>0</v>
      </c>
      <c r="K553" s="2865"/>
      <c r="L553" s="2691"/>
      <c r="M553" s="2865">
        <f>M551*M552</f>
        <v>60759.706699999995</v>
      </c>
      <c r="N553" s="2865"/>
      <c r="O553" s="2691"/>
      <c r="P553" s="2865">
        <f>P551*P552</f>
        <v>1180617.90288</v>
      </c>
      <c r="Q553" s="2865"/>
      <c r="R553" s="2691"/>
      <c r="S553" s="2691"/>
      <c r="T553" s="2691"/>
      <c r="U553" s="2691"/>
      <c r="V553" s="2825"/>
      <c r="W553" s="2847"/>
      <c r="X553" s="2847"/>
    </row>
    <row r="554" spans="1:24">
      <c r="A554" s="2691"/>
      <c r="B554" s="2694" t="s">
        <v>1496</v>
      </c>
      <c r="C554" s="2691"/>
      <c r="D554" s="2691"/>
      <c r="E554" s="2691"/>
      <c r="F554" s="2691"/>
      <c r="G554" s="2691"/>
      <c r="H554" s="2691"/>
      <c r="I554" s="2691"/>
      <c r="J554" s="2817">
        <f>J553+M553+P553</f>
        <v>1241377.6095799999</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782</v>
      </c>
      <c r="B556" s="2824" t="s">
        <v>1499</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4568</v>
      </c>
      <c r="C558" s="2691"/>
      <c r="D558" s="2691"/>
      <c r="E558" s="2691"/>
      <c r="F558" s="2691"/>
      <c r="G558" s="2870" t="str">
        <f>IF(J559&gt;J558,"TDC exceeds QAP PUCL!","")</f>
        <v/>
      </c>
      <c r="H558" s="2870"/>
      <c r="I558" s="2870"/>
      <c r="J558" s="2800">
        <f>'Part VIII-Threshold Criteria'!$P$60</f>
        <v>16227932</v>
      </c>
      <c r="K558" s="2800"/>
      <c r="L558" s="2800"/>
      <c r="M558" s="2871" t="s">
        <v>2933</v>
      </c>
      <c r="N558" s="2871"/>
      <c r="O558" s="2871"/>
      <c r="P558" s="2871"/>
      <c r="Q558" s="2871"/>
      <c r="R558" s="2871"/>
      <c r="S558" s="2872" t="s">
        <v>2895</v>
      </c>
      <c r="T558" s="2872"/>
      <c r="U558" s="2691"/>
      <c r="V558" s="2825"/>
      <c r="W558" s="2826">
        <f>'Part IV-Uses of Funds'!W160</f>
        <v>0</v>
      </c>
      <c r="X558" s="2847"/>
    </row>
    <row r="559" spans="1:24">
      <c r="A559" s="2691"/>
      <c r="B559" s="2691" t="s">
        <v>4569</v>
      </c>
      <c r="C559" s="2691"/>
      <c r="D559" s="2691"/>
      <c r="E559" s="2691"/>
      <c r="F559" s="2691"/>
      <c r="G559" s="2691"/>
      <c r="H559" s="2691"/>
      <c r="I559" s="2691"/>
      <c r="J559" s="2865">
        <f>'Part IV-Uses of Funds'!J161</f>
        <v>15780131</v>
      </c>
      <c r="K559" s="2865"/>
      <c r="L559" s="2865"/>
      <c r="M559" s="2871"/>
      <c r="N559" s="2871"/>
      <c r="O559" s="2871"/>
      <c r="P559" s="2871"/>
      <c r="Q559" s="2871"/>
      <c r="R559" s="2871"/>
      <c r="S559" s="2872"/>
      <c r="T559" s="2872"/>
      <c r="U559" s="2691"/>
      <c r="V559" s="2825"/>
      <c r="W559" s="2847"/>
      <c r="X559" s="2847"/>
    </row>
    <row r="560" spans="1:24">
      <c r="A560" s="2691"/>
      <c r="B560" s="2691" t="s">
        <v>275</v>
      </c>
      <c r="C560" s="2691"/>
      <c r="D560" s="2691"/>
      <c r="E560" s="2691"/>
      <c r="F560" s="2691"/>
      <c r="G560" s="2691"/>
      <c r="H560" s="2691"/>
      <c r="I560" s="2691"/>
      <c r="J560" s="2865">
        <f>'Part III-Sources of Funds'!$I$53-'Part III-Sources of Funds'!$I$40-'Part III-Sources of Funds'!$I$41-'Part III-Sources of Funds'!$I$44-'Part III-Sources of Funds'!$I$45</f>
        <v>0</v>
      </c>
      <c r="K560" s="2865"/>
      <c r="L560" s="2865"/>
      <c r="M560" s="2871"/>
      <c r="N560" s="2871"/>
      <c r="O560" s="2871"/>
      <c r="P560" s="2871"/>
      <c r="Q560" s="2871"/>
      <c r="R560" s="2871"/>
      <c r="S560" s="2872"/>
      <c r="T560" s="2872"/>
      <c r="U560" s="2691"/>
      <c r="V560" s="2825"/>
      <c r="W560" s="2847"/>
      <c r="X560" s="2847"/>
    </row>
    <row r="561" spans="1:24" ht="13.5">
      <c r="A561" s="2691"/>
      <c r="B561" s="2691" t="s">
        <v>2339</v>
      </c>
      <c r="C561" s="2691"/>
      <c r="D561" s="2691"/>
      <c r="E561" s="2691"/>
      <c r="F561" s="2691"/>
      <c r="G561" s="2691"/>
      <c r="H561" s="2691"/>
      <c r="I561" s="2691"/>
      <c r="J561" s="2865">
        <f>+J559-J560</f>
        <v>15780131</v>
      </c>
      <c r="K561" s="2865"/>
      <c r="L561" s="2865"/>
      <c r="M561" s="2873" t="s">
        <v>2934</v>
      </c>
      <c r="N561" s="2873"/>
      <c r="O561" s="2874">
        <f>'Part IV-Uses of Funds'!O163</f>
        <v>0</v>
      </c>
      <c r="P561" s="2874"/>
      <c r="Q561" s="2874"/>
      <c r="R561" s="2874"/>
      <c r="S561" s="2875" t="s">
        <v>1742</v>
      </c>
      <c r="T561" s="2876">
        <f>'Part IV-Uses of Funds'!T163</f>
        <v>0</v>
      </c>
      <c r="U561" s="2691"/>
      <c r="V561" s="2825"/>
      <c r="W561" s="2847"/>
      <c r="X561" s="2847"/>
    </row>
    <row r="562" spans="1:24" ht="13.5">
      <c r="A562" s="2691"/>
      <c r="B562" s="2691" t="s">
        <v>1351</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1352</v>
      </c>
      <c r="C563" s="2691"/>
      <c r="D563" s="2691"/>
      <c r="E563" s="2691"/>
      <c r="F563" s="2691"/>
      <c r="G563" s="2691"/>
      <c r="H563" s="2691"/>
      <c r="I563" s="2691"/>
      <c r="J563" s="2865">
        <f>J561/10</f>
        <v>1578013.1</v>
      </c>
      <c r="K563" s="2865"/>
      <c r="L563" s="2865"/>
      <c r="M563" s="2697"/>
      <c r="N563" s="2705" t="s">
        <v>1353</v>
      </c>
      <c r="O563" s="2705"/>
      <c r="P563" s="2691"/>
      <c r="Q563" s="2705" t="s">
        <v>1887</v>
      </c>
      <c r="R563" s="2705"/>
      <c r="S563" s="2691"/>
      <c r="T563" s="2691"/>
      <c r="U563" s="2691"/>
      <c r="V563" s="2825"/>
      <c r="W563" s="2847"/>
      <c r="X563" s="2847"/>
    </row>
    <row r="564" spans="1:24">
      <c r="A564" s="2691"/>
      <c r="B564" s="2691" t="s">
        <v>4570</v>
      </c>
      <c r="C564" s="2691"/>
      <c r="D564" s="2691"/>
      <c r="E564" s="2691"/>
      <c r="F564" s="2691"/>
      <c r="G564" s="2691"/>
      <c r="H564" s="2691"/>
      <c r="I564" s="2691"/>
      <c r="J564" s="2878">
        <f>N564+Q564</f>
        <v>1.5</v>
      </c>
      <c r="K564" s="2878"/>
      <c r="L564" s="2878"/>
      <c r="M564" s="2695" t="s">
        <v>1354</v>
      </c>
      <c r="N564" s="2879">
        <f>'Part IV-Uses of Funds'!N166</f>
        <v>1</v>
      </c>
      <c r="O564" s="2879"/>
      <c r="P564" s="2695" t="s">
        <v>643</v>
      </c>
      <c r="Q564" s="2879">
        <f>'Part IV-Uses of Funds'!Q166</f>
        <v>0.5</v>
      </c>
      <c r="R564" s="2879"/>
      <c r="S564" s="2691"/>
      <c r="T564" s="2691"/>
      <c r="U564" s="2691"/>
      <c r="V564" s="2825"/>
      <c r="W564" s="2847"/>
      <c r="X564" s="2847"/>
    </row>
    <row r="565" spans="1:24">
      <c r="A565" s="2691"/>
      <c r="B565" s="2694" t="s">
        <v>1497</v>
      </c>
      <c r="C565" s="2691"/>
      <c r="D565" s="2691"/>
      <c r="E565" s="2691"/>
      <c r="F565" s="2691"/>
      <c r="G565" s="2691"/>
      <c r="H565" s="2691"/>
      <c r="I565" s="2691"/>
      <c r="J565" s="2817">
        <f>IF(J564=0,"",J563/J564)</f>
        <v>1052008.7333333334</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4571</v>
      </c>
      <c r="C567" s="2691"/>
      <c r="D567" s="2691"/>
      <c r="E567" s="2691"/>
      <c r="F567" s="2691"/>
      <c r="G567" s="2691"/>
      <c r="H567" s="2691"/>
      <c r="I567" s="2691"/>
      <c r="J567" s="2817">
        <f>IF('Part I-Project Information'!$I$166 = "Yes",+MIN(J554,J565,'Part I-Project Information'!$O$166,'DCA Underwriting Assumptions'!$R$7),+MIN(J554,J565,'DCA Underwriting Assumptions'!$R$6))</f>
        <v>1000000</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4572</v>
      </c>
      <c r="C569" s="2691"/>
      <c r="D569" s="2691"/>
      <c r="E569" s="2691"/>
      <c r="F569" s="2691"/>
      <c r="G569" s="2691"/>
      <c r="H569" s="2691"/>
      <c r="I569" s="2691"/>
      <c r="J569" s="2817">
        <f>'Part IV-Uses of Funds'!J171</f>
        <v>1000000</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1880</v>
      </c>
      <c r="B571" s="2824" t="s">
        <v>4573</v>
      </c>
      <c r="C571" s="2691"/>
      <c r="D571" s="2697"/>
      <c r="E571" s="2697"/>
      <c r="F571" s="2699"/>
      <c r="G571" s="2691"/>
      <c r="H571" s="2691"/>
      <c r="I571" s="2691"/>
      <c r="J571" s="2817">
        <f>IF(J569="",0,+MIN(J567,J569))</f>
        <v>1000000</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1882</v>
      </c>
      <c r="B574" s="2737" t="s">
        <v>599</v>
      </c>
      <c r="C574" s="2697"/>
      <c r="D574" s="2697"/>
      <c r="E574" s="2697"/>
      <c r="F574" s="2697"/>
      <c r="G574" s="2697"/>
      <c r="H574" s="2697"/>
      <c r="I574" s="2697"/>
      <c r="J574" s="2697"/>
      <c r="K574" s="2694" t="s">
        <v>554</v>
      </c>
      <c r="L574" s="2694" t="s">
        <v>81</v>
      </c>
      <c r="M574" s="2697"/>
      <c r="N574" s="2697"/>
      <c r="O574" s="2697"/>
      <c r="P574" s="2697"/>
      <c r="Q574" s="2697"/>
      <c r="R574" s="2697"/>
      <c r="S574" s="2697"/>
      <c r="T574" s="2697"/>
      <c r="U574" s="2697"/>
      <c r="V574" s="2697"/>
      <c r="W574" s="2697"/>
      <c r="X574" s="2697"/>
    </row>
    <row r="575" spans="1:24" ht="15.75">
      <c r="A575" s="2881" t="str">
        <f>'Part IV-Uses of Funds'!A177</f>
        <v>* To all applicants: please provide methodology for determining applicable construction hard costs.
Construction costs are based on preliminary work scope provided by Formula Construction.  See workscope breakdowns in Tab 15.
The $297,500 cost for Accessory Building is actually for the construction of a new building.  However, as this is a rehabilitation project subject to rehabilitation tax credit, we have shown it in the "rehab" category.
The $405,000 replacement reserve to be funded as part of the development budget is a condition of the equity commitment from CREA.  As this is a temporary reserve, to be released after one year of stabilized operations, we are deducting it from our developer fee cap.
CREA's marketing and lease up reserve requirement of $50,000 is contained within DCA's lease-up reserve of $142,823.   This also includes the management company's guaranty against operating deficits during construction and lease-up.
Relocation costs are estimated to be paid in the amount of $205,000, plus a $54,500 fee to CRS, the relocation administrator. 
Although DCA's minimum Operating Deficit Reserve requirement is $288,646, CREA's is currently at $313,395.</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2854</v>
      </c>
      <c r="X575" s="2882"/>
    </row>
    <row r="578" spans="1:13">
      <c r="A578" s="2883" t="str">
        <f>'Part V-Utility Allowances'!A1</f>
        <v>PART FIVE - UTILITY ALLOWANCES  -  2015-056 Lakeview Apartments, Fort Valley, Peach County</v>
      </c>
      <c r="B578" s="2883"/>
      <c r="C578" s="2883"/>
      <c r="D578" s="2883"/>
      <c r="E578" s="2883"/>
      <c r="F578" s="2883"/>
      <c r="G578" s="2883"/>
      <c r="H578" s="2883"/>
      <c r="I578" s="2883"/>
      <c r="J578" s="2883"/>
      <c r="K578" s="2883"/>
      <c r="L578" s="2883"/>
      <c r="M578" s="2883"/>
    </row>
    <row r="580" spans="1:13">
      <c r="F580" s="524" t="s">
        <v>539</v>
      </c>
      <c r="I580" s="2884" t="str">
        <f>VLOOKUP('Part I-Project Information'!$J$29,'DCA Underwriting Assumptions'!$G$127:$H$286,2)</f>
        <v>Middle</v>
      </c>
    </row>
    <row r="582" spans="1:13">
      <c r="A582" s="2885" t="s">
        <v>647</v>
      </c>
      <c r="B582" s="2885" t="s">
        <v>2334</v>
      </c>
      <c r="F582" s="926" t="s">
        <v>2645</v>
      </c>
      <c r="I582" s="2795" t="str">
        <f>'Part V-Utility Allowances'!I5</f>
        <v>Georgia Department of Community Affairs</v>
      </c>
      <c r="J582" s="2795"/>
      <c r="K582" s="2795"/>
      <c r="L582" s="2795"/>
      <c r="M582" s="2795"/>
    </row>
    <row r="583" spans="1:13">
      <c r="A583" s="2885"/>
      <c r="F583" s="926" t="s">
        <v>667</v>
      </c>
      <c r="I583" s="2886">
        <f>'Part V-Utility Allowances'!I6</f>
        <v>0</v>
      </c>
      <c r="J583" s="2886"/>
      <c r="K583" s="2887" t="s">
        <v>564</v>
      </c>
      <c r="L583" s="2795">
        <f>'Part V-Utility Allowances'!L6</f>
        <v>0</v>
      </c>
      <c r="M583" s="2795"/>
    </row>
    <row r="584" spans="1:13">
      <c r="A584" s="2885"/>
    </row>
    <row r="585" spans="1:13">
      <c r="A585" s="2885"/>
      <c r="B585" s="2885"/>
      <c r="C585" s="2885"/>
      <c r="D585" s="2885"/>
      <c r="E585" s="2885"/>
      <c r="F585" s="2888" t="s">
        <v>640</v>
      </c>
      <c r="G585" s="2888"/>
      <c r="H585" s="2885"/>
      <c r="I585" s="2888" t="s">
        <v>206</v>
      </c>
      <c r="J585" s="2888"/>
      <c r="K585" s="2888"/>
      <c r="L585" s="2888"/>
      <c r="M585" s="2888"/>
    </row>
    <row r="586" spans="1:13">
      <c r="A586" s="2885"/>
      <c r="B586" s="2885" t="s">
        <v>840</v>
      </c>
      <c r="C586" s="2885"/>
      <c r="D586" s="2885" t="s">
        <v>1677</v>
      </c>
      <c r="E586" s="2885"/>
      <c r="F586" s="2889" t="s">
        <v>673</v>
      </c>
      <c r="G586" s="2889" t="s">
        <v>1943</v>
      </c>
      <c r="H586" s="2885"/>
      <c r="I586" s="2889" t="s">
        <v>592</v>
      </c>
      <c r="J586" s="2889">
        <v>1</v>
      </c>
      <c r="K586" s="2889">
        <v>2</v>
      </c>
      <c r="L586" s="2889">
        <v>3</v>
      </c>
      <c r="M586" s="2889">
        <v>4</v>
      </c>
    </row>
    <row r="587" spans="1:13">
      <c r="B587" s="926" t="s">
        <v>1945</v>
      </c>
      <c r="D587" s="2795" t="str">
        <f>'Part V-Utility Allowances'!D10</f>
        <v>Electric</v>
      </c>
      <c r="E587" s="2795"/>
      <c r="F587" s="2890">
        <f>'Part V-Utility Allowances'!F10</f>
        <v>0</v>
      </c>
      <c r="G587" s="2890" t="str">
        <f>'Part V-Utility Allowances'!G10</f>
        <v>X</v>
      </c>
      <c r="I587" s="2887">
        <f>'Part V-Utility Allowances'!I10</f>
        <v>0</v>
      </c>
      <c r="J587" s="2887">
        <f>'Part V-Utility Allowances'!J10</f>
        <v>0</v>
      </c>
      <c r="K587" s="2887">
        <f>'Part V-Utility Allowances'!K10</f>
        <v>0</v>
      </c>
      <c r="L587" s="2887">
        <f>'Part V-Utility Allowances'!L10</f>
        <v>0</v>
      </c>
      <c r="M587" s="2887">
        <f>'Part V-Utility Allowances'!M10</f>
        <v>0</v>
      </c>
    </row>
    <row r="588" spans="1:13">
      <c r="B588" s="926" t="s">
        <v>486</v>
      </c>
      <c r="D588" s="926" t="s">
        <v>1673</v>
      </c>
      <c r="F588" s="2890">
        <f>'Part V-Utility Allowances'!F11</f>
        <v>0</v>
      </c>
      <c r="G588" s="2890" t="str">
        <f>'Part V-Utility Allowances'!G11</f>
        <v>X</v>
      </c>
      <c r="I588" s="2887">
        <f>'Part V-Utility Allowances'!I11</f>
        <v>0</v>
      </c>
      <c r="J588" s="2887">
        <f>'Part V-Utility Allowances'!J11</f>
        <v>0</v>
      </c>
      <c r="K588" s="2887">
        <f>'Part V-Utility Allowances'!K11</f>
        <v>0</v>
      </c>
      <c r="L588" s="2887">
        <f>'Part V-Utility Allowances'!L11</f>
        <v>0</v>
      </c>
      <c r="M588" s="2887">
        <f>'Part V-Utility Allowances'!M11</f>
        <v>0</v>
      </c>
    </row>
    <row r="589" spans="1:13">
      <c r="B589" s="926" t="s">
        <v>1674</v>
      </c>
      <c r="D589" s="2795" t="str">
        <f>'Part V-Utility Allowances'!D12</f>
        <v>Electric</v>
      </c>
      <c r="E589" s="2795"/>
      <c r="F589" s="2890">
        <f>'Part V-Utility Allowances'!F12</f>
        <v>0</v>
      </c>
      <c r="G589" s="2890" t="str">
        <f>'Part V-Utility Allowances'!G12</f>
        <v>X</v>
      </c>
      <c r="I589" s="2887">
        <f>'Part V-Utility Allowances'!I12</f>
        <v>0</v>
      </c>
      <c r="J589" s="2887">
        <f>'Part V-Utility Allowances'!J12</f>
        <v>0</v>
      </c>
      <c r="K589" s="2887">
        <f>'Part V-Utility Allowances'!K12</f>
        <v>0</v>
      </c>
      <c r="L589" s="2887">
        <f>'Part V-Utility Allowances'!L12</f>
        <v>0</v>
      </c>
      <c r="M589" s="2887">
        <f>'Part V-Utility Allowances'!M12</f>
        <v>0</v>
      </c>
    </row>
    <row r="590" spans="1:13">
      <c r="B590" s="926" t="s">
        <v>1675</v>
      </c>
      <c r="D590" s="2795" t="str">
        <f>'Part V-Utility Allowances'!D13</f>
        <v>Electric</v>
      </c>
      <c r="E590" s="2795"/>
      <c r="F590" s="2890">
        <f>'Part V-Utility Allowances'!F13</f>
        <v>0</v>
      </c>
      <c r="G590" s="2890" t="str">
        <f>'Part V-Utility Allowances'!G13</f>
        <v>X</v>
      </c>
      <c r="I590" s="2887">
        <f>'Part V-Utility Allowances'!I13</f>
        <v>0</v>
      </c>
      <c r="J590" s="2887">
        <f>'Part V-Utility Allowances'!J13</f>
        <v>0</v>
      </c>
      <c r="K590" s="2887">
        <f>'Part V-Utility Allowances'!K13</f>
        <v>0</v>
      </c>
      <c r="L590" s="2887">
        <f>'Part V-Utility Allowances'!L13</f>
        <v>0</v>
      </c>
      <c r="M590" s="2887">
        <f>'Part V-Utility Allowances'!M13</f>
        <v>0</v>
      </c>
    </row>
    <row r="591" spans="1:13">
      <c r="B591" s="926" t="s">
        <v>1676</v>
      </c>
      <c r="D591" s="926" t="s">
        <v>1673</v>
      </c>
      <c r="F591" s="2890">
        <f>'Part V-Utility Allowances'!F14</f>
        <v>0</v>
      </c>
      <c r="G591" s="2890" t="str">
        <f>'Part V-Utility Allowances'!G14</f>
        <v>X</v>
      </c>
      <c r="I591" s="2887">
        <f>'Part V-Utility Allowances'!I14</f>
        <v>0</v>
      </c>
      <c r="J591" s="2887">
        <f>'Part V-Utility Allowances'!J14</f>
        <v>0</v>
      </c>
      <c r="K591" s="2887">
        <f>'Part V-Utility Allowances'!K14</f>
        <v>0</v>
      </c>
      <c r="L591" s="2887">
        <f>'Part V-Utility Allowances'!L14</f>
        <v>0</v>
      </c>
      <c r="M591" s="2887">
        <f>'Part V-Utility Allowances'!M14</f>
        <v>0</v>
      </c>
    </row>
    <row r="592" spans="1:13">
      <c r="B592" s="926" t="s">
        <v>1436</v>
      </c>
      <c r="D592" s="926" t="s">
        <v>4373</v>
      </c>
      <c r="E592" s="2887" t="str">
        <f>'Part V-Utility Allowances'!E15</f>
        <v>No</v>
      </c>
      <c r="F592" s="2890">
        <f>'Part V-Utility Allowances'!F15</f>
        <v>0</v>
      </c>
      <c r="G592" s="2890" t="str">
        <f>'Part V-Utility Allowances'!G15</f>
        <v>X</v>
      </c>
      <c r="I592" s="2887">
        <f>'Part V-Utility Allowances'!I15</f>
        <v>0</v>
      </c>
      <c r="J592" s="2887">
        <f>'Part V-Utility Allowances'!J15</f>
        <v>0</v>
      </c>
      <c r="K592" s="2887">
        <f>'Part V-Utility Allowances'!K15</f>
        <v>0</v>
      </c>
      <c r="L592" s="2887">
        <f>'Part V-Utility Allowances'!L15</f>
        <v>0</v>
      </c>
      <c r="M592" s="2887">
        <f>'Part V-Utility Allowances'!M15</f>
        <v>0</v>
      </c>
    </row>
    <row r="593" spans="1:13">
      <c r="B593" s="926" t="s">
        <v>1944</v>
      </c>
      <c r="F593" s="2890">
        <f>'Part V-Utility Allowances'!F16</f>
        <v>0</v>
      </c>
      <c r="G593" s="2890" t="str">
        <f>'Part V-Utility Allowances'!G16</f>
        <v>X</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1070</v>
      </c>
      <c r="F594" s="2887"/>
      <c r="G594" s="2887"/>
      <c r="I594" s="2889">
        <f>'Part V-Utility Allowances'!I17</f>
        <v>0</v>
      </c>
      <c r="J594" s="2889">
        <f>'Part V-Utility Allowances'!J17</f>
        <v>0</v>
      </c>
      <c r="K594" s="2889">
        <f>'Part V-Utility Allowances'!K17</f>
        <v>0</v>
      </c>
      <c r="L594" s="2889">
        <f>'Part V-Utility Allowances'!L17</f>
        <v>0</v>
      </c>
      <c r="M594" s="2889">
        <f>'Part V-Utility Allowances'!M17</f>
        <v>0</v>
      </c>
    </row>
    <row r="595" spans="1:13">
      <c r="B595" s="505" t="s">
        <v>4374</v>
      </c>
      <c r="F595" s="2887"/>
      <c r="G595" s="2887"/>
      <c r="I595" s="2889"/>
      <c r="J595" s="2889"/>
      <c r="K595" s="2889"/>
      <c r="L595" s="2889"/>
      <c r="M595" s="2889"/>
    </row>
    <row r="597" spans="1:13">
      <c r="A597" s="2885" t="s">
        <v>780</v>
      </c>
      <c r="B597" s="2885" t="s">
        <v>2335</v>
      </c>
      <c r="F597" s="926" t="s">
        <v>2645</v>
      </c>
      <c r="I597" s="2795">
        <f>'Part V-Utility Allowances'!I20</f>
        <v>0</v>
      </c>
      <c r="J597" s="2795"/>
      <c r="K597" s="2795"/>
      <c r="L597" s="2795"/>
      <c r="M597" s="2795"/>
    </row>
    <row r="598" spans="1:13">
      <c r="A598" s="2885"/>
      <c r="B598" s="2885"/>
      <c r="F598" s="926" t="s">
        <v>667</v>
      </c>
      <c r="I598" s="2886">
        <f>'Part V-Utility Allowances'!I21</f>
        <v>0</v>
      </c>
      <c r="J598" s="2886"/>
      <c r="K598" s="2887" t="s">
        <v>564</v>
      </c>
      <c r="L598" s="2795">
        <f>'Part V-Utility Allowances'!L21</f>
        <v>0</v>
      </c>
      <c r="M598" s="2795"/>
    </row>
    <row r="599" spans="1:13">
      <c r="A599" s="2885"/>
    </row>
    <row r="600" spans="1:13">
      <c r="A600" s="2885"/>
      <c r="B600" s="2885"/>
      <c r="C600" s="2885"/>
      <c r="D600" s="2885"/>
      <c r="E600" s="2885"/>
      <c r="F600" s="2888" t="s">
        <v>640</v>
      </c>
      <c r="G600" s="2888"/>
      <c r="H600" s="2885"/>
      <c r="I600" s="2888" t="s">
        <v>206</v>
      </c>
      <c r="J600" s="2888"/>
      <c r="K600" s="2888"/>
      <c r="L600" s="2888"/>
      <c r="M600" s="2888"/>
    </row>
    <row r="601" spans="1:13">
      <c r="A601" s="2885"/>
      <c r="B601" s="2885" t="s">
        <v>840</v>
      </c>
      <c r="C601" s="2885"/>
      <c r="D601" s="2885" t="s">
        <v>1677</v>
      </c>
      <c r="E601" s="2885"/>
      <c r="F601" s="2889" t="s">
        <v>673</v>
      </c>
      <c r="G601" s="2889" t="s">
        <v>1943</v>
      </c>
      <c r="H601" s="2885"/>
      <c r="I601" s="2889" t="s">
        <v>592</v>
      </c>
      <c r="J601" s="2889">
        <v>1</v>
      </c>
      <c r="K601" s="2889">
        <v>2</v>
      </c>
      <c r="L601" s="2889">
        <v>3</v>
      </c>
      <c r="M601" s="2889">
        <v>4</v>
      </c>
    </row>
    <row r="602" spans="1:13">
      <c r="B602" s="926" t="s">
        <v>1945</v>
      </c>
      <c r="D602" s="2795" t="str">
        <f>'Part V-Utility Allowances'!D25</f>
        <v>&lt;&lt;Select Fuel &gt;&gt;</v>
      </c>
      <c r="E602" s="2795"/>
      <c r="F602" s="2890">
        <f>'Part V-Utility Allowances'!F25</f>
        <v>0</v>
      </c>
      <c r="G602" s="2890">
        <f>'Part V-Utility Allowances'!G25</f>
        <v>0</v>
      </c>
      <c r="I602" s="2887">
        <f>'Part V-Utility Allowances'!I25</f>
        <v>0</v>
      </c>
      <c r="J602" s="2887">
        <f>'Part V-Utility Allowances'!J25</f>
        <v>0</v>
      </c>
      <c r="K602" s="2887">
        <f>'Part V-Utility Allowances'!K25</f>
        <v>0</v>
      </c>
      <c r="L602" s="2887">
        <f>'Part V-Utility Allowances'!L25</f>
        <v>0</v>
      </c>
      <c r="M602" s="2887">
        <f>'Part V-Utility Allowances'!M25</f>
        <v>0</v>
      </c>
    </row>
    <row r="603" spans="1:13">
      <c r="B603" s="926" t="s">
        <v>486</v>
      </c>
      <c r="D603" s="926" t="s">
        <v>1673</v>
      </c>
      <c r="F603" s="2890">
        <f>'Part V-Utility Allowances'!F26</f>
        <v>0</v>
      </c>
      <c r="G603" s="2890">
        <f>'Part V-Utility Allowances'!G26</f>
        <v>0</v>
      </c>
      <c r="I603" s="2887">
        <f>'Part V-Utility Allowances'!I26</f>
        <v>0</v>
      </c>
      <c r="J603" s="2887">
        <f>'Part V-Utility Allowances'!J26</f>
        <v>0</v>
      </c>
      <c r="K603" s="2887">
        <f>'Part V-Utility Allowances'!K26</f>
        <v>0</v>
      </c>
      <c r="L603" s="2887">
        <f>'Part V-Utility Allowances'!L26</f>
        <v>0</v>
      </c>
      <c r="M603" s="2887">
        <f>'Part V-Utility Allowances'!M26</f>
        <v>0</v>
      </c>
    </row>
    <row r="604" spans="1:13">
      <c r="B604" s="926" t="s">
        <v>1674</v>
      </c>
      <c r="D604" s="2795" t="str">
        <f>'Part V-Utility Allowances'!D27</f>
        <v>&lt;&lt;Select Fuel &gt;&gt;</v>
      </c>
      <c r="E604" s="2795"/>
      <c r="F604" s="2890">
        <f>'Part V-Utility Allowances'!F27</f>
        <v>0</v>
      </c>
      <c r="G604" s="2890">
        <f>'Part V-Utility Allowances'!G27</f>
        <v>0</v>
      </c>
      <c r="I604" s="2887">
        <f>'Part V-Utility Allowances'!I27</f>
        <v>0</v>
      </c>
      <c r="J604" s="2887">
        <f>'Part V-Utility Allowances'!J27</f>
        <v>0</v>
      </c>
      <c r="K604" s="2887">
        <f>'Part V-Utility Allowances'!K27</f>
        <v>0</v>
      </c>
      <c r="L604" s="2887">
        <f>'Part V-Utility Allowances'!L27</f>
        <v>0</v>
      </c>
      <c r="M604" s="2887">
        <f>'Part V-Utility Allowances'!M27</f>
        <v>0</v>
      </c>
    </row>
    <row r="605" spans="1:13">
      <c r="B605" s="926" t="s">
        <v>1675</v>
      </c>
      <c r="D605" s="2795" t="str">
        <f>'Part V-Utility Allowances'!D28</f>
        <v>&lt;&lt;Select Fuel &gt;&gt;</v>
      </c>
      <c r="E605" s="2795"/>
      <c r="F605" s="2890">
        <f>'Part V-Utility Allowances'!F28</f>
        <v>0</v>
      </c>
      <c r="G605" s="2890">
        <f>'Part V-Utility Allowances'!G28</f>
        <v>0</v>
      </c>
      <c r="I605" s="2887">
        <f>'Part V-Utility Allowances'!I28</f>
        <v>0</v>
      </c>
      <c r="J605" s="2887">
        <f>'Part V-Utility Allowances'!J28</f>
        <v>0</v>
      </c>
      <c r="K605" s="2887">
        <f>'Part V-Utility Allowances'!K28</f>
        <v>0</v>
      </c>
      <c r="L605" s="2887">
        <f>'Part V-Utility Allowances'!L28</f>
        <v>0</v>
      </c>
      <c r="M605" s="2887">
        <f>'Part V-Utility Allowances'!M28</f>
        <v>0</v>
      </c>
    </row>
    <row r="606" spans="1:13">
      <c r="B606" s="926" t="s">
        <v>1676</v>
      </c>
      <c r="D606" s="926" t="s">
        <v>1673</v>
      </c>
      <c r="F606" s="2890">
        <f>'Part V-Utility Allowances'!F29</f>
        <v>0</v>
      </c>
      <c r="G606" s="2890">
        <f>'Part V-Utility Allowances'!G29</f>
        <v>0</v>
      </c>
      <c r="I606" s="2887">
        <f>'Part V-Utility Allowances'!I29</f>
        <v>0</v>
      </c>
      <c r="J606" s="2887">
        <f>'Part V-Utility Allowances'!J29</f>
        <v>0</v>
      </c>
      <c r="K606" s="2887">
        <f>'Part V-Utility Allowances'!K29</f>
        <v>0</v>
      </c>
      <c r="L606" s="2887">
        <f>'Part V-Utility Allowances'!L29</f>
        <v>0</v>
      </c>
      <c r="M606" s="2887">
        <f>'Part V-Utility Allowances'!M29</f>
        <v>0</v>
      </c>
    </row>
    <row r="607" spans="1:13">
      <c r="B607" s="926" t="s">
        <v>1436</v>
      </c>
      <c r="D607" s="926" t="s">
        <v>4373</v>
      </c>
      <c r="E607" s="2887" t="str">
        <f>'Part V-Utility Allowances'!E30</f>
        <v>&lt;Select&gt;</v>
      </c>
      <c r="F607" s="2890">
        <f>'Part V-Utility Allowances'!F30</f>
        <v>0</v>
      </c>
      <c r="G607" s="2890">
        <f>'Part V-Utility Allowances'!G30</f>
        <v>0</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926" t="s">
        <v>1944</v>
      </c>
      <c r="F608" s="2890">
        <f>'Part V-Utility Allowances'!F31</f>
        <v>0</v>
      </c>
      <c r="G608" s="2890">
        <f>'Part V-Utility Allowances'!G31</f>
        <v>0</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1070</v>
      </c>
      <c r="F609" s="2887"/>
      <c r="G609" s="2887"/>
      <c r="I609" s="2889">
        <f>'Part V-Utility Allowances'!I32</f>
        <v>0</v>
      </c>
      <c r="J609" s="2889">
        <f>'Part V-Utility Allowances'!J32</f>
        <v>0</v>
      </c>
      <c r="K609" s="2889">
        <f>'Part V-Utility Allowances'!K32</f>
        <v>0</v>
      </c>
      <c r="L609" s="2889">
        <f>'Part V-Utility Allowances'!L32</f>
        <v>0</v>
      </c>
      <c r="M609" s="2889">
        <f>'Part V-Utility Allowances'!M32</f>
        <v>0</v>
      </c>
    </row>
    <row r="610" spans="1:266">
      <c r="B610" s="505" t="s">
        <v>4374</v>
      </c>
      <c r="F610" s="2887"/>
      <c r="G610" s="2887"/>
      <c r="I610" s="2889"/>
      <c r="J610" s="2889"/>
      <c r="K610" s="2889"/>
      <c r="L610" s="2889"/>
      <c r="M610" s="2889"/>
    </row>
    <row r="612" spans="1:266">
      <c r="B612" s="2891" t="s">
        <v>1896</v>
      </c>
    </row>
    <row r="614" spans="1:266">
      <c r="A614" s="2885"/>
      <c r="B614" s="2885" t="s">
        <v>599</v>
      </c>
    </row>
    <row r="615" spans="1:266">
      <c r="B615" s="2892" t="str">
        <f>'Part V-Utility Allowances'!B38</f>
        <v>All utiliies will be paid by the owner.</v>
      </c>
      <c r="C615" s="2892"/>
      <c r="D615" s="2892"/>
      <c r="E615" s="2892"/>
      <c r="F615" s="2892"/>
      <c r="G615" s="2892"/>
      <c r="H615" s="2892"/>
      <c r="I615" s="2892"/>
      <c r="J615" s="2892"/>
      <c r="K615" s="2892"/>
      <c r="L615" s="2892"/>
      <c r="M615" s="2892"/>
    </row>
    <row r="617" spans="1:266">
      <c r="A617" s="2885"/>
      <c r="B617" s="2885" t="s">
        <v>1938</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2015-056 Lakeview Apartments, Fort Valley, Peach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2015-056 Lakeview Apartments, Fort Valley, Peach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647</v>
      </c>
      <c r="B623" s="524" t="s">
        <v>2478</v>
      </c>
      <c r="D623" s="525" t="s">
        <v>4574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507</v>
      </c>
      <c r="FB623" s="2895" t="s">
        <v>2561</v>
      </c>
      <c r="FC623" s="2895" t="s">
        <v>2562</v>
      </c>
      <c r="FD623" s="2895" t="s">
        <v>2563</v>
      </c>
      <c r="FE623" s="2895" t="s">
        <v>2564</v>
      </c>
      <c r="FF623" s="2895" t="s">
        <v>507</v>
      </c>
      <c r="FG623" s="2895" t="s">
        <v>2561</v>
      </c>
      <c r="FH623" s="2895" t="s">
        <v>2562</v>
      </c>
      <c r="FI623" s="2895" t="s">
        <v>2563</v>
      </c>
      <c r="FJ623" s="2895" t="s">
        <v>2564</v>
      </c>
      <c r="FK623" s="2896"/>
      <c r="FL623" s="2896"/>
      <c r="FM623" s="2896"/>
      <c r="FN623" s="2896"/>
      <c r="FO623" s="2896"/>
      <c r="FP623" s="2896"/>
      <c r="FQ623" s="2896"/>
      <c r="FR623" s="2896"/>
      <c r="FS623" s="2896"/>
      <c r="FT623" s="2896"/>
      <c r="FU623" s="2895" t="s">
        <v>507</v>
      </c>
      <c r="FV623" s="2895" t="s">
        <v>2561</v>
      </c>
      <c r="FW623" s="2895" t="s">
        <v>2562</v>
      </c>
      <c r="FX623" s="2895" t="s">
        <v>2563</v>
      </c>
      <c r="FY623" s="2895" t="s">
        <v>2564</v>
      </c>
      <c r="FZ623" s="2895" t="s">
        <v>507</v>
      </c>
      <c r="GA623" s="2895" t="s">
        <v>2561</v>
      </c>
      <c r="GB623" s="2895" t="s">
        <v>2562</v>
      </c>
      <c r="GC623" s="2895" t="s">
        <v>2563</v>
      </c>
      <c r="GD623" s="2895" t="s">
        <v>2564</v>
      </c>
      <c r="GE623" s="2895" t="s">
        <v>507</v>
      </c>
      <c r="GF623" s="2895" t="s">
        <v>2561</v>
      </c>
      <c r="GG623" s="2895" t="s">
        <v>2562</v>
      </c>
      <c r="GH623" s="2895" t="s">
        <v>2563</v>
      </c>
      <c r="GI623" s="2895" t="s">
        <v>2564</v>
      </c>
      <c r="GJ623" s="2895" t="s">
        <v>507</v>
      </c>
      <c r="GK623" s="2895" t="s">
        <v>2561</v>
      </c>
      <c r="GL623" s="2895" t="s">
        <v>2562</v>
      </c>
      <c r="GM623" s="2895" t="s">
        <v>2563</v>
      </c>
      <c r="GN623" s="2895" t="s">
        <v>2564</v>
      </c>
      <c r="GO623" s="2895" t="s">
        <v>507</v>
      </c>
      <c r="GP623" s="2895" t="s">
        <v>2561</v>
      </c>
      <c r="GQ623" s="2895" t="s">
        <v>2562</v>
      </c>
      <c r="GR623" s="2895" t="s">
        <v>2563</v>
      </c>
      <c r="GS623" s="2895" t="s">
        <v>2564</v>
      </c>
      <c r="GT623" s="2895" t="s">
        <v>507</v>
      </c>
      <c r="GU623" s="2895" t="s">
        <v>2561</v>
      </c>
      <c r="GV623" s="2895" t="s">
        <v>2562</v>
      </c>
      <c r="GW623" s="2895" t="s">
        <v>2563</v>
      </c>
      <c r="GX623" s="2895" t="s">
        <v>2564</v>
      </c>
      <c r="GY623" s="2895" t="s">
        <v>507</v>
      </c>
      <c r="GZ623" s="2895" t="s">
        <v>2561</v>
      </c>
      <c r="HA623" s="2895" t="s">
        <v>2562</v>
      </c>
      <c r="HB623" s="2895" t="s">
        <v>2563</v>
      </c>
      <c r="HC623" s="2895" t="s">
        <v>2564</v>
      </c>
      <c r="HD623" s="2895" t="s">
        <v>507</v>
      </c>
      <c r="HE623" s="2895" t="s">
        <v>2561</v>
      </c>
      <c r="HF623" s="2895" t="s">
        <v>2562</v>
      </c>
      <c r="HG623" s="2895" t="s">
        <v>2563</v>
      </c>
      <c r="HH623" s="2895" t="s">
        <v>2564</v>
      </c>
      <c r="HI623" s="2895" t="s">
        <v>507</v>
      </c>
      <c r="HJ623" s="2895" t="s">
        <v>2561</v>
      </c>
      <c r="HK623" s="2895" t="s">
        <v>2562</v>
      </c>
      <c r="HL623" s="2895" t="s">
        <v>2563</v>
      </c>
      <c r="HM623" s="2895" t="s">
        <v>2564</v>
      </c>
      <c r="HN623" s="2895" t="s">
        <v>507</v>
      </c>
      <c r="HO623" s="2895" t="s">
        <v>2561</v>
      </c>
      <c r="HP623" s="2895" t="s">
        <v>2562</v>
      </c>
      <c r="HQ623" s="2895" t="s">
        <v>2563</v>
      </c>
      <c r="HR623" s="2895" t="s">
        <v>2564</v>
      </c>
      <c r="HS623" s="2895" t="s">
        <v>507</v>
      </c>
      <c r="HT623" s="2895" t="s">
        <v>2561</v>
      </c>
      <c r="HU623" s="2895" t="s">
        <v>2562</v>
      </c>
      <c r="HV623" s="2895" t="s">
        <v>2563</v>
      </c>
      <c r="HW623" s="2895" t="s">
        <v>2564</v>
      </c>
      <c r="HX623" s="2895" t="s">
        <v>507</v>
      </c>
      <c r="HY623" s="2895" t="s">
        <v>2561</v>
      </c>
      <c r="HZ623" s="2895" t="s">
        <v>2562</v>
      </c>
      <c r="IA623" s="2895" t="s">
        <v>2563</v>
      </c>
      <c r="IB623" s="2895"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3999</v>
      </c>
      <c r="JC623" s="2897" t="s">
        <v>4000</v>
      </c>
      <c r="JD623" s="2897" t="s">
        <v>4001</v>
      </c>
      <c r="JE623" s="2897" t="s">
        <v>4002</v>
      </c>
      <c r="JF623" s="2897" t="s">
        <v>4003</v>
      </c>
    </row>
    <row r="624" spans="1:266" s="521" customFormat="1" ht="6" customHeight="1">
      <c r="B624" s="524"/>
      <c r="D624" s="524"/>
      <c r="P624" s="2898" t="s">
        <v>4036</v>
      </c>
      <c r="Q624" s="2899"/>
      <c r="R624" s="2899"/>
      <c r="S624" s="2899"/>
      <c r="T624" s="2899"/>
      <c r="V624" s="2900" t="s">
        <v>963</v>
      </c>
      <c r="W624" s="2900" t="s">
        <v>796</v>
      </c>
      <c r="X624" s="2900" t="s">
        <v>797</v>
      </c>
      <c r="Y624" s="2900" t="s">
        <v>798</v>
      </c>
      <c r="Z624" s="2900" t="s">
        <v>799</v>
      </c>
      <c r="AA624" s="2900" t="s">
        <v>964</v>
      </c>
      <c r="AB624" s="2900" t="s">
        <v>2419</v>
      </c>
      <c r="AC624" s="2900" t="s">
        <v>2420</v>
      </c>
      <c r="AD624" s="2900" t="s">
        <v>2421</v>
      </c>
      <c r="AE624" s="2900" t="s">
        <v>2422</v>
      </c>
      <c r="AF624" s="2900" t="s">
        <v>965</v>
      </c>
      <c r="AG624" s="2900" t="s">
        <v>2423</v>
      </c>
      <c r="AH624" s="2900" t="s">
        <v>2424</v>
      </c>
      <c r="AI624" s="2900" t="s">
        <v>2425</v>
      </c>
      <c r="AJ624" s="2900" t="s">
        <v>2426</v>
      </c>
      <c r="AK624" s="2900" t="s">
        <v>131</v>
      </c>
      <c r="AL624" s="2900" t="s">
        <v>2427</v>
      </c>
      <c r="AM624" s="2900" t="s">
        <v>2428</v>
      </c>
      <c r="AN624" s="2900" t="s">
        <v>2429</v>
      </c>
      <c r="AO624" s="2900" t="s">
        <v>1203</v>
      </c>
      <c r="AP624" s="2900" t="s">
        <v>580</v>
      </c>
      <c r="AQ624" s="2900" t="s">
        <v>581</v>
      </c>
      <c r="AR624" s="2900" t="s">
        <v>605</v>
      </c>
      <c r="AS624" s="2900" t="s">
        <v>606</v>
      </c>
      <c r="AT624" s="2900" t="s">
        <v>607</v>
      </c>
      <c r="AU624" s="2900" t="s">
        <v>608</v>
      </c>
      <c r="AV624" s="2900" t="s">
        <v>609</v>
      </c>
      <c r="AW624" s="2900" t="s">
        <v>610</v>
      </c>
      <c r="AX624" s="2900" t="s">
        <v>611</v>
      </c>
      <c r="AY624" s="2900" t="s">
        <v>612</v>
      </c>
      <c r="AZ624" s="2900" t="s">
        <v>613</v>
      </c>
      <c r="BA624" s="2900" t="s">
        <v>614</v>
      </c>
      <c r="BB624" s="2900" t="s">
        <v>975</v>
      </c>
      <c r="BC624" s="2900" t="s">
        <v>976</v>
      </c>
      <c r="BD624" s="2900" t="s">
        <v>977</v>
      </c>
      <c r="BE624" s="2900" t="s">
        <v>519</v>
      </c>
      <c r="BF624" s="2900" t="s">
        <v>520</v>
      </c>
      <c r="BG624" s="2900" t="s">
        <v>521</v>
      </c>
      <c r="BH624" s="2900" t="s">
        <v>522</v>
      </c>
      <c r="BI624" s="2900" t="s">
        <v>523</v>
      </c>
      <c r="BJ624" s="2900" t="s">
        <v>923</v>
      </c>
      <c r="BK624" s="2900" t="s">
        <v>924</v>
      </c>
      <c r="BL624" s="2900" t="s">
        <v>925</v>
      </c>
      <c r="BM624" s="2900" t="s">
        <v>926</v>
      </c>
      <c r="BN624" s="2900" t="s">
        <v>927</v>
      </c>
      <c r="BO624" s="2900" t="s">
        <v>928</v>
      </c>
      <c r="BP624" s="2900" t="s">
        <v>929</v>
      </c>
      <c r="BQ624" s="2900" t="s">
        <v>930</v>
      </c>
      <c r="BR624" s="2900" t="s">
        <v>931</v>
      </c>
      <c r="BS624" s="2900" t="s">
        <v>932</v>
      </c>
      <c r="BT624" s="2900" t="s">
        <v>2551</v>
      </c>
      <c r="BU624" s="2900" t="s">
        <v>2552</v>
      </c>
      <c r="BV624" s="2900" t="s">
        <v>2553</v>
      </c>
      <c r="BW624" s="2900" t="s">
        <v>2554</v>
      </c>
      <c r="BX624" s="2900" t="s">
        <v>2555</v>
      </c>
      <c r="BY624" s="2900" t="s">
        <v>119</v>
      </c>
      <c r="BZ624" s="2900" t="s">
        <v>1206</v>
      </c>
      <c r="CA624" s="2900" t="s">
        <v>1207</v>
      </c>
      <c r="CB624" s="2900" t="s">
        <v>1272</v>
      </c>
      <c r="CC624" s="2900" t="s">
        <v>1273</v>
      </c>
      <c r="CD624" s="2897" t="s">
        <v>134</v>
      </c>
      <c r="CE624" s="2897" t="s">
        <v>1274</v>
      </c>
      <c r="CF624" s="2897" t="s">
        <v>1275</v>
      </c>
      <c r="CG624" s="2897" t="s">
        <v>1276</v>
      </c>
      <c r="CH624" s="2897" t="s">
        <v>1277</v>
      </c>
      <c r="CI624" s="2897" t="s">
        <v>133</v>
      </c>
      <c r="CJ624" s="2897" t="s">
        <v>955</v>
      </c>
      <c r="CK624" s="2897" t="s">
        <v>956</v>
      </c>
      <c r="CL624" s="2897" t="s">
        <v>957</v>
      </c>
      <c r="CM624" s="2897" t="s">
        <v>958</v>
      </c>
      <c r="CN624" s="2897" t="s">
        <v>132</v>
      </c>
      <c r="CO624" s="2897" t="s">
        <v>959</v>
      </c>
      <c r="CP624" s="2897" t="s">
        <v>960</v>
      </c>
      <c r="CQ624" s="2897" t="s">
        <v>961</v>
      </c>
      <c r="CR624" s="2897" t="s">
        <v>962</v>
      </c>
      <c r="CS624" s="2897" t="s">
        <v>851</v>
      </c>
      <c r="CT624" s="2897" t="s">
        <v>852</v>
      </c>
      <c r="CU624" s="2897" t="s">
        <v>853</v>
      </c>
      <c r="CV624" s="2897" t="s">
        <v>854</v>
      </c>
      <c r="CW624" s="2897" t="s">
        <v>855</v>
      </c>
      <c r="CX624" s="2897" t="s">
        <v>1002</v>
      </c>
      <c r="CY624" s="2897" t="s">
        <v>1003</v>
      </c>
      <c r="CZ624" s="2897" t="s">
        <v>1004</v>
      </c>
      <c r="DA624" s="2897" t="s">
        <v>1005</v>
      </c>
      <c r="DB624" s="2897" t="s">
        <v>2550</v>
      </c>
      <c r="DC624" s="2897" t="s">
        <v>1505</v>
      </c>
      <c r="DD624" s="2897" t="s">
        <v>1506</v>
      </c>
      <c r="DE624" s="2897" t="s">
        <v>1507</v>
      </c>
      <c r="DF624" s="2897" t="s">
        <v>1508</v>
      </c>
      <c r="DG624" s="2897" t="s">
        <v>1509</v>
      </c>
      <c r="DH624" s="2897" t="s">
        <v>453</v>
      </c>
      <c r="DI624" s="2897" t="s">
        <v>454</v>
      </c>
      <c r="DJ624" s="2897" t="s">
        <v>455</v>
      </c>
      <c r="DK624" s="2897" t="s">
        <v>456</v>
      </c>
      <c r="DL624" s="2897" t="s">
        <v>457</v>
      </c>
      <c r="DM624" s="2897" t="s">
        <v>18</v>
      </c>
      <c r="DN624" s="2897" t="s">
        <v>19</v>
      </c>
      <c r="DO624" s="2897" t="s">
        <v>20</v>
      </c>
      <c r="DP624" s="2897" t="s">
        <v>21</v>
      </c>
      <c r="DQ624" s="2897" t="s">
        <v>22</v>
      </c>
      <c r="DR624" s="2897" t="s">
        <v>231</v>
      </c>
      <c r="DS624" s="2897" t="s">
        <v>232</v>
      </c>
      <c r="DT624" s="2897" t="s">
        <v>233</v>
      </c>
      <c r="DU624" s="2897" t="s">
        <v>1902</v>
      </c>
      <c r="DV624" s="2897" t="s">
        <v>1903</v>
      </c>
      <c r="DW624" s="2897" t="s">
        <v>1904</v>
      </c>
      <c r="DX624" s="2897" t="s">
        <v>621</v>
      </c>
      <c r="DY624" s="2897" t="s">
        <v>622</v>
      </c>
      <c r="DZ624" s="2897" t="s">
        <v>623</v>
      </c>
      <c r="EA624" s="2897" t="s">
        <v>624</v>
      </c>
      <c r="EB624" s="2897" t="s">
        <v>23</v>
      </c>
      <c r="EC624" s="2897" t="s">
        <v>24</v>
      </c>
      <c r="ED624" s="2897" t="s">
        <v>25</v>
      </c>
      <c r="EE624" s="2897" t="s">
        <v>26</v>
      </c>
      <c r="EF624" s="2897" t="s">
        <v>27</v>
      </c>
      <c r="EG624" s="2897" t="s">
        <v>518</v>
      </c>
      <c r="EH624" s="2897" t="s">
        <v>449</v>
      </c>
      <c r="EI624" s="2897" t="s">
        <v>450</v>
      </c>
      <c r="EJ624" s="2897" t="s">
        <v>451</v>
      </c>
      <c r="EK624" s="2897" t="s">
        <v>452</v>
      </c>
      <c r="EL624" s="2897" t="s">
        <v>2313</v>
      </c>
      <c r="EM624" s="2897" t="s">
        <v>2314</v>
      </c>
      <c r="EN624" s="2897" t="s">
        <v>2315</v>
      </c>
      <c r="EO624" s="2897" t="s">
        <v>1555</v>
      </c>
      <c r="EP624" s="2897" t="s">
        <v>1556</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1703</v>
      </c>
      <c r="ID624" s="2897" t="s">
        <v>2650</v>
      </c>
      <c r="IE624" s="2897" t="s">
        <v>2651</v>
      </c>
      <c r="IF624" s="2897" t="s">
        <v>400</v>
      </c>
      <c r="IG624" s="2897" t="s">
        <v>401</v>
      </c>
      <c r="IH624" s="2897" t="s">
        <v>402</v>
      </c>
      <c r="II624" s="2897" t="s">
        <v>403</v>
      </c>
      <c r="IJ624" s="2897" t="s">
        <v>404</v>
      </c>
      <c r="IK624" s="2897" t="s">
        <v>405</v>
      </c>
      <c r="IL624" s="2897" t="s">
        <v>406</v>
      </c>
      <c r="IM624" s="2897" t="s">
        <v>208</v>
      </c>
      <c r="IN624" s="2897" t="s">
        <v>209</v>
      </c>
      <c r="IO624" s="2897" t="s">
        <v>210</v>
      </c>
      <c r="IP624" s="2897" t="s">
        <v>211</v>
      </c>
      <c r="IQ624" s="2897" t="s">
        <v>212</v>
      </c>
      <c r="IR624" s="2897" t="s">
        <v>213</v>
      </c>
      <c r="IS624" s="2897" t="s">
        <v>214</v>
      </c>
      <c r="IT624" s="2897" t="s">
        <v>215</v>
      </c>
      <c r="IU624" s="2897" t="s">
        <v>216</v>
      </c>
      <c r="IV624" s="2897" t="s">
        <v>217</v>
      </c>
      <c r="IW624" s="2897" t="s">
        <v>218</v>
      </c>
      <c r="IX624" s="2897" t="s">
        <v>219</v>
      </c>
      <c r="IY624" s="2897" t="s">
        <v>220</v>
      </c>
      <c r="IZ624" s="2897" t="s">
        <v>221</v>
      </c>
      <c r="JA624" s="2897" t="s">
        <v>222</v>
      </c>
      <c r="JB624" s="2897"/>
      <c r="JC624" s="2897"/>
      <c r="JD624" s="2897"/>
      <c r="JE624" s="2897"/>
      <c r="JF624" s="2897"/>
    </row>
    <row r="625" spans="1:276" s="521" customFormat="1" ht="13.15" customHeight="1">
      <c r="A625" s="2901" t="str">
        <f>IF(A668&gt;0,"Finish Row!","")</f>
        <v/>
      </c>
      <c r="B625" s="524" t="s">
        <v>1939</v>
      </c>
      <c r="E625" s="524"/>
      <c r="G625" s="2893">
        <f>'Part VI-Revenues &amp; Expenses'!G5</f>
        <v>0</v>
      </c>
      <c r="M625" s="2884" t="s">
        <v>604</v>
      </c>
      <c r="O625" s="2902" t="s">
        <v>1085</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3994</v>
      </c>
      <c r="JH625" s="2903" t="s">
        <v>3995</v>
      </c>
      <c r="JI625" s="2903" t="s">
        <v>3996</v>
      </c>
      <c r="JJ625" s="2903" t="s">
        <v>3997</v>
      </c>
      <c r="JK625" s="2903" t="s">
        <v>3998</v>
      </c>
      <c r="JL625" s="2897" t="s">
        <v>4008</v>
      </c>
      <c r="JM625" s="2897" t="s">
        <v>4010</v>
      </c>
      <c r="JN625" s="2897" t="s">
        <v>4011</v>
      </c>
      <c r="JO625" s="2897" t="s">
        <v>4012</v>
      </c>
      <c r="JP625" s="2897" t="s">
        <v>4013</v>
      </c>
    </row>
    <row r="626" spans="1:276" s="521" customFormat="1" ht="13.15" customHeight="1">
      <c r="A626" s="2901"/>
      <c r="B626" s="2904" t="s">
        <v>1895</v>
      </c>
      <c r="E626" s="524"/>
      <c r="G626" s="2893" t="str">
        <f>'Part VI-Revenues &amp; Expenses'!G6</f>
        <v>Yes</v>
      </c>
      <c r="J626" s="2905" t="s">
        <v>2524</v>
      </c>
      <c r="M626" s="2906" t="str">
        <f>'Part I-Project Information'!$O$30</f>
        <v>Peach Co.</v>
      </c>
      <c r="N626" s="2906"/>
      <c r="O626" s="2907">
        <f>VLOOKUP('Part I-Project Information'!$O$30,'DCA Underwriting Assumptions'!$C$127:$D$237,2)</f>
        <v>54100</v>
      </c>
      <c r="P626" s="2898"/>
      <c r="R626" s="2883" t="s">
        <v>2860</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2525</v>
      </c>
      <c r="P627" s="2898"/>
      <c r="Q627" s="2899"/>
      <c r="R627" s="2908"/>
      <c r="S627" s="2909" t="s">
        <v>2857</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592</v>
      </c>
      <c r="FV627" s="2887" t="s">
        <v>2561</v>
      </c>
      <c r="FW627" s="2887" t="s">
        <v>2562</v>
      </c>
      <c r="FX627" s="2887" t="s">
        <v>2563</v>
      </c>
      <c r="FY627" s="2887" t="s">
        <v>2564</v>
      </c>
      <c r="FZ627" s="2887" t="s">
        <v>592</v>
      </c>
      <c r="GA627" s="2887" t="s">
        <v>2561</v>
      </c>
      <c r="GB627" s="2887" t="s">
        <v>2562</v>
      </c>
      <c r="GC627" s="2887" t="s">
        <v>2563</v>
      </c>
      <c r="GD627" s="2887" t="s">
        <v>2564</v>
      </c>
      <c r="GE627" s="2887" t="s">
        <v>592</v>
      </c>
      <c r="GF627" s="2887" t="s">
        <v>2561</v>
      </c>
      <c r="GG627" s="2887" t="s">
        <v>2562</v>
      </c>
      <c r="GH627" s="2887" t="s">
        <v>2563</v>
      </c>
      <c r="GI627" s="2887" t="s">
        <v>2564</v>
      </c>
      <c r="GJ627" s="2887" t="s">
        <v>592</v>
      </c>
      <c r="GK627" s="2887" t="s">
        <v>2561</v>
      </c>
      <c r="GL627" s="2887" t="s">
        <v>2562</v>
      </c>
      <c r="GM627" s="2887" t="s">
        <v>2563</v>
      </c>
      <c r="GN627" s="2887" t="s">
        <v>2564</v>
      </c>
      <c r="GO627" s="2887" t="s">
        <v>592</v>
      </c>
      <c r="GP627" s="2887" t="s">
        <v>2561</v>
      </c>
      <c r="GQ627" s="2887" t="s">
        <v>2562</v>
      </c>
      <c r="GR627" s="2887" t="s">
        <v>2563</v>
      </c>
      <c r="GS627" s="2887" t="s">
        <v>2564</v>
      </c>
      <c r="GT627" s="2887" t="s">
        <v>592</v>
      </c>
      <c r="GU627" s="2887" t="s">
        <v>2561</v>
      </c>
      <c r="GV627" s="2887" t="s">
        <v>2562</v>
      </c>
      <c r="GW627" s="2887" t="s">
        <v>2563</v>
      </c>
      <c r="GX627" s="2887" t="s">
        <v>2564</v>
      </c>
      <c r="GY627" s="2887" t="s">
        <v>592</v>
      </c>
      <c r="GZ627" s="2887" t="s">
        <v>2561</v>
      </c>
      <c r="HA627" s="2887" t="s">
        <v>2562</v>
      </c>
      <c r="HB627" s="2887" t="s">
        <v>2563</v>
      </c>
      <c r="HC627" s="2887" t="s">
        <v>2564</v>
      </c>
      <c r="HD627" s="2887" t="s">
        <v>592</v>
      </c>
      <c r="HE627" s="2887" t="s">
        <v>2561</v>
      </c>
      <c r="HF627" s="2887" t="s">
        <v>2562</v>
      </c>
      <c r="HG627" s="2887" t="s">
        <v>2563</v>
      </c>
      <c r="HH627" s="2887" t="s">
        <v>2564</v>
      </c>
      <c r="HI627" s="2887" t="s">
        <v>507</v>
      </c>
      <c r="HJ627" s="2887" t="s">
        <v>2561</v>
      </c>
      <c r="HK627" s="2887" t="s">
        <v>2562</v>
      </c>
      <c r="HL627" s="2887" t="s">
        <v>2563</v>
      </c>
      <c r="HM627" s="2887" t="s">
        <v>2564</v>
      </c>
      <c r="HN627" s="2887" t="s">
        <v>507</v>
      </c>
      <c r="HO627" s="2887" t="s">
        <v>2561</v>
      </c>
      <c r="HP627" s="2887" t="s">
        <v>2562</v>
      </c>
      <c r="HQ627" s="2887" t="s">
        <v>2563</v>
      </c>
      <c r="HR627" s="2887" t="s">
        <v>2564</v>
      </c>
      <c r="HS627" s="2887" t="s">
        <v>507</v>
      </c>
      <c r="HT627" s="2887" t="s">
        <v>2561</v>
      </c>
      <c r="HU627" s="2887" t="s">
        <v>2562</v>
      </c>
      <c r="HV627" s="2887" t="s">
        <v>2563</v>
      </c>
      <c r="HW627" s="2887" t="s">
        <v>2564</v>
      </c>
      <c r="HX627" s="2887" t="s">
        <v>507</v>
      </c>
      <c r="HY627" s="2887" t="s">
        <v>2561</v>
      </c>
      <c r="HZ627" s="2887" t="s">
        <v>2562</v>
      </c>
      <c r="IA627" s="2887" t="s">
        <v>2563</v>
      </c>
      <c r="IB627" s="2887" t="s">
        <v>2564</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1554</v>
      </c>
      <c r="C628" s="2905" t="s">
        <v>177</v>
      </c>
      <c r="D628" s="2905" t="s">
        <v>569</v>
      </c>
      <c r="E628" s="2905" t="s">
        <v>1552</v>
      </c>
      <c r="F628" s="2905" t="s">
        <v>1552</v>
      </c>
      <c r="G628" s="2905" t="s">
        <v>2503</v>
      </c>
      <c r="H628" s="2905" t="s">
        <v>2501</v>
      </c>
      <c r="I628" s="2905" t="s">
        <v>840</v>
      </c>
      <c r="J628" s="2905" t="s">
        <v>4575</v>
      </c>
      <c r="K628" s="2911" t="s">
        <v>147</v>
      </c>
      <c r="L628" s="2911"/>
      <c r="M628" s="2905" t="s">
        <v>2479</v>
      </c>
      <c r="N628" s="2905" t="s">
        <v>556</v>
      </c>
      <c r="O628" s="2905" t="s">
        <v>397</v>
      </c>
      <c r="P628" s="2898"/>
      <c r="Q628" s="2912"/>
      <c r="R628" s="2905" t="s">
        <v>2856</v>
      </c>
      <c r="S628" s="2905" t="s">
        <v>2858</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1536</v>
      </c>
      <c r="EW628" s="2887" t="s">
        <v>2561</v>
      </c>
      <c r="EX628" s="2887" t="s">
        <v>2562</v>
      </c>
      <c r="EY628" s="2887" t="s">
        <v>2563</v>
      </c>
      <c r="EZ628" s="2887" t="s">
        <v>2564</v>
      </c>
      <c r="FA628" s="2897" t="s">
        <v>2620</v>
      </c>
      <c r="FB628" s="2897" t="s">
        <v>2620</v>
      </c>
      <c r="FC628" s="2897" t="s">
        <v>2620</v>
      </c>
      <c r="FD628" s="2897" t="s">
        <v>2620</v>
      </c>
      <c r="FE628" s="2897" t="s">
        <v>2620</v>
      </c>
      <c r="FF628" s="2897" t="s">
        <v>3823</v>
      </c>
      <c r="FG628" s="2897" t="s">
        <v>3823</v>
      </c>
      <c r="FH628" s="2897" t="s">
        <v>3823</v>
      </c>
      <c r="FI628" s="2897" t="s">
        <v>3823</v>
      </c>
      <c r="FJ628" s="2897" t="s">
        <v>3823</v>
      </c>
      <c r="FK628" s="2887" t="s">
        <v>592</v>
      </c>
      <c r="FL628" s="2887" t="s">
        <v>2561</v>
      </c>
      <c r="FM628" s="2887" t="s">
        <v>2562</v>
      </c>
      <c r="FN628" s="2887" t="s">
        <v>2563</v>
      </c>
      <c r="FO628" s="2887" t="s">
        <v>2564</v>
      </c>
      <c r="FP628" s="2887" t="s">
        <v>592</v>
      </c>
      <c r="FQ628" s="2887" t="s">
        <v>2561</v>
      </c>
      <c r="FR628" s="2887" t="s">
        <v>2562</v>
      </c>
      <c r="FS628" s="2887" t="s">
        <v>2563</v>
      </c>
      <c r="FT628" s="2887" t="s">
        <v>2564</v>
      </c>
      <c r="FU628" s="2897" t="s">
        <v>2622</v>
      </c>
      <c r="FV628" s="2897" t="s">
        <v>2622</v>
      </c>
      <c r="FW628" s="2897" t="s">
        <v>2622</v>
      </c>
      <c r="FX628" s="2897" t="s">
        <v>2622</v>
      </c>
      <c r="FY628" s="2897" t="s">
        <v>2622</v>
      </c>
      <c r="FZ628" s="2897" t="s">
        <v>3819</v>
      </c>
      <c r="GA628" s="2897" t="s">
        <v>3819</v>
      </c>
      <c r="GB628" s="2897" t="s">
        <v>3819</v>
      </c>
      <c r="GC628" s="2897" t="s">
        <v>3819</v>
      </c>
      <c r="GD628" s="2897" t="s">
        <v>3819</v>
      </c>
      <c r="GE628" s="2897" t="s">
        <v>372</v>
      </c>
      <c r="GF628" s="2897" t="s">
        <v>372</v>
      </c>
      <c r="GG628" s="2897" t="s">
        <v>372</v>
      </c>
      <c r="GH628" s="2897" t="s">
        <v>372</v>
      </c>
      <c r="GI628" s="2897" t="s">
        <v>372</v>
      </c>
      <c r="GJ628" s="2897" t="s">
        <v>3818</v>
      </c>
      <c r="GK628" s="2897" t="s">
        <v>3818</v>
      </c>
      <c r="GL628" s="2897" t="s">
        <v>3818</v>
      </c>
      <c r="GM628" s="2897" t="s">
        <v>3818</v>
      </c>
      <c r="GN628" s="2897" t="s">
        <v>3818</v>
      </c>
      <c r="GO628" s="2897" t="s">
        <v>373</v>
      </c>
      <c r="GP628" s="2897" t="s">
        <v>373</v>
      </c>
      <c r="GQ628" s="2897" t="s">
        <v>373</v>
      </c>
      <c r="GR628" s="2897" t="s">
        <v>373</v>
      </c>
      <c r="GS628" s="2897" t="s">
        <v>373</v>
      </c>
      <c r="GT628" s="2897" t="s">
        <v>3817</v>
      </c>
      <c r="GU628" s="2897" t="s">
        <v>3817</v>
      </c>
      <c r="GV628" s="2897" t="s">
        <v>3817</v>
      </c>
      <c r="GW628" s="2897" t="s">
        <v>3817</v>
      </c>
      <c r="GX628" s="2897" t="s">
        <v>3817</v>
      </c>
      <c r="GY628" s="2897" t="s">
        <v>374</v>
      </c>
      <c r="GZ628" s="2897" t="s">
        <v>374</v>
      </c>
      <c r="HA628" s="2897" t="s">
        <v>374</v>
      </c>
      <c r="HB628" s="2897" t="s">
        <v>374</v>
      </c>
      <c r="HC628" s="2897" t="s">
        <v>374</v>
      </c>
      <c r="HD628" s="2897" t="s">
        <v>3820</v>
      </c>
      <c r="HE628" s="2897" t="s">
        <v>3820</v>
      </c>
      <c r="HF628" s="2897" t="s">
        <v>3820</v>
      </c>
      <c r="HG628" s="2897" t="s">
        <v>3820</v>
      </c>
      <c r="HH628" s="2897" t="s">
        <v>3820</v>
      </c>
      <c r="HI628" s="2897" t="s">
        <v>375</v>
      </c>
      <c r="HJ628" s="2897" t="s">
        <v>375</v>
      </c>
      <c r="HK628" s="2897" t="s">
        <v>375</v>
      </c>
      <c r="HL628" s="2897" t="s">
        <v>375</v>
      </c>
      <c r="HM628" s="2897" t="s">
        <v>375</v>
      </c>
      <c r="HN628" s="2897" t="s">
        <v>3821</v>
      </c>
      <c r="HO628" s="2897" t="s">
        <v>3821</v>
      </c>
      <c r="HP628" s="2897" t="s">
        <v>3821</v>
      </c>
      <c r="HQ628" s="2897" t="s">
        <v>3821</v>
      </c>
      <c r="HR628" s="2897" t="s">
        <v>3821</v>
      </c>
      <c r="HS628" s="2897" t="s">
        <v>1535</v>
      </c>
      <c r="HT628" s="2897" t="s">
        <v>1535</v>
      </c>
      <c r="HU628" s="2897" t="s">
        <v>1535</v>
      </c>
      <c r="HV628" s="2897" t="s">
        <v>1535</v>
      </c>
      <c r="HW628" s="2897" t="s">
        <v>1535</v>
      </c>
      <c r="HX628" s="2897" t="s">
        <v>3822</v>
      </c>
      <c r="HY628" s="2897" t="s">
        <v>3822</v>
      </c>
      <c r="HZ628" s="2897" t="s">
        <v>3822</v>
      </c>
      <c r="IA628" s="2897" t="s">
        <v>3822</v>
      </c>
      <c r="IB628" s="2897" t="s">
        <v>3822</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1361</v>
      </c>
      <c r="C629" s="2905" t="s">
        <v>176</v>
      </c>
      <c r="D629" s="2905" t="s">
        <v>178</v>
      </c>
      <c r="E629" s="2905" t="s">
        <v>1553</v>
      </c>
      <c r="F629" s="2905" t="s">
        <v>1339</v>
      </c>
      <c r="G629" s="2905" t="s">
        <v>1340</v>
      </c>
      <c r="H629" s="2905" t="s">
        <v>2502</v>
      </c>
      <c r="I629" s="2905" t="s">
        <v>841</v>
      </c>
      <c r="J629" s="2913" t="s">
        <v>363</v>
      </c>
      <c r="K629" s="2905" t="s">
        <v>1606</v>
      </c>
      <c r="L629" s="2905" t="s">
        <v>563</v>
      </c>
      <c r="M629" s="2905" t="s">
        <v>1552</v>
      </c>
      <c r="N629" s="2905" t="s">
        <v>3766</v>
      </c>
      <c r="O629" s="2905" t="s">
        <v>398</v>
      </c>
      <c r="P629" s="2898"/>
      <c r="Q629" s="2905" t="s">
        <v>1090</v>
      </c>
      <c r="R629" s="2905" t="s">
        <v>1554</v>
      </c>
      <c r="S629" s="2905" t="s">
        <v>2859</v>
      </c>
      <c r="T629" s="2792" t="s">
        <v>1938</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2619</v>
      </c>
      <c r="EX629" s="2887" t="s">
        <v>2619</v>
      </c>
      <c r="EY629" s="2887" t="s">
        <v>2619</v>
      </c>
      <c r="EZ629" s="2887" t="s">
        <v>2619</v>
      </c>
      <c r="FA629" s="2897"/>
      <c r="FB629" s="2897"/>
      <c r="FC629" s="2897"/>
      <c r="FD629" s="2897"/>
      <c r="FE629" s="2897"/>
      <c r="FF629" s="2897"/>
      <c r="FG629" s="2897"/>
      <c r="FH629" s="2897"/>
      <c r="FI629" s="2897"/>
      <c r="FJ629" s="2897"/>
      <c r="FK629" s="2887" t="s">
        <v>2621</v>
      </c>
      <c r="FL629" s="2887" t="s">
        <v>2621</v>
      </c>
      <c r="FM629" s="2887" t="s">
        <v>2621</v>
      </c>
      <c r="FN629" s="2887" t="s">
        <v>2621</v>
      </c>
      <c r="FO629" s="2887" t="s">
        <v>2621</v>
      </c>
      <c r="FP629" s="2887" t="s">
        <v>3824</v>
      </c>
      <c r="FQ629" s="2887" t="s">
        <v>3824</v>
      </c>
      <c r="FR629" s="2887" t="s">
        <v>3824</v>
      </c>
      <c r="FS629" s="2887" t="s">
        <v>3824</v>
      </c>
      <c r="FT629" s="2887" t="s">
        <v>3824</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50% AMI</v>
      </c>
      <c r="C630" s="2915" t="str">
        <f>'Part VI-Revenues &amp; Expenses'!C10</f>
        <v>Efficiency</v>
      </c>
      <c r="D630" s="2916">
        <f>'Part VI-Revenues &amp; Expenses'!D10</f>
        <v>1</v>
      </c>
      <c r="E630" s="2917">
        <f>'Part VI-Revenues &amp; Expenses'!E10</f>
        <v>2</v>
      </c>
      <c r="F630" s="2917">
        <f>'Part VI-Revenues &amp; Expenses'!F10</f>
        <v>506</v>
      </c>
      <c r="G630" s="2917">
        <f>'Part VI-Revenues &amp; Expenses'!G10</f>
        <v>473</v>
      </c>
      <c r="H630" s="2917">
        <f>'Part VI-Revenues &amp; Expenses'!H10</f>
        <v>512</v>
      </c>
      <c r="I630" s="2917">
        <f>'Part VI-Revenues &amp; Expenses'!I10</f>
        <v>0</v>
      </c>
      <c r="J630" s="2918" t="str">
        <f>'Part VI-Revenues &amp; Expenses'!J10</f>
        <v>HUD</v>
      </c>
      <c r="K630" s="2919">
        <f t="shared" ref="K630:K667" si="1">MAX(0,H630-I630)</f>
        <v>512</v>
      </c>
      <c r="L630" s="2919">
        <f t="shared" ref="L630:L667" si="2">MAX(0,E630*K630)</f>
        <v>1024</v>
      </c>
      <c r="M630" s="2896" t="str">
        <f>'Part VI-Revenues &amp; Expenses'!M10</f>
        <v>No</v>
      </c>
      <c r="N630" s="2896" t="str">
        <f>'Part VI-Revenues &amp; Expenses'!N10</f>
        <v>2-Story Walkup</v>
      </c>
      <c r="O630" s="2896" t="str">
        <f>'Part VI-Revenues &amp; Expenses'!O10</f>
        <v>Acquisition/Rehab</v>
      </c>
      <c r="P630" s="2896" t="str">
        <f>'Part VI-Revenues &amp; Expenses'!P10</f>
        <v>No</v>
      </c>
      <c r="Q630" s="2920" t="e">
        <f>IF(H630="","",P630/($O$626*VLOOKUP(C630,'DCA Underwriting Assumptions'!$J$118:$K$123,2,FALSE)))</f>
        <v>#VALUE!</v>
      </c>
      <c r="R630" s="2921"/>
      <c r="S630" s="2920"/>
      <c r="T630" s="2847">
        <f>'Part VI-Revenues &amp; Expenses'!U10</f>
        <v>0</v>
      </c>
      <c r="U630" s="2922"/>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f t="shared" ref="AA630:AA667" si="8">IF(AND(C630="Efficiency",B630="50% AMI",NOT(M630="Common")),E630,"")</f>
        <v>2</v>
      </c>
      <c r="AB630" s="926" t="str">
        <f t="shared" ref="AB630:AB667" si="9">IF(AND(C630=1,B630="50% AMI",NOT(M630="Common")),E630,"")</f>
        <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f t="shared" ref="AU630:AU667" si="28">IF(OR(AND($C630="Efficiency",NOT($J630=""),NOT($J630="PHA Oper Sub"),NOT($J630=0),$B630="50% AMI",NOT($M630="Common")),AND($C630="Efficiency",NOT($J630=""),NOT($J630=0),NOT($J630="PHA Oper Sub"),$B630="HOME 50% AMI",NOT($M630="Common"))),$E630,"")</f>
        <v>2</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f t="shared" ref="CD630:CD667" si="63">IF(OR(AND(C630="Efficiency",B630="50% AMI",NOT(M630="Common")),AND(C630="Efficiency",B630="HOME 50% AMI",NOT(M630="Common"))),E630*F630,"")</f>
        <v>1012</v>
      </c>
      <c r="CE630" s="926" t="str">
        <f t="shared" ref="CE630:CE667" si="64">IF(OR(AND(C630=1,B630="50% AMI",NOT(M630="Common")),AND(C630=1,B630="HOME 50% AMI",NOT(M630="Common"))),E630*F630,"")</f>
        <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f t="shared" ref="CS630:CS667" si="78">IF(AND(C630="Efficiency",NOT(J630=""),NOT($J630=0),NOT(M630="Common")),E630*F630,"")</f>
        <v>1012</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t="str">
        <f t="shared" ref="DD630:DD667" si="89">IF(AND($C630=1, $O630="New Construction",NOT($B630="Unrestricted"),NOT($B630="NSP 120% AMI"),NOT($B630="N/A-CS"),NOT($M630="Common")),$E630,"")</f>
        <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f t="shared" ref="DR630:DR667" si="103">IF(AND($C630="Efficiency", $O630="Acquisition/Rehab",NOT($B630="Unrestricted"),NOT($B630="NSP 120% AMI"),NOT($B630="N/A-CS"),NOT($M630="Common")),$E630,"")</f>
        <v>2</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3">
        <f t="shared" ref="EV630:EV667" si="133">IF(AND($C630="Efficiency", NOT(OR($N630="SF Detached",$N630="Mfd Home",$N630="Duplex",$N630="Townhome"))),$E630,"")</f>
        <v>2</v>
      </c>
      <c r="EW630" s="2923" t="str">
        <f t="shared" ref="EW630:EW667" si="134">IF(AND($C630=1, NOT(OR($N630="SF Detached",$N630="Mfd Home",$N630="Duplex",$N630="Townhome"))),$E630,"")</f>
        <v/>
      </c>
      <c r="EX630" s="2923" t="str">
        <f t="shared" ref="EX630:EX667" si="135">IF(AND($C630=2, NOT(OR($N630="SF Detached",$N630="Mfd Home",$N630="Duplex",$N630="Townhome"))),$E630,"")</f>
        <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f t="shared" ref="HI630:HI667" si="198">IF(AND($C630="Efficiency", $N630="2-Story Walkup",NOT($P630="Yes")),$E630,"")</f>
        <v>2</v>
      </c>
      <c r="HJ630" s="2923" t="str">
        <f t="shared" ref="HJ630:HJ667" si="199">IF(AND($C630=1, $N630="2-Story Walkup",NOT($P630="Yes")),$E630,"")</f>
        <v/>
      </c>
      <c r="HK630" s="2923" t="str">
        <f t="shared" ref="HK630:HK667" si="200">IF(AND($C630=2, $N630="2-Story Walkup",NOT($P630="Yes")),$E630,"")</f>
        <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t="str">
        <f t="shared" ref="HS630:HS667" si="208">IF(AND($C630="Efficiency", $N630="3+ Story",NOT($P630="Yes")),$E630,"")</f>
        <v/>
      </c>
      <c r="HT630" s="2923" t="str">
        <f t="shared" ref="HT630:HT667" si="209">IF(AND($C630=1, $N630="3+ Story",NOT($P630="Yes")),$E630,"")</f>
        <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NOT($M630="Common")),$E630,"")</f>
        <v/>
      </c>
      <c r="ID630" s="2889" t="str">
        <f t="shared" ref="ID630:ID667" si="219">IF(AND($B630="NSP 120% AMI",$C630=1,NOT($M630="Common")),$E630,"")</f>
        <v/>
      </c>
      <c r="IE630" s="2889" t="str">
        <f t="shared" ref="IE630:IE667" si="220">IF(AND($B630="NSP 120% AMI",$C630=2,NOT($M630="Common")),$E630,"")</f>
        <v/>
      </c>
      <c r="IF630" s="2889" t="str">
        <f t="shared" ref="IF630:IF667" si="221">IF(AND($B630="NSP 120% AMI",$C630=3,NOT($M630="Common")),$E630,"")</f>
        <v/>
      </c>
      <c r="IG630" s="2889"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7">
        <f>IF(AND($C630="Efficiency",$E630&gt;0,OR($N630="1-Story",$N630="2-Story",$N630="3+ Story",$N630="2-Story Walkup",$N630="Townhome"),OR($O630="Acquisition/Rehab",$O630="Rehabilitation"),NOT($P630="Yes")),$E630,0)</f>
        <v>2</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0</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0</v>
      </c>
      <c r="JH630" s="2887">
        <f>IF(AND($C630=1,$E630&gt;0,OR($N630="1-Story",$N630="2-Story",$N630="3+ Story",$N630="2-Story Walkup",$N630="Townhome"),$O630="New Construction"),$E630,0)</f>
        <v>0</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60% AMI</v>
      </c>
      <c r="C631" s="2915" t="str">
        <f>'Part VI-Revenues &amp; Expenses'!C11</f>
        <v>Efficiency</v>
      </c>
      <c r="D631" s="2916">
        <f>'Part VI-Revenues &amp; Expenses'!D11</f>
        <v>1</v>
      </c>
      <c r="E631" s="2917">
        <f>'Part VI-Revenues &amp; Expenses'!E11</f>
        <v>8</v>
      </c>
      <c r="F631" s="2917">
        <f>'Part VI-Revenues &amp; Expenses'!F11</f>
        <v>506</v>
      </c>
      <c r="G631" s="2917">
        <f>'Part VI-Revenues &amp; Expenses'!G11</f>
        <v>568</v>
      </c>
      <c r="H631" s="2917">
        <f>'Part VI-Revenues &amp; Expenses'!H11</f>
        <v>512</v>
      </c>
      <c r="I631" s="2917">
        <f>'Part VI-Revenues &amp; Expenses'!I11</f>
        <v>0</v>
      </c>
      <c r="J631" s="2918" t="str">
        <f>'Part VI-Revenues &amp; Expenses'!J11</f>
        <v>HUD</v>
      </c>
      <c r="K631" s="2919">
        <f t="shared" si="1"/>
        <v>512</v>
      </c>
      <c r="L631" s="2919">
        <f t="shared" si="2"/>
        <v>4096</v>
      </c>
      <c r="M631" s="2896" t="str">
        <f>'Part VI-Revenues &amp; Expenses'!M11</f>
        <v>No</v>
      </c>
      <c r="N631" s="2896" t="str">
        <f>'Part VI-Revenues &amp; Expenses'!N11</f>
        <v>2-Story Walkup</v>
      </c>
      <c r="O631" s="2896" t="str">
        <f>'Part VI-Revenues &amp; Expenses'!O11</f>
        <v>Acquisition/Rehab</v>
      </c>
      <c r="P631" s="2896" t="str">
        <f>'Part VI-Revenues &amp; Expenses'!P11</f>
        <v>No</v>
      </c>
      <c r="Q631" s="2920" t="e">
        <f>IF(H631="","",P631/($O$626*VLOOKUP(C631,'DCA Underwriting Assumptions'!$J$118:$K$123,2,FALSE)))</f>
        <v>#VALUE!</v>
      </c>
      <c r="R631" s="2921"/>
      <c r="S631" s="2920"/>
      <c r="T631" s="2922"/>
      <c r="U631" s="2922"/>
      <c r="V631" s="926">
        <f t="shared" si="3"/>
        <v>8</v>
      </c>
      <c r="W631" s="926" t="str">
        <f t="shared" si="4"/>
        <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f t="shared" si="33"/>
        <v>8</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f t="shared" si="58"/>
        <v>4048</v>
      </c>
      <c r="BZ631" s="926" t="str">
        <f t="shared" si="59"/>
        <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f t="shared" si="78"/>
        <v>4048</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f t="shared" si="103"/>
        <v>8</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3">
        <f t="shared" si="133"/>
        <v>8</v>
      </c>
      <c r="EW631" s="2923" t="str">
        <f t="shared" si="134"/>
        <v/>
      </c>
      <c r="EX631" s="2923" t="str">
        <f t="shared" si="135"/>
        <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f t="shared" si="198"/>
        <v>8</v>
      </c>
      <c r="HJ631" s="2923" t="str">
        <f t="shared" si="199"/>
        <v/>
      </c>
      <c r="HK631" s="2923" t="str">
        <f t="shared" si="200"/>
        <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t="str">
        <f t="shared" si="209"/>
        <v/>
      </c>
      <c r="HU631" s="2923" t="str">
        <f t="shared" si="210"/>
        <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7">
        <f t="shared" ref="JB631:JB667" si="243">IF(AND($C631="Efficiency",$E631&gt;0,OR($N631="1-Story",$N631="2-Story",$N631="3+ Story",$N631="2-Story Walkup",$N631="Townhome"),OR($O631="Acquisition/Rehab",$O631="Rehabilitation"),NOT($P631="Yes")),$E631,0)</f>
        <v>8</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0</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0</v>
      </c>
      <c r="JI631" s="2887">
        <f t="shared" ref="JI631:JI667" si="250">IF(AND($C631=2,$E631&gt;0,OR($N631="1-Story",$N631="2-Story",$N631="3+ Story",$N631="2-Story Walkup",$N631="Townhome"),$O631="New Construction"),$E631,0)</f>
        <v>0</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50% AMI</v>
      </c>
      <c r="C632" s="2915">
        <f>'Part VI-Revenues &amp; Expenses'!C12</f>
        <v>1</v>
      </c>
      <c r="D632" s="2916">
        <f>'Part VI-Revenues &amp; Expenses'!D12</f>
        <v>1</v>
      </c>
      <c r="E632" s="2917">
        <f>'Part VI-Revenues &amp; Expenses'!E12</f>
        <v>3</v>
      </c>
      <c r="F632" s="2917">
        <f>'Part VI-Revenues &amp; Expenses'!F12</f>
        <v>660</v>
      </c>
      <c r="G632" s="2917">
        <f>'Part VI-Revenues &amp; Expenses'!G12</f>
        <v>507</v>
      </c>
      <c r="H632" s="2917">
        <f>'Part VI-Revenues &amp; Expenses'!H12</f>
        <v>562</v>
      </c>
      <c r="I632" s="2917">
        <f>'Part VI-Revenues &amp; Expenses'!I12</f>
        <v>0</v>
      </c>
      <c r="J632" s="2918" t="str">
        <f>'Part VI-Revenues &amp; Expenses'!J12</f>
        <v>HUD</v>
      </c>
      <c r="K632" s="2919">
        <f t="shared" si="1"/>
        <v>562</v>
      </c>
      <c r="L632" s="2919">
        <f t="shared" si="2"/>
        <v>1686</v>
      </c>
      <c r="M632" s="2896" t="str">
        <f>'Part VI-Revenues &amp; Expenses'!M12</f>
        <v>No</v>
      </c>
      <c r="N632" s="2896" t="str">
        <f>'Part VI-Revenues &amp; Expenses'!N12</f>
        <v>2-Story Walkup</v>
      </c>
      <c r="O632" s="2896" t="str">
        <f>'Part VI-Revenues &amp; Expenses'!O12</f>
        <v>Acquisition/Rehab</v>
      </c>
      <c r="P632" s="2896" t="str">
        <f>'Part VI-Revenues &amp; Expenses'!P12</f>
        <v>No</v>
      </c>
      <c r="Q632" s="2920" t="e">
        <f>IF(H632="","",P632/($O$626*VLOOKUP(C632,'DCA Underwriting Assumptions'!$J$118:$K$123,2,FALSE)))</f>
        <v>#VALUE!</v>
      </c>
      <c r="R632" s="2921"/>
      <c r="S632" s="2920"/>
      <c r="T632" s="2922"/>
      <c r="U632" s="2922"/>
      <c r="V632" s="926" t="str">
        <f t="shared" si="3"/>
        <v/>
      </c>
      <c r="W632" s="926" t="str">
        <f t="shared" si="4"/>
        <v/>
      </c>
      <c r="X632" s="926" t="str">
        <f t="shared" si="5"/>
        <v/>
      </c>
      <c r="Y632" s="926" t="str">
        <f t="shared" si="6"/>
        <v/>
      </c>
      <c r="Z632" s="926" t="str">
        <f t="shared" si="7"/>
        <v/>
      </c>
      <c r="AA632" s="926" t="str">
        <f t="shared" si="8"/>
        <v/>
      </c>
      <c r="AB632" s="926">
        <f t="shared" si="9"/>
        <v>3</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f t="shared" si="29"/>
        <v>3</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f t="shared" si="64"/>
        <v>1980</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f t="shared" si="79"/>
        <v>1980</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f t="shared" si="104"/>
        <v>3</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3" t="str">
        <f t="shared" si="133"/>
        <v/>
      </c>
      <c r="EW632" s="2923">
        <f t="shared" si="134"/>
        <v>3</v>
      </c>
      <c r="EX632" s="2923" t="str">
        <f t="shared" si="135"/>
        <v/>
      </c>
      <c r="EY632" s="2923" t="str">
        <f t="shared" si="136"/>
        <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f t="shared" si="199"/>
        <v>3</v>
      </c>
      <c r="HK632" s="2923" t="str">
        <f t="shared" si="200"/>
        <v/>
      </c>
      <c r="HL632" s="2923" t="str">
        <f t="shared" si="201"/>
        <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t="str">
        <f t="shared" si="210"/>
        <v/>
      </c>
      <c r="HV632" s="2923" t="str">
        <f t="shared" si="211"/>
        <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7">
        <f t="shared" si="243"/>
        <v>0</v>
      </c>
      <c r="JC632" s="2887">
        <f t="shared" si="244"/>
        <v>3</v>
      </c>
      <c r="JD632" s="2887">
        <f t="shared" si="245"/>
        <v>0</v>
      </c>
      <c r="JE632" s="2887">
        <f t="shared" si="246"/>
        <v>0</v>
      </c>
      <c r="JF632" s="2887">
        <f t="shared" si="247"/>
        <v>0</v>
      </c>
      <c r="JG632" s="2887">
        <f t="shared" si="248"/>
        <v>0</v>
      </c>
      <c r="JH632" s="2887">
        <f t="shared" si="249"/>
        <v>0</v>
      </c>
      <c r="JI632" s="2887">
        <f t="shared" si="250"/>
        <v>0</v>
      </c>
      <c r="JJ632" s="2887">
        <f t="shared" si="251"/>
        <v>0</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60% AMI</v>
      </c>
      <c r="C633" s="2915">
        <f>'Part VI-Revenues &amp; Expenses'!C13</f>
        <v>1</v>
      </c>
      <c r="D633" s="2916">
        <f>'Part VI-Revenues &amp; Expenses'!D13</f>
        <v>1</v>
      </c>
      <c r="E633" s="2917">
        <f>'Part VI-Revenues &amp; Expenses'!E13</f>
        <v>11</v>
      </c>
      <c r="F633" s="2917">
        <f>'Part VI-Revenues &amp; Expenses'!F13</f>
        <v>660</v>
      </c>
      <c r="G633" s="2917">
        <f>'Part VI-Revenues &amp; Expenses'!G13</f>
        <v>608</v>
      </c>
      <c r="H633" s="2917">
        <f>'Part VI-Revenues &amp; Expenses'!H13</f>
        <v>562</v>
      </c>
      <c r="I633" s="2917">
        <f>'Part VI-Revenues &amp; Expenses'!I13</f>
        <v>0</v>
      </c>
      <c r="J633" s="2918" t="str">
        <f>'Part VI-Revenues &amp; Expenses'!J13</f>
        <v>HUD</v>
      </c>
      <c r="K633" s="2919">
        <f t="shared" si="1"/>
        <v>562</v>
      </c>
      <c r="L633" s="2919">
        <f t="shared" si="2"/>
        <v>6182</v>
      </c>
      <c r="M633" s="2896" t="str">
        <f>'Part VI-Revenues &amp; Expenses'!M13</f>
        <v>No</v>
      </c>
      <c r="N633" s="2896" t="str">
        <f>'Part VI-Revenues &amp; Expenses'!N13</f>
        <v>2-Story Walkup</v>
      </c>
      <c r="O633" s="2896" t="str">
        <f>'Part VI-Revenues &amp; Expenses'!O13</f>
        <v>Acquisition/Rehab</v>
      </c>
      <c r="P633" s="2896" t="str">
        <f>'Part VI-Revenues &amp; Expenses'!P13</f>
        <v>No</v>
      </c>
      <c r="Q633" s="2920" t="e">
        <f>IF(H633="","",P633/($O$626*VLOOKUP(C633,'DCA Underwriting Assumptions'!$J$118:$K$123,2,FALSE)))</f>
        <v>#VALUE!</v>
      </c>
      <c r="R633" s="2921"/>
      <c r="S633" s="2920"/>
      <c r="T633" s="2922"/>
      <c r="U633" s="2922"/>
      <c r="V633" s="926" t="str">
        <f t="shared" si="3"/>
        <v/>
      </c>
      <c r="W633" s="926">
        <f t="shared" si="4"/>
        <v>11</v>
      </c>
      <c r="X633" s="926" t="str">
        <f t="shared" si="5"/>
        <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f t="shared" si="34"/>
        <v>11</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f t="shared" si="59"/>
        <v>7260</v>
      </c>
      <c r="CA633" s="926" t="str">
        <f t="shared" si="60"/>
        <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f t="shared" si="79"/>
        <v>7260</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f t="shared" si="104"/>
        <v>11</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3" t="str">
        <f t="shared" si="133"/>
        <v/>
      </c>
      <c r="EW633" s="2923">
        <f t="shared" si="134"/>
        <v>11</v>
      </c>
      <c r="EX633" s="2923" t="str">
        <f t="shared" si="135"/>
        <v/>
      </c>
      <c r="EY633" s="2923" t="str">
        <f t="shared" si="136"/>
        <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t="str">
        <f t="shared" si="160"/>
        <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f t="shared" si="199"/>
        <v>11</v>
      </c>
      <c r="HK633" s="2923" t="str">
        <f t="shared" si="200"/>
        <v/>
      </c>
      <c r="HL633" s="2923" t="str">
        <f t="shared" si="201"/>
        <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t="str">
        <f t="shared" si="209"/>
        <v/>
      </c>
      <c r="HU633" s="2923" t="str">
        <f t="shared" si="210"/>
        <v/>
      </c>
      <c r="HV633" s="2923" t="str">
        <f t="shared" si="211"/>
        <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7">
        <f t="shared" si="243"/>
        <v>0</v>
      </c>
      <c r="JC633" s="2887">
        <f t="shared" si="244"/>
        <v>11</v>
      </c>
      <c r="JD633" s="2887">
        <f t="shared" si="245"/>
        <v>0</v>
      </c>
      <c r="JE633" s="2887">
        <f t="shared" si="246"/>
        <v>0</v>
      </c>
      <c r="JF633" s="2887">
        <f t="shared" si="247"/>
        <v>0</v>
      </c>
      <c r="JG633" s="2887">
        <f t="shared" si="248"/>
        <v>0</v>
      </c>
      <c r="JH633" s="2887">
        <f t="shared" si="249"/>
        <v>0</v>
      </c>
      <c r="JI633" s="2887">
        <f t="shared" si="250"/>
        <v>0</v>
      </c>
      <c r="JJ633" s="2887">
        <f t="shared" si="251"/>
        <v>0</v>
      </c>
      <c r="JK633" s="2887">
        <f t="shared" si="252"/>
        <v>0</v>
      </c>
      <c r="JL633" s="2887">
        <f t="shared" si="253"/>
        <v>0</v>
      </c>
      <c r="JM633" s="2887">
        <f t="shared" si="254"/>
        <v>0</v>
      </c>
      <c r="JN633" s="2887">
        <f t="shared" si="255"/>
        <v>0</v>
      </c>
      <c r="JO633" s="2887">
        <f t="shared" si="256"/>
        <v>0</v>
      </c>
      <c r="JP633" s="2887">
        <f t="shared" si="257"/>
        <v>0</v>
      </c>
    </row>
    <row r="634" spans="1:276" ht="12" customHeight="1">
      <c r="A634" s="2902" t="str">
        <f t="shared" si="0"/>
        <v/>
      </c>
      <c r="B634" s="2914" t="str">
        <f>'Part VI-Revenues &amp; Expenses'!B14</f>
        <v>50% AMI</v>
      </c>
      <c r="C634" s="2915">
        <f>'Part VI-Revenues &amp; Expenses'!C14</f>
        <v>2</v>
      </c>
      <c r="D634" s="2916">
        <f>'Part VI-Revenues &amp; Expenses'!D14</f>
        <v>1</v>
      </c>
      <c r="E634" s="2917">
        <f>'Part VI-Revenues &amp; Expenses'!E14</f>
        <v>7</v>
      </c>
      <c r="F634" s="2917">
        <f>'Part VI-Revenues &amp; Expenses'!F14</f>
        <v>914</v>
      </c>
      <c r="G634" s="2917">
        <f>'Part VI-Revenues &amp; Expenses'!G14</f>
        <v>608</v>
      </c>
      <c r="H634" s="2917">
        <f>'Part VI-Revenues &amp; Expenses'!H14</f>
        <v>676</v>
      </c>
      <c r="I634" s="2917">
        <f>'Part VI-Revenues &amp; Expenses'!I14</f>
        <v>0</v>
      </c>
      <c r="J634" s="2918" t="str">
        <f>'Part VI-Revenues &amp; Expenses'!J14</f>
        <v>HUD</v>
      </c>
      <c r="K634" s="2919">
        <f t="shared" si="1"/>
        <v>676</v>
      </c>
      <c r="L634" s="2919">
        <f t="shared" si="2"/>
        <v>4732</v>
      </c>
      <c r="M634" s="2896" t="str">
        <f>'Part VI-Revenues &amp; Expenses'!M14</f>
        <v>No</v>
      </c>
      <c r="N634" s="2896" t="str">
        <f>'Part VI-Revenues &amp; Expenses'!N14</f>
        <v>2-Story Walkup</v>
      </c>
      <c r="O634" s="2896" t="str">
        <f>'Part VI-Revenues &amp; Expenses'!O14</f>
        <v>Acquisition/Rehab</v>
      </c>
      <c r="P634" s="2896" t="str">
        <f>'Part VI-Revenues &amp; Expenses'!P14</f>
        <v>No</v>
      </c>
      <c r="Q634" s="2920" t="e">
        <f>IF(H634="","",P634/($O$626*VLOOKUP(C634,'DCA Underwriting Assumptions'!$J$118:$K$123,2,FALSE)))</f>
        <v>#VALUE!</v>
      </c>
      <c r="R634" s="2921"/>
      <c r="S634" s="2920"/>
      <c r="T634" s="2922"/>
      <c r="U634" s="2922"/>
      <c r="V634" s="926" t="str">
        <f t="shared" si="3"/>
        <v/>
      </c>
      <c r="W634" s="926" t="str">
        <f t="shared" si="4"/>
        <v/>
      </c>
      <c r="X634" s="926" t="str">
        <f t="shared" si="5"/>
        <v/>
      </c>
      <c r="Y634" s="926" t="str">
        <f t="shared" si="6"/>
        <v/>
      </c>
      <c r="Z634" s="926" t="str">
        <f t="shared" si="7"/>
        <v/>
      </c>
      <c r="AA634" s="926" t="str">
        <f t="shared" si="8"/>
        <v/>
      </c>
      <c r="AB634" s="926" t="str">
        <f t="shared" si="9"/>
        <v/>
      </c>
      <c r="AC634" s="926">
        <f t="shared" si="10"/>
        <v>7</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f t="shared" si="30"/>
        <v>7</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f t="shared" si="65"/>
        <v>6398</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f t="shared" si="80"/>
        <v>6398</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f t="shared" si="105"/>
        <v>7</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3" t="str">
        <f t="shared" si="133"/>
        <v/>
      </c>
      <c r="EW634" s="2923" t="str">
        <f t="shared" si="134"/>
        <v/>
      </c>
      <c r="EX634" s="2923">
        <f t="shared" si="135"/>
        <v>7</v>
      </c>
      <c r="EY634" s="2923" t="str">
        <f t="shared" si="136"/>
        <v/>
      </c>
      <c r="EZ634" s="2923" t="str">
        <f t="shared" si="137"/>
        <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f t="shared" si="200"/>
        <v>7</v>
      </c>
      <c r="HL634" s="2923" t="str">
        <f t="shared" si="201"/>
        <v/>
      </c>
      <c r="HM634" s="2923" t="str">
        <f t="shared" si="202"/>
        <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t="str">
        <f t="shared" si="210"/>
        <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7">
        <f t="shared" si="243"/>
        <v>0</v>
      </c>
      <c r="JC634" s="2887">
        <f t="shared" si="244"/>
        <v>0</v>
      </c>
      <c r="JD634" s="2887">
        <f t="shared" si="245"/>
        <v>7</v>
      </c>
      <c r="JE634" s="2887">
        <f t="shared" si="246"/>
        <v>0</v>
      </c>
      <c r="JF634" s="2887">
        <f t="shared" si="247"/>
        <v>0</v>
      </c>
      <c r="JG634" s="2887">
        <f t="shared" si="248"/>
        <v>0</v>
      </c>
      <c r="JH634" s="2887">
        <f t="shared" si="249"/>
        <v>0</v>
      </c>
      <c r="JI634" s="2887">
        <f t="shared" si="250"/>
        <v>0</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t="str">
        <f>'Part VI-Revenues &amp; Expenses'!B15</f>
        <v>60% AMI</v>
      </c>
      <c r="C635" s="2915">
        <f>'Part VI-Revenues &amp; Expenses'!C15</f>
        <v>2</v>
      </c>
      <c r="D635" s="2916">
        <f>'Part VI-Revenues &amp; Expenses'!D15</f>
        <v>1</v>
      </c>
      <c r="E635" s="2917">
        <f>'Part VI-Revenues &amp; Expenses'!E15</f>
        <v>27</v>
      </c>
      <c r="F635" s="2917">
        <f>'Part VI-Revenues &amp; Expenses'!F15</f>
        <v>914</v>
      </c>
      <c r="G635" s="2917">
        <f>'Part VI-Revenues &amp; Expenses'!G15</f>
        <v>730</v>
      </c>
      <c r="H635" s="2917">
        <f>'Part VI-Revenues &amp; Expenses'!H15</f>
        <v>676</v>
      </c>
      <c r="I635" s="2917">
        <f>'Part VI-Revenues &amp; Expenses'!I15</f>
        <v>0</v>
      </c>
      <c r="J635" s="2918" t="str">
        <f>'Part VI-Revenues &amp; Expenses'!J15</f>
        <v>HUD</v>
      </c>
      <c r="K635" s="2919">
        <f t="shared" si="1"/>
        <v>676</v>
      </c>
      <c r="L635" s="2919">
        <f t="shared" si="2"/>
        <v>18252</v>
      </c>
      <c r="M635" s="2896" t="str">
        <f>'Part VI-Revenues &amp; Expenses'!M15</f>
        <v>No</v>
      </c>
      <c r="N635" s="2896" t="str">
        <f>'Part VI-Revenues &amp; Expenses'!N15</f>
        <v>2-Story Walkup</v>
      </c>
      <c r="O635" s="2896" t="str">
        <f>'Part VI-Revenues &amp; Expenses'!O15</f>
        <v>Acquisition/Rehab</v>
      </c>
      <c r="P635" s="2896" t="str">
        <f>'Part VI-Revenues &amp; Expenses'!P15</f>
        <v>No</v>
      </c>
      <c r="Q635" s="2920" t="e">
        <f>IF(H635="","",P635/($O$626*VLOOKUP(C635,'DCA Underwriting Assumptions'!$J$118:$K$123,2,FALSE)))</f>
        <v>#VALUE!</v>
      </c>
      <c r="R635" s="2921"/>
      <c r="S635" s="2920"/>
      <c r="T635" s="2922"/>
      <c r="U635" s="2922"/>
      <c r="V635" s="926" t="str">
        <f t="shared" si="3"/>
        <v/>
      </c>
      <c r="W635" s="926" t="str">
        <f t="shared" si="4"/>
        <v/>
      </c>
      <c r="X635" s="926">
        <f t="shared" si="5"/>
        <v>27</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f t="shared" si="35"/>
        <v>27</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f t="shared" si="60"/>
        <v>24678</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f t="shared" si="80"/>
        <v>24678</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f t="shared" si="105"/>
        <v>27</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3" t="str">
        <f t="shared" si="133"/>
        <v/>
      </c>
      <c r="EW635" s="2923" t="str">
        <f t="shared" si="134"/>
        <v/>
      </c>
      <c r="EX635" s="2923">
        <f t="shared" si="135"/>
        <v>27</v>
      </c>
      <c r="EY635" s="2923" t="str">
        <f t="shared" si="136"/>
        <v/>
      </c>
      <c r="EZ635" s="2923" t="str">
        <f t="shared" si="137"/>
        <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t="str">
        <f t="shared" si="160"/>
        <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f t="shared" si="200"/>
        <v>27</v>
      </c>
      <c r="HL635" s="2923" t="str">
        <f t="shared" si="201"/>
        <v/>
      </c>
      <c r="HM635" s="2923" t="str">
        <f t="shared" si="202"/>
        <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t="str">
        <f t="shared" si="211"/>
        <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7">
        <f t="shared" si="243"/>
        <v>0</v>
      </c>
      <c r="JC635" s="2887">
        <f t="shared" si="244"/>
        <v>0</v>
      </c>
      <c r="JD635" s="2887">
        <f t="shared" si="245"/>
        <v>27</v>
      </c>
      <c r="JE635" s="2887">
        <f t="shared" si="246"/>
        <v>0</v>
      </c>
      <c r="JF635" s="2887">
        <f t="shared" si="247"/>
        <v>0</v>
      </c>
      <c r="JG635" s="2887">
        <f t="shared" si="248"/>
        <v>0</v>
      </c>
      <c r="JH635" s="2887">
        <f t="shared" si="249"/>
        <v>0</v>
      </c>
      <c r="JI635" s="2887">
        <f t="shared" si="250"/>
        <v>0</v>
      </c>
      <c r="JJ635" s="2887">
        <f t="shared" si="251"/>
        <v>0</v>
      </c>
      <c r="JK635" s="2887">
        <f t="shared" si="252"/>
        <v>0</v>
      </c>
      <c r="JL635" s="2887">
        <f t="shared" si="253"/>
        <v>0</v>
      </c>
      <c r="JM635" s="2887">
        <f t="shared" si="254"/>
        <v>0</v>
      </c>
      <c r="JN635" s="2887">
        <f t="shared" si="255"/>
        <v>0</v>
      </c>
      <c r="JO635" s="2887">
        <f t="shared" si="256"/>
        <v>0</v>
      </c>
      <c r="JP635" s="2887">
        <f t="shared" si="257"/>
        <v>0</v>
      </c>
    </row>
    <row r="636" spans="1:276" ht="12" customHeight="1">
      <c r="A636" s="2902" t="str">
        <f t="shared" si="0"/>
        <v/>
      </c>
      <c r="B636" s="2914" t="str">
        <f>'Part VI-Revenues &amp; Expenses'!B16</f>
        <v>50% AMI</v>
      </c>
      <c r="C636" s="2915">
        <f>'Part VI-Revenues &amp; Expenses'!C16</f>
        <v>3</v>
      </c>
      <c r="D636" s="2916">
        <f>'Part VI-Revenues &amp; Expenses'!D16</f>
        <v>2</v>
      </c>
      <c r="E636" s="2917">
        <f>'Part VI-Revenues &amp; Expenses'!E16</f>
        <v>6</v>
      </c>
      <c r="F636" s="2917">
        <f>'Part VI-Revenues &amp; Expenses'!F16</f>
        <v>1107</v>
      </c>
      <c r="G636" s="2917">
        <f>'Part VI-Revenues &amp; Expenses'!G16</f>
        <v>703</v>
      </c>
      <c r="H636" s="2917">
        <f>'Part VI-Revenues &amp; Expenses'!H16</f>
        <v>803</v>
      </c>
      <c r="I636" s="2917">
        <f>'Part VI-Revenues &amp; Expenses'!I16</f>
        <v>0</v>
      </c>
      <c r="J636" s="2918" t="str">
        <f>'Part VI-Revenues &amp; Expenses'!J16</f>
        <v>HUD</v>
      </c>
      <c r="K636" s="2919">
        <f t="shared" si="1"/>
        <v>803</v>
      </c>
      <c r="L636" s="2919">
        <f t="shared" si="2"/>
        <v>4818</v>
      </c>
      <c r="M636" s="2896" t="str">
        <f>'Part VI-Revenues &amp; Expenses'!M16</f>
        <v>No</v>
      </c>
      <c r="N636" s="2896" t="str">
        <f>'Part VI-Revenues &amp; Expenses'!N16</f>
        <v>2-Story Walkup</v>
      </c>
      <c r="O636" s="2896" t="str">
        <f>'Part VI-Revenues &amp; Expenses'!O16</f>
        <v>Acquisition/Rehab</v>
      </c>
      <c r="P636" s="2896" t="str">
        <f>'Part VI-Revenues &amp; Expenses'!P16</f>
        <v>No</v>
      </c>
      <c r="Q636" s="2920" t="e">
        <f>IF(H636="","",P636/($O$626*VLOOKUP(C636,'DCA Underwriting Assumptions'!$J$118:$K$123,2,FALSE)))</f>
        <v>#VALUE!</v>
      </c>
      <c r="R636" s="2921"/>
      <c r="S636" s="2920"/>
      <c r="T636" s="2922"/>
      <c r="U636" s="2922"/>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f t="shared" si="11"/>
        <v>6</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f t="shared" si="31"/>
        <v>6</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f t="shared" si="66"/>
        <v>6642</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f t="shared" si="81"/>
        <v>6642</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f t="shared" si="106"/>
        <v>6</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3" t="str">
        <f t="shared" si="133"/>
        <v/>
      </c>
      <c r="EW636" s="2923" t="str">
        <f t="shared" si="134"/>
        <v/>
      </c>
      <c r="EX636" s="2923" t="str">
        <f t="shared" si="135"/>
        <v/>
      </c>
      <c r="EY636" s="2923">
        <f t="shared" si="136"/>
        <v>6</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f t="shared" si="201"/>
        <v>6</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t="str">
        <f t="shared" si="209"/>
        <v/>
      </c>
      <c r="HU636" s="2923" t="str">
        <f t="shared" si="210"/>
        <v/>
      </c>
      <c r="HV636" s="2923" t="str">
        <f t="shared" si="211"/>
        <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7">
        <f t="shared" si="243"/>
        <v>0</v>
      </c>
      <c r="JC636" s="2887">
        <f t="shared" si="244"/>
        <v>0</v>
      </c>
      <c r="JD636" s="2887">
        <f t="shared" si="245"/>
        <v>0</v>
      </c>
      <c r="JE636" s="2887">
        <f t="shared" si="246"/>
        <v>6</v>
      </c>
      <c r="JF636" s="2887">
        <f t="shared" si="247"/>
        <v>0</v>
      </c>
      <c r="JG636" s="2887">
        <f t="shared" si="248"/>
        <v>0</v>
      </c>
      <c r="JH636" s="2887">
        <f t="shared" si="249"/>
        <v>0</v>
      </c>
      <c r="JI636" s="2887">
        <f t="shared" si="250"/>
        <v>0</v>
      </c>
      <c r="JJ636" s="2887">
        <f t="shared" si="251"/>
        <v>0</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t="str">
        <f>'Part VI-Revenues &amp; Expenses'!B17</f>
        <v>60% AMI</v>
      </c>
      <c r="C637" s="2915">
        <f>'Part VI-Revenues &amp; Expenses'!C17</f>
        <v>3</v>
      </c>
      <c r="D637" s="2916">
        <f>'Part VI-Revenues &amp; Expenses'!D17</f>
        <v>2</v>
      </c>
      <c r="E637" s="2917">
        <f>'Part VI-Revenues &amp; Expenses'!E17</f>
        <v>20</v>
      </c>
      <c r="F637" s="2917">
        <f>'Part VI-Revenues &amp; Expenses'!F17</f>
        <v>1107</v>
      </c>
      <c r="G637" s="2917">
        <f>'Part VI-Revenues &amp; Expenses'!G17</f>
        <v>843</v>
      </c>
      <c r="H637" s="2917">
        <f>'Part VI-Revenues &amp; Expenses'!H17</f>
        <v>803</v>
      </c>
      <c r="I637" s="2917">
        <f>'Part VI-Revenues &amp; Expenses'!I17</f>
        <v>0</v>
      </c>
      <c r="J637" s="2918" t="str">
        <f>'Part VI-Revenues &amp; Expenses'!J17</f>
        <v>HUD</v>
      </c>
      <c r="K637" s="2919">
        <f t="shared" si="1"/>
        <v>803</v>
      </c>
      <c r="L637" s="2919">
        <f t="shared" si="2"/>
        <v>16060</v>
      </c>
      <c r="M637" s="2896" t="str">
        <f>'Part VI-Revenues &amp; Expenses'!M17</f>
        <v>No</v>
      </c>
      <c r="N637" s="2896" t="str">
        <f>'Part VI-Revenues &amp; Expenses'!N17</f>
        <v>2-Story Walkup</v>
      </c>
      <c r="O637" s="2896" t="str">
        <f>'Part VI-Revenues &amp; Expenses'!O17</f>
        <v>Acquisition/Rehab</v>
      </c>
      <c r="P637" s="2896" t="str">
        <f>'Part VI-Revenues &amp; Expenses'!P17</f>
        <v>No</v>
      </c>
      <c r="Q637" s="2920" t="e">
        <f>IF(H637="","",P637/($O$626*VLOOKUP(C637,'DCA Underwriting Assumptions'!$J$118:$K$123,2,FALSE)))</f>
        <v>#VALUE!</v>
      </c>
      <c r="R637" s="2921"/>
      <c r="S637" s="2920"/>
      <c r="T637" s="2922"/>
      <c r="U637" s="2922"/>
      <c r="V637" s="926" t="str">
        <f t="shared" si="3"/>
        <v/>
      </c>
      <c r="W637" s="926" t="str">
        <f t="shared" si="4"/>
        <v/>
      </c>
      <c r="X637" s="926" t="str">
        <f t="shared" si="5"/>
        <v/>
      </c>
      <c r="Y637" s="926">
        <f t="shared" si="6"/>
        <v>20</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f t="shared" si="36"/>
        <v>20</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f t="shared" si="61"/>
        <v>22140</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f t="shared" si="81"/>
        <v>22140</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f t="shared" si="106"/>
        <v>20</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3" t="str">
        <f t="shared" si="133"/>
        <v/>
      </c>
      <c r="EW637" s="2923" t="str">
        <f t="shared" si="134"/>
        <v/>
      </c>
      <c r="EX637" s="2923" t="str">
        <f t="shared" si="135"/>
        <v/>
      </c>
      <c r="EY637" s="2923">
        <f t="shared" si="136"/>
        <v>20</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t="str">
        <f t="shared" si="161"/>
        <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f t="shared" si="201"/>
        <v>20</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t="str">
        <f t="shared" si="210"/>
        <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7">
        <f t="shared" si="243"/>
        <v>0</v>
      </c>
      <c r="JC637" s="2887">
        <f t="shared" si="244"/>
        <v>0</v>
      </c>
      <c r="JD637" s="2887">
        <f t="shared" si="245"/>
        <v>0</v>
      </c>
      <c r="JE637" s="2887">
        <f t="shared" si="246"/>
        <v>20</v>
      </c>
      <c r="JF637" s="2887">
        <f t="shared" si="247"/>
        <v>0</v>
      </c>
      <c r="JG637" s="2887">
        <f t="shared" si="248"/>
        <v>0</v>
      </c>
      <c r="JH637" s="2887">
        <f t="shared" si="249"/>
        <v>0</v>
      </c>
      <c r="JI637" s="2887">
        <f t="shared" si="250"/>
        <v>0</v>
      </c>
      <c r="JJ637" s="2887">
        <f t="shared" si="251"/>
        <v>0</v>
      </c>
      <c r="JK637" s="2887">
        <f t="shared" si="252"/>
        <v>0</v>
      </c>
      <c r="JL637" s="2887">
        <f t="shared" si="253"/>
        <v>0</v>
      </c>
      <c r="JM637" s="2887">
        <f t="shared" si="254"/>
        <v>0</v>
      </c>
      <c r="JN637" s="2887">
        <f t="shared" si="255"/>
        <v>0</v>
      </c>
      <c r="JO637" s="2887">
        <f t="shared" si="256"/>
        <v>0</v>
      </c>
      <c r="JP637" s="2887">
        <f t="shared" si="257"/>
        <v>0</v>
      </c>
    </row>
    <row r="638" spans="1:276" ht="12" customHeight="1">
      <c r="A638" s="2902" t="str">
        <f t="shared" si="0"/>
        <v/>
      </c>
      <c r="B638" s="2914" t="str">
        <f>'Part VI-Revenues &amp; Expenses'!B18</f>
        <v>50% AMI</v>
      </c>
      <c r="C638" s="2915">
        <f>'Part VI-Revenues &amp; Expenses'!C18</f>
        <v>4</v>
      </c>
      <c r="D638" s="2916">
        <f>'Part VI-Revenues &amp; Expenses'!D18</f>
        <v>2</v>
      </c>
      <c r="E638" s="2917">
        <f>'Part VI-Revenues &amp; Expenses'!E18</f>
        <v>3</v>
      </c>
      <c r="F638" s="2917">
        <f>'Part VI-Revenues &amp; Expenses'!F18</f>
        <v>1250</v>
      </c>
      <c r="G638" s="2917">
        <f>'Part VI-Revenues &amp; Expenses'!G18</f>
        <v>784</v>
      </c>
      <c r="H638" s="2917">
        <f>'Part VI-Revenues &amp; Expenses'!H18</f>
        <v>936</v>
      </c>
      <c r="I638" s="2917">
        <f>'Part VI-Revenues &amp; Expenses'!I18</f>
        <v>0</v>
      </c>
      <c r="J638" s="2918" t="str">
        <f>'Part VI-Revenues &amp; Expenses'!J18</f>
        <v>HUD</v>
      </c>
      <c r="K638" s="2919">
        <f t="shared" si="1"/>
        <v>936</v>
      </c>
      <c r="L638" s="2919">
        <f t="shared" si="2"/>
        <v>2808</v>
      </c>
      <c r="M638" s="2896" t="str">
        <f>'Part VI-Revenues &amp; Expenses'!M18</f>
        <v>No</v>
      </c>
      <c r="N638" s="2896" t="str">
        <f>'Part VI-Revenues &amp; Expenses'!N18</f>
        <v>2-Story Walkup</v>
      </c>
      <c r="O638" s="2896" t="str">
        <f>'Part VI-Revenues &amp; Expenses'!O18</f>
        <v>Acquisition/Rehab</v>
      </c>
      <c r="P638" s="2896" t="str">
        <f>'Part VI-Revenues &amp; Expenses'!P18</f>
        <v>No</v>
      </c>
      <c r="Q638" s="2920" t="e">
        <f>IF(H638="","",P638/($O$626*VLOOKUP(C638,'DCA Underwriting Assumptions'!$J$118:$K$123,2,FALSE)))</f>
        <v>#VALUE!</v>
      </c>
      <c r="R638" s="2921"/>
      <c r="S638" s="2920"/>
      <c r="T638" s="2922"/>
      <c r="U638" s="2922"/>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f t="shared" si="12"/>
        <v>3</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f t="shared" si="32"/>
        <v>3</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f t="shared" si="67"/>
        <v>3750</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f t="shared" si="82"/>
        <v>3750</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f t="shared" si="107"/>
        <v>3</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3" t="str">
        <f t="shared" si="133"/>
        <v/>
      </c>
      <c r="EW638" s="2923" t="str">
        <f t="shared" si="134"/>
        <v/>
      </c>
      <c r="EX638" s="2923" t="str">
        <f t="shared" si="135"/>
        <v/>
      </c>
      <c r="EY638" s="2923" t="str">
        <f t="shared" si="136"/>
        <v/>
      </c>
      <c r="EZ638" s="2923">
        <f t="shared" si="137"/>
        <v>3</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f t="shared" si="202"/>
        <v>3</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t="str">
        <f t="shared" si="211"/>
        <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7">
        <f t="shared" si="243"/>
        <v>0</v>
      </c>
      <c r="JC638" s="2887">
        <f t="shared" si="244"/>
        <v>0</v>
      </c>
      <c r="JD638" s="2887">
        <f t="shared" si="245"/>
        <v>0</v>
      </c>
      <c r="JE638" s="2887">
        <f t="shared" si="246"/>
        <v>0</v>
      </c>
      <c r="JF638" s="2887">
        <f t="shared" si="247"/>
        <v>3</v>
      </c>
      <c r="JG638" s="2887">
        <f t="shared" si="248"/>
        <v>0</v>
      </c>
      <c r="JH638" s="2887">
        <f t="shared" si="249"/>
        <v>0</v>
      </c>
      <c r="JI638" s="2887">
        <f t="shared" si="250"/>
        <v>0</v>
      </c>
      <c r="JJ638" s="2887">
        <f t="shared" si="251"/>
        <v>0</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t="str">
        <f>'Part VI-Revenues &amp; Expenses'!B19</f>
        <v>60% AMI</v>
      </c>
      <c r="C639" s="2915">
        <f>'Part VI-Revenues &amp; Expenses'!C19</f>
        <v>4</v>
      </c>
      <c r="D639" s="2916">
        <f>'Part VI-Revenues &amp; Expenses'!D19</f>
        <v>2</v>
      </c>
      <c r="E639" s="2917">
        <f>'Part VI-Revenues &amp; Expenses'!E19</f>
        <v>9</v>
      </c>
      <c r="F639" s="2917">
        <f>'Part VI-Revenues &amp; Expenses'!F19</f>
        <v>1250</v>
      </c>
      <c r="G639" s="2917">
        <f>'Part VI-Revenues &amp; Expenses'!G19</f>
        <v>941</v>
      </c>
      <c r="H639" s="2917">
        <f>'Part VI-Revenues &amp; Expenses'!H19</f>
        <v>936</v>
      </c>
      <c r="I639" s="2917">
        <f>'Part VI-Revenues &amp; Expenses'!I19</f>
        <v>0</v>
      </c>
      <c r="J639" s="2918" t="str">
        <f>'Part VI-Revenues &amp; Expenses'!J19</f>
        <v>HUD</v>
      </c>
      <c r="K639" s="2919">
        <f t="shared" si="1"/>
        <v>936</v>
      </c>
      <c r="L639" s="2919">
        <f t="shared" si="2"/>
        <v>8424</v>
      </c>
      <c r="M639" s="2896" t="str">
        <f>'Part VI-Revenues &amp; Expenses'!M19</f>
        <v>No</v>
      </c>
      <c r="N639" s="2896" t="str">
        <f>'Part VI-Revenues &amp; Expenses'!N19</f>
        <v>2-Story Walkup</v>
      </c>
      <c r="O639" s="2896" t="str">
        <f>'Part VI-Revenues &amp; Expenses'!O19</f>
        <v>Acquisition/Rehab</v>
      </c>
      <c r="P639" s="2896" t="str">
        <f>'Part VI-Revenues &amp; Expenses'!P19</f>
        <v>No</v>
      </c>
      <c r="Q639" s="2920" t="e">
        <f>IF(H639="","",P639/($O$626*VLOOKUP(C639,'DCA Underwriting Assumptions'!$J$118:$K$123,2,FALSE)))</f>
        <v>#VALUE!</v>
      </c>
      <c r="R639" s="2921"/>
      <c r="S639" s="2920"/>
      <c r="T639" s="2922"/>
      <c r="U639" s="2922"/>
      <c r="V639" s="926" t="str">
        <f t="shared" si="3"/>
        <v/>
      </c>
      <c r="W639" s="926" t="str">
        <f t="shared" si="4"/>
        <v/>
      </c>
      <c r="X639" s="926" t="str">
        <f t="shared" si="5"/>
        <v/>
      </c>
      <c r="Y639" s="926" t="str">
        <f t="shared" si="6"/>
        <v/>
      </c>
      <c r="Z639" s="926">
        <f t="shared" si="7"/>
        <v>9</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f t="shared" si="37"/>
        <v>9</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f t="shared" si="62"/>
        <v>11250</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f t="shared" si="82"/>
        <v>11250</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f t="shared" si="107"/>
        <v>9</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3" t="str">
        <f t="shared" si="133"/>
        <v/>
      </c>
      <c r="EW639" s="2923" t="str">
        <f t="shared" si="134"/>
        <v/>
      </c>
      <c r="EX639" s="2923" t="str">
        <f t="shared" si="135"/>
        <v/>
      </c>
      <c r="EY639" s="2923" t="str">
        <f t="shared" si="136"/>
        <v/>
      </c>
      <c r="EZ639" s="2923">
        <f t="shared" si="137"/>
        <v>9</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t="str">
        <f t="shared" si="161"/>
        <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f t="shared" si="202"/>
        <v>9</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7">
        <f t="shared" si="243"/>
        <v>0</v>
      </c>
      <c r="JC639" s="2887">
        <f t="shared" si="244"/>
        <v>0</v>
      </c>
      <c r="JD639" s="2887">
        <f t="shared" si="245"/>
        <v>0</v>
      </c>
      <c r="JE639" s="2887">
        <f t="shared" si="246"/>
        <v>0</v>
      </c>
      <c r="JF639" s="2887">
        <f t="shared" si="247"/>
        <v>9</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0</v>
      </c>
      <c r="JP639" s="2887">
        <f t="shared" si="257"/>
        <v>0</v>
      </c>
    </row>
    <row r="640" spans="1:276" ht="12" customHeight="1">
      <c r="A640" s="2902" t="str">
        <f t="shared" si="0"/>
        <v/>
      </c>
      <c r="B640" s="2914" t="str">
        <f>'Part VI-Revenues &amp; Expenses'!B20</f>
        <v>&lt;&lt;Select&gt;&gt;</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t="str">
        <f>'Part VI-Revenues &amp; Expenses'!B21</f>
        <v>&lt;&lt;Select&gt;&gt;</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t="str">
        <f>'Part VI-Revenues &amp; Expenses'!B22</f>
        <v>&lt;&lt;Select&gt;&gt;</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t="str">
        <f>'Part VI-Revenues &amp; Expenses'!B23</f>
        <v>&lt;&lt;Select&gt;&gt;</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t="str">
        <f>'Part VI-Revenues &amp; Expenses'!B24</f>
        <v>&lt;&lt;Select&gt;&gt;</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t="str">
        <f>'Part VI-Revenues &amp; Expenses'!B25</f>
        <v>&lt;&lt;Select&gt;&gt;</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t="str">
        <f>'Part VI-Revenues &amp; Expenses'!B26</f>
        <v>&lt;&lt;Select&gt;&gt;</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t="str">
        <f>'Part VI-Revenues &amp; Expenses'!B27</f>
        <v>&lt;&lt;Select&gt;&gt;</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t="str">
        <f>'Part VI-Revenues &amp; Expenses'!B28</f>
        <v>&lt;&lt;Select&gt;&gt;</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t="str">
        <f>'Part VI-Revenues &amp; Expenses'!B29</f>
        <v>&lt;&lt;Select&gt;&gt;</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t="str">
        <f>'Part VI-Revenues &amp; Expenses'!B30</f>
        <v>&lt;&lt;Select&gt;&gt;</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t="str">
        <f>'Part VI-Revenues &amp; Expenses'!B31</f>
        <v>&lt;&lt;Select&gt;&gt;</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t="str">
        <f>'Part VI-Revenues &amp; Expenses'!B32</f>
        <v>&lt;&lt;Select&gt;&gt;</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t="str">
        <f>'Part VI-Revenues &amp; Expenses'!B33</f>
        <v>&lt;&lt;Select&gt;&gt;</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t="str">
        <f>'Part VI-Revenues &amp; Expenses'!B34</f>
        <v>&lt;&lt;Select&gt;&gt;</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t="str">
        <f>'Part VI-Revenues &amp; Expenses'!B35</f>
        <v>&lt;&lt;Select&gt;&gt;</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t="str">
        <f>'Part VI-Revenues &amp; Expenses'!B36</f>
        <v>&lt;&lt;Select&gt;&gt;</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t="str">
        <f>'Part VI-Revenues &amp; Expenses'!B37</f>
        <v>&lt;&lt;Select&gt;&gt;</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t="str">
        <f>'Part VI-Revenues &amp; Expenses'!B38</f>
        <v>&lt;&lt;Select&gt;&gt;</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t="str">
        <f>'Part VI-Revenues &amp; Expenses'!B39</f>
        <v>&lt;&lt;Select&gt;&gt;</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t="str">
        <f>'Part VI-Revenues &amp; Expenses'!B40</f>
        <v>&lt;&lt;Select&gt;&gt;</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t="str">
        <f>'Part VI-Revenues &amp; Expenses'!B41</f>
        <v>&lt;&lt;Select&gt;&gt;</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t="str">
        <f>'Part VI-Revenues &amp; Expenses'!B42</f>
        <v>&lt;&lt;Select&gt;&gt;</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t="str">
        <f>'Part VI-Revenues &amp; Expenses'!B43</f>
        <v>&lt;&lt;Select&gt;&gt;</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t="str">
        <f>'Part VI-Revenues &amp; Expenses'!B44</f>
        <v>&lt;&lt;Select&gt;&gt;</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t="str">
        <f>'Part VI-Revenues &amp; Expenses'!B45</f>
        <v>&lt;&lt;Select&gt;&gt;</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t="str">
        <f>'Part VI-Revenues &amp; Expenses'!B46</f>
        <v>&lt;&lt;Select&gt;&gt;</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t="str">
        <f>'Part VI-Revenues &amp; Expenses'!B47</f>
        <v>&lt;&lt;Select&gt;&gt;</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1068</v>
      </c>
      <c r="E668" s="2925">
        <f>SUM(E630:E667)</f>
        <v>96</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89158</v>
      </c>
      <c r="G668" s="523"/>
      <c r="H668" s="523"/>
      <c r="I668" s="523"/>
      <c r="J668" s="523"/>
      <c r="K668" s="2926" t="s">
        <v>1367</v>
      </c>
      <c r="L668" s="2925">
        <f>SUM(L630:L667)</f>
        <v>68082</v>
      </c>
      <c r="M668" s="521"/>
      <c r="N668" s="521"/>
      <c r="O668" s="521"/>
      <c r="P668" s="521"/>
      <c r="Q668" s="521"/>
      <c r="R668" s="521"/>
      <c r="S668" s="521"/>
      <c r="T668" s="2905"/>
      <c r="U668" s="2927"/>
      <c r="V668" s="2927">
        <f t="shared" ref="V668:CG668" si="258">SUM(V630:V667)</f>
        <v>8</v>
      </c>
      <c r="W668" s="2927">
        <f t="shared" si="258"/>
        <v>11</v>
      </c>
      <c r="X668" s="2927">
        <f t="shared" si="258"/>
        <v>27</v>
      </c>
      <c r="Y668" s="2927">
        <f t="shared" si="258"/>
        <v>20</v>
      </c>
      <c r="Z668" s="2927">
        <f t="shared" si="258"/>
        <v>9</v>
      </c>
      <c r="AA668" s="2927">
        <f t="shared" si="258"/>
        <v>2</v>
      </c>
      <c r="AB668" s="2927">
        <f t="shared" si="258"/>
        <v>3</v>
      </c>
      <c r="AC668" s="2927">
        <f t="shared" si="258"/>
        <v>7</v>
      </c>
      <c r="AD668" s="2927">
        <f t="shared" si="258"/>
        <v>6</v>
      </c>
      <c r="AE668" s="2927">
        <f t="shared" si="258"/>
        <v>3</v>
      </c>
      <c r="AF668" s="2927">
        <f t="shared" si="258"/>
        <v>0</v>
      </c>
      <c r="AG668" s="2927">
        <f t="shared" si="258"/>
        <v>0</v>
      </c>
      <c r="AH668" s="2927">
        <f t="shared" si="258"/>
        <v>0</v>
      </c>
      <c r="AI668" s="2927">
        <f t="shared" si="258"/>
        <v>0</v>
      </c>
      <c r="AJ668" s="2927">
        <f t="shared" si="258"/>
        <v>0</v>
      </c>
      <c r="AK668" s="2927">
        <f t="shared" si="258"/>
        <v>0</v>
      </c>
      <c r="AL668" s="2927">
        <f t="shared" si="258"/>
        <v>0</v>
      </c>
      <c r="AM668" s="2927">
        <f t="shared" si="258"/>
        <v>0</v>
      </c>
      <c r="AN668" s="2927">
        <f t="shared" si="258"/>
        <v>0</v>
      </c>
      <c r="AO668" s="2927">
        <f t="shared" si="258"/>
        <v>0</v>
      </c>
      <c r="AP668" s="2927">
        <f t="shared" si="258"/>
        <v>0</v>
      </c>
      <c r="AQ668" s="2927">
        <f t="shared" si="258"/>
        <v>0</v>
      </c>
      <c r="AR668" s="2927">
        <f t="shared" si="258"/>
        <v>0</v>
      </c>
      <c r="AS668" s="2927">
        <f t="shared" si="258"/>
        <v>0</v>
      </c>
      <c r="AT668" s="2927">
        <f t="shared" si="258"/>
        <v>0</v>
      </c>
      <c r="AU668" s="2927">
        <f t="shared" si="258"/>
        <v>2</v>
      </c>
      <c r="AV668" s="2927">
        <f t="shared" si="258"/>
        <v>3</v>
      </c>
      <c r="AW668" s="2927">
        <f t="shared" si="258"/>
        <v>7</v>
      </c>
      <c r="AX668" s="2927">
        <f t="shared" si="258"/>
        <v>6</v>
      </c>
      <c r="AY668" s="2927">
        <f t="shared" si="258"/>
        <v>3</v>
      </c>
      <c r="AZ668" s="2927">
        <f t="shared" si="258"/>
        <v>8</v>
      </c>
      <c r="BA668" s="2927">
        <f t="shared" si="258"/>
        <v>11</v>
      </c>
      <c r="BB668" s="2927">
        <f t="shared" si="258"/>
        <v>27</v>
      </c>
      <c r="BC668" s="2927">
        <f t="shared" si="258"/>
        <v>20</v>
      </c>
      <c r="BD668" s="2927">
        <f t="shared" si="258"/>
        <v>9</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4048</v>
      </c>
      <c r="BZ668" s="2927">
        <f t="shared" si="258"/>
        <v>7260</v>
      </c>
      <c r="CA668" s="2927">
        <f t="shared" si="258"/>
        <v>24678</v>
      </c>
      <c r="CB668" s="2927">
        <f t="shared" si="258"/>
        <v>22140</v>
      </c>
      <c r="CC668" s="2927">
        <f t="shared" si="258"/>
        <v>11250</v>
      </c>
      <c r="CD668" s="2927">
        <f t="shared" si="258"/>
        <v>1012</v>
      </c>
      <c r="CE668" s="2927">
        <f t="shared" si="258"/>
        <v>1980</v>
      </c>
      <c r="CF668" s="2927">
        <f t="shared" si="258"/>
        <v>6398</v>
      </c>
      <c r="CG668" s="2927">
        <f t="shared" si="258"/>
        <v>6642</v>
      </c>
      <c r="CH668" s="2927">
        <f t="shared" ref="CH668:ES668" si="259">SUM(CH630:CH667)</f>
        <v>3750</v>
      </c>
      <c r="CI668" s="2927">
        <f t="shared" si="259"/>
        <v>0</v>
      </c>
      <c r="CJ668" s="2927">
        <f t="shared" si="259"/>
        <v>0</v>
      </c>
      <c r="CK668" s="2927">
        <f t="shared" si="259"/>
        <v>0</v>
      </c>
      <c r="CL668" s="2927">
        <f t="shared" si="259"/>
        <v>0</v>
      </c>
      <c r="CM668" s="2927">
        <f t="shared" si="259"/>
        <v>0</v>
      </c>
      <c r="CN668" s="2927">
        <f t="shared" si="259"/>
        <v>0</v>
      </c>
      <c r="CO668" s="2927">
        <f t="shared" si="259"/>
        <v>0</v>
      </c>
      <c r="CP668" s="2927">
        <f t="shared" si="259"/>
        <v>0</v>
      </c>
      <c r="CQ668" s="2927">
        <f t="shared" si="259"/>
        <v>0</v>
      </c>
      <c r="CR668" s="2927">
        <f t="shared" si="259"/>
        <v>0</v>
      </c>
      <c r="CS668" s="2927">
        <f t="shared" si="259"/>
        <v>5060</v>
      </c>
      <c r="CT668" s="2927">
        <f t="shared" si="259"/>
        <v>9240</v>
      </c>
      <c r="CU668" s="2927">
        <f t="shared" si="259"/>
        <v>31076</v>
      </c>
      <c r="CV668" s="2927">
        <f t="shared" si="259"/>
        <v>28782</v>
      </c>
      <c r="CW668" s="2927">
        <f t="shared" si="259"/>
        <v>15000</v>
      </c>
      <c r="CX668" s="2927">
        <f t="shared" si="259"/>
        <v>0</v>
      </c>
      <c r="CY668" s="2927">
        <f t="shared" si="259"/>
        <v>0</v>
      </c>
      <c r="CZ668" s="2927">
        <f t="shared" si="259"/>
        <v>0</v>
      </c>
      <c r="DA668" s="2927">
        <f t="shared" si="259"/>
        <v>0</v>
      </c>
      <c r="DB668" s="2927">
        <f t="shared" si="259"/>
        <v>0</v>
      </c>
      <c r="DC668" s="2927">
        <f t="shared" si="259"/>
        <v>0</v>
      </c>
      <c r="DD668" s="2927">
        <f t="shared" si="259"/>
        <v>0</v>
      </c>
      <c r="DE668" s="2927">
        <f t="shared" si="259"/>
        <v>0</v>
      </c>
      <c r="DF668" s="2927">
        <f t="shared" si="259"/>
        <v>0</v>
      </c>
      <c r="DG668" s="2927">
        <f t="shared" si="259"/>
        <v>0</v>
      </c>
      <c r="DH668" s="2927">
        <f t="shared" si="259"/>
        <v>0</v>
      </c>
      <c r="DI668" s="2927">
        <f t="shared" si="259"/>
        <v>0</v>
      </c>
      <c r="DJ668" s="2927">
        <f t="shared" si="259"/>
        <v>0</v>
      </c>
      <c r="DK668" s="2927">
        <f t="shared" si="259"/>
        <v>0</v>
      </c>
      <c r="DL668" s="2927">
        <f t="shared" si="259"/>
        <v>0</v>
      </c>
      <c r="DM668" s="2927">
        <f t="shared" si="259"/>
        <v>0</v>
      </c>
      <c r="DN668" s="2927">
        <f t="shared" si="259"/>
        <v>0</v>
      </c>
      <c r="DO668" s="2927">
        <f t="shared" si="259"/>
        <v>0</v>
      </c>
      <c r="DP668" s="2927">
        <f t="shared" si="259"/>
        <v>0</v>
      </c>
      <c r="DQ668" s="2927">
        <f t="shared" si="259"/>
        <v>0</v>
      </c>
      <c r="DR668" s="2927">
        <f t="shared" si="259"/>
        <v>10</v>
      </c>
      <c r="DS668" s="2927">
        <f t="shared" si="259"/>
        <v>14</v>
      </c>
      <c r="DT668" s="2927">
        <f t="shared" si="259"/>
        <v>34</v>
      </c>
      <c r="DU668" s="2927">
        <f t="shared" si="259"/>
        <v>26</v>
      </c>
      <c r="DV668" s="2927">
        <f t="shared" si="259"/>
        <v>12</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10</v>
      </c>
      <c r="EW668" s="2927">
        <f t="shared" si="260"/>
        <v>14</v>
      </c>
      <c r="EX668" s="2927">
        <f t="shared" si="260"/>
        <v>34</v>
      </c>
      <c r="EY668" s="2927">
        <f t="shared" si="260"/>
        <v>26</v>
      </c>
      <c r="EZ668" s="2927">
        <f t="shared" si="260"/>
        <v>12</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0</v>
      </c>
      <c r="FX668" s="2927">
        <f t="shared" si="260"/>
        <v>0</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10</v>
      </c>
      <c r="HJ668" s="2927">
        <f t="shared" si="261"/>
        <v>14</v>
      </c>
      <c r="HK668" s="2927">
        <f t="shared" si="261"/>
        <v>34</v>
      </c>
      <c r="HL668" s="2927">
        <f t="shared" si="261"/>
        <v>26</v>
      </c>
      <c r="HM668" s="2927">
        <f t="shared" si="261"/>
        <v>12</v>
      </c>
      <c r="HN668" s="2927">
        <f t="shared" si="261"/>
        <v>0</v>
      </c>
      <c r="HO668" s="2927">
        <f t="shared" si="261"/>
        <v>0</v>
      </c>
      <c r="HP668" s="2927">
        <f t="shared" si="261"/>
        <v>0</v>
      </c>
      <c r="HQ668" s="2927">
        <f t="shared" si="261"/>
        <v>0</v>
      </c>
      <c r="HR668" s="2927">
        <f t="shared" si="261"/>
        <v>0</v>
      </c>
      <c r="HS668" s="2927">
        <f t="shared" si="261"/>
        <v>0</v>
      </c>
      <c r="HT668" s="2927">
        <f t="shared" si="261"/>
        <v>0</v>
      </c>
      <c r="HU668" s="2927">
        <f t="shared" si="261"/>
        <v>0</v>
      </c>
      <c r="HV668" s="2927">
        <f t="shared" si="261"/>
        <v>0</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10</v>
      </c>
      <c r="JC668" s="2927">
        <f t="shared" si="261"/>
        <v>14</v>
      </c>
      <c r="JD668" s="2927">
        <f t="shared" si="261"/>
        <v>34</v>
      </c>
      <c r="JE668" s="2927">
        <f t="shared" si="261"/>
        <v>26</v>
      </c>
      <c r="JF668" s="2927">
        <f t="shared" si="261"/>
        <v>12</v>
      </c>
      <c r="JG668" s="2927">
        <f t="shared" si="261"/>
        <v>0</v>
      </c>
      <c r="JH668" s="2927">
        <f t="shared" si="261"/>
        <v>0</v>
      </c>
      <c r="JI668" s="2927">
        <f t="shared" si="261"/>
        <v>0</v>
      </c>
      <c r="JJ668" s="2927">
        <f t="shared" si="261"/>
        <v>0</v>
      </c>
      <c r="JK668" s="2927">
        <f t="shared" si="261"/>
        <v>0</v>
      </c>
      <c r="JL668" s="2927">
        <f t="shared" si="261"/>
        <v>0</v>
      </c>
      <c r="JM668" s="2927">
        <f t="shared" si="261"/>
        <v>0</v>
      </c>
      <c r="JN668" s="2927">
        <f t="shared" si="261"/>
        <v>0</v>
      </c>
      <c r="JO668" s="2927">
        <f t="shared" si="261"/>
        <v>0</v>
      </c>
      <c r="JP668" s="2927">
        <f t="shared" si="261"/>
        <v>0</v>
      </c>
      <c r="JQ668" s="2927">
        <f t="shared" si="261"/>
        <v>0</v>
      </c>
    </row>
    <row r="669" spans="1:277" ht="14.45" customHeight="1">
      <c r="B669" s="521"/>
      <c r="D669" s="2924"/>
      <c r="E669" s="2925"/>
      <c r="F669" s="2925"/>
      <c r="G669" s="523"/>
      <c r="H669" s="523"/>
      <c r="I669" s="523"/>
      <c r="J669" s="523"/>
      <c r="K669" s="2924" t="s">
        <v>856</v>
      </c>
      <c r="L669" s="2925">
        <f>L668*12</f>
        <v>816984</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4576</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780</v>
      </c>
      <c r="B673" s="2885" t="s">
        <v>558</v>
      </c>
      <c r="Q673" s="2930" t="str">
        <f>IF(SUM(Q676:Q740)&gt;0,"ERROR Between Rent Schedule &amp; Unit Summary:", "")</f>
        <v>ERROR Between Rent Schedule &amp; Unit Summary:</v>
      </c>
      <c r="R673" s="2931"/>
      <c r="S673" s="2931"/>
      <c r="T673" s="524" t="str">
        <f>B673</f>
        <v>UNIT SUMMARY</v>
      </c>
      <c r="U673" s="2885" t="s">
        <v>558</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1190</v>
      </c>
      <c r="H675" s="520" t="s">
        <v>592</v>
      </c>
      <c r="I675" s="520" t="s">
        <v>559</v>
      </c>
      <c r="J675" s="520" t="s">
        <v>560</v>
      </c>
      <c r="K675" s="520" t="s">
        <v>561</v>
      </c>
      <c r="L675" s="520" t="s">
        <v>562</v>
      </c>
      <c r="M675" s="520" t="s">
        <v>563</v>
      </c>
      <c r="Q675" s="2932"/>
      <c r="R675" s="2933"/>
      <c r="S675" s="2933"/>
      <c r="T675" s="2792" t="s">
        <v>1938</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1192</v>
      </c>
      <c r="D676" s="521"/>
      <c r="E676" s="521"/>
      <c r="F676" s="521"/>
      <c r="G676" s="522" t="s">
        <v>1204</v>
      </c>
      <c r="H676" s="2934">
        <f>V668</f>
        <v>8</v>
      </c>
      <c r="I676" s="2934">
        <f>W668</f>
        <v>11</v>
      </c>
      <c r="J676" s="2934">
        <f>X668</f>
        <v>27</v>
      </c>
      <c r="K676" s="2934">
        <f>Y668</f>
        <v>20</v>
      </c>
      <c r="L676" s="2934">
        <f>Z668</f>
        <v>9</v>
      </c>
      <c r="M676" s="2934">
        <f t="shared" ref="M676:M682" si="262">SUM(H676:L676)</f>
        <v>75</v>
      </c>
      <c r="N676" s="2935" t="s">
        <v>934</v>
      </c>
      <c r="O676" s="2935"/>
      <c r="P676" s="2936"/>
      <c r="Q676" s="2937">
        <f t="shared" ref="Q676:Q682" si="263">ABS(M676-AF676)</f>
        <v>75</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459</v>
      </c>
      <c r="B677" s="2938"/>
      <c r="C677" s="524"/>
      <c r="D677" s="521"/>
      <c r="E677" s="521"/>
      <c r="F677" s="521"/>
      <c r="G677" s="522" t="s">
        <v>120</v>
      </c>
      <c r="H677" s="2934">
        <f>AA668</f>
        <v>2</v>
      </c>
      <c r="I677" s="2934">
        <f>AB668</f>
        <v>3</v>
      </c>
      <c r="J677" s="2934">
        <f>AC668</f>
        <v>7</v>
      </c>
      <c r="K677" s="2934">
        <f>AD668</f>
        <v>6</v>
      </c>
      <c r="L677" s="2934">
        <f>AE668</f>
        <v>3</v>
      </c>
      <c r="M677" s="2934">
        <f t="shared" si="262"/>
        <v>21</v>
      </c>
      <c r="N677" s="2935"/>
      <c r="O677" s="2935"/>
      <c r="P677" s="2936"/>
      <c r="Q677" s="2937">
        <f t="shared" si="263"/>
        <v>21</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563</v>
      </c>
      <c r="H678" s="2934">
        <f>SUM(H676:H677)</f>
        <v>10</v>
      </c>
      <c r="I678" s="2934">
        <f>SUM(I676:I677)</f>
        <v>14</v>
      </c>
      <c r="J678" s="2934">
        <f>SUM(J676:J677)</f>
        <v>34</v>
      </c>
      <c r="K678" s="2934">
        <f>SUM(K676:K677)</f>
        <v>26</v>
      </c>
      <c r="L678" s="2934">
        <f>SUM(L676:L677)</f>
        <v>12</v>
      </c>
      <c r="M678" s="2934">
        <f t="shared" si="262"/>
        <v>96</v>
      </c>
      <c r="N678" s="2939"/>
      <c r="Q678" s="2937">
        <f t="shared" si="263"/>
        <v>96</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316</v>
      </c>
      <c r="D679" s="521"/>
      <c r="E679" s="521"/>
      <c r="F679" s="521"/>
      <c r="G679" s="522"/>
      <c r="H679" s="2934">
        <f>AK668</f>
        <v>0</v>
      </c>
      <c r="I679" s="2934">
        <f>AL668</f>
        <v>0</v>
      </c>
      <c r="J679" s="2934">
        <f>AM668</f>
        <v>0</v>
      </c>
      <c r="K679" s="2934">
        <f>AN668</f>
        <v>0</v>
      </c>
      <c r="L679" s="2934">
        <f>AO668</f>
        <v>0</v>
      </c>
      <c r="M679" s="2934">
        <f t="shared" si="262"/>
        <v>0</v>
      </c>
      <c r="N679" s="505"/>
      <c r="Q679" s="2937">
        <f t="shared" si="263"/>
        <v>0</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1193</v>
      </c>
      <c r="D680" s="521"/>
      <c r="E680" s="521"/>
      <c r="F680" s="521"/>
      <c r="G680" s="522"/>
      <c r="H680" s="2934">
        <f>SUM(H678:H679)</f>
        <v>10</v>
      </c>
      <c r="I680" s="2934">
        <f>SUM(I678:I679)</f>
        <v>14</v>
      </c>
      <c r="J680" s="2934">
        <f>SUM(J678:J679)</f>
        <v>34</v>
      </c>
      <c r="K680" s="2934">
        <f>SUM(K678:K679)</f>
        <v>26</v>
      </c>
      <c r="L680" s="2934">
        <f>SUM(L678:L679)</f>
        <v>12</v>
      </c>
      <c r="M680" s="2934">
        <f t="shared" si="262"/>
        <v>96</v>
      </c>
      <c r="N680" s="505"/>
      <c r="Q680" s="2937">
        <f t="shared" si="263"/>
        <v>96</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2637</v>
      </c>
      <c r="D681" s="521"/>
      <c r="E681" s="521"/>
      <c r="F681" s="521"/>
      <c r="G681" s="522"/>
      <c r="H681" s="2934">
        <f>BT668</f>
        <v>0</v>
      </c>
      <c r="I681" s="2934">
        <f>BU668</f>
        <v>0</v>
      </c>
      <c r="J681" s="2934">
        <f>BV668</f>
        <v>0</v>
      </c>
      <c r="K681" s="2934">
        <f>BW668</f>
        <v>0</v>
      </c>
      <c r="L681" s="2934">
        <f>BX668</f>
        <v>0</v>
      </c>
      <c r="M681" s="2934">
        <f t="shared" si="262"/>
        <v>0</v>
      </c>
      <c r="N681" s="522" t="s">
        <v>2318</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563</v>
      </c>
      <c r="D682" s="521"/>
      <c r="E682" s="521"/>
      <c r="F682" s="521"/>
      <c r="G682" s="522"/>
      <c r="H682" s="2934">
        <f>SUM(H680:H681)</f>
        <v>10</v>
      </c>
      <c r="I682" s="2934">
        <f>SUM(I680:I681)</f>
        <v>14</v>
      </c>
      <c r="J682" s="2934">
        <f>SUM(J680:J681)</f>
        <v>34</v>
      </c>
      <c r="K682" s="2934">
        <f>SUM(K680:K681)</f>
        <v>26</v>
      </c>
      <c r="L682" s="2934">
        <f>SUM(L680:L681)</f>
        <v>12</v>
      </c>
      <c r="M682" s="2934">
        <f t="shared" si="262"/>
        <v>96</v>
      </c>
      <c r="Q682" s="2937">
        <f t="shared" si="263"/>
        <v>96</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978</v>
      </c>
      <c r="D684" s="521"/>
      <c r="E684" s="525"/>
      <c r="F684" s="521"/>
      <c r="G684" s="522" t="s">
        <v>1204</v>
      </c>
      <c r="H684" s="2934">
        <f>AZ668</f>
        <v>8</v>
      </c>
      <c r="I684" s="2934">
        <f>BA668</f>
        <v>11</v>
      </c>
      <c r="J684" s="2934">
        <f>BB668</f>
        <v>27</v>
      </c>
      <c r="K684" s="2934">
        <f>BC668</f>
        <v>20</v>
      </c>
      <c r="L684" s="2934">
        <f>BD668</f>
        <v>9</v>
      </c>
      <c r="M684" s="2934">
        <f>SUM(H684:L684)</f>
        <v>75</v>
      </c>
      <c r="N684" s="522"/>
      <c r="Q684" s="2937">
        <f>ABS(M684-AF684)</f>
        <v>75</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2638</v>
      </c>
      <c r="D685" s="521"/>
      <c r="E685" s="525"/>
      <c r="F685" s="521"/>
      <c r="G685" s="522" t="s">
        <v>120</v>
      </c>
      <c r="H685" s="2934">
        <f>AU668</f>
        <v>2</v>
      </c>
      <c r="I685" s="2934">
        <f>AV668</f>
        <v>3</v>
      </c>
      <c r="J685" s="2934">
        <f>AW668</f>
        <v>7</v>
      </c>
      <c r="K685" s="2934">
        <f>AX668</f>
        <v>6</v>
      </c>
      <c r="L685" s="2934">
        <f>AY668</f>
        <v>3</v>
      </c>
      <c r="M685" s="2934">
        <f>SUM(H685:L685)</f>
        <v>21</v>
      </c>
      <c r="N685" s="522"/>
      <c r="Q685" s="2937">
        <f>ABS(M685-AF685)</f>
        <v>21</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563</v>
      </c>
      <c r="H686" s="2934">
        <f>SUM(H684:H685)</f>
        <v>10</v>
      </c>
      <c r="I686" s="2934">
        <f>SUM(I684:I685)</f>
        <v>14</v>
      </c>
      <c r="J686" s="2934">
        <f>SUM(J684:J685)</f>
        <v>34</v>
      </c>
      <c r="K686" s="2934">
        <f>SUM(K684:K685)</f>
        <v>26</v>
      </c>
      <c r="L686" s="2934">
        <f>SUM(L684:L685)</f>
        <v>12</v>
      </c>
      <c r="M686" s="2934">
        <f>SUM(H686:L686)</f>
        <v>96</v>
      </c>
      <c r="N686" s="522"/>
      <c r="Q686" s="2937">
        <f>ABS(M686-AF686)</f>
        <v>96</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933</v>
      </c>
      <c r="D688" s="521"/>
      <c r="E688" s="525"/>
      <c r="F688" s="521"/>
      <c r="G688" s="522" t="s">
        <v>1204</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2638</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563</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2404</v>
      </c>
      <c r="F692" s="521"/>
      <c r="G692" s="522" t="s">
        <v>1504</v>
      </c>
      <c r="H692" s="2934">
        <f>DC668</f>
        <v>0</v>
      </c>
      <c r="I692" s="2934">
        <f>DD668</f>
        <v>0</v>
      </c>
      <c r="J692" s="2934">
        <f>DE668</f>
        <v>0</v>
      </c>
      <c r="K692" s="2934">
        <f>DF668</f>
        <v>0</v>
      </c>
      <c r="L692" s="2934">
        <f>DG668</f>
        <v>0</v>
      </c>
      <c r="M692" s="2934">
        <f t="shared" ref="M692:M702" si="264">SUM(H692:L692)</f>
        <v>0</v>
      </c>
      <c r="Q692" s="2937">
        <f t="shared" ref="Q692:Q700" si="265">ABS(M692-AF692)</f>
        <v>0</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316</v>
      </c>
      <c r="H693" s="2934">
        <f>DH668</f>
        <v>0</v>
      </c>
      <c r="I693" s="2934">
        <f>DI668</f>
        <v>0</v>
      </c>
      <c r="J693" s="2934">
        <f>DJ668</f>
        <v>0</v>
      </c>
      <c r="K693" s="2934">
        <f>DK668</f>
        <v>0</v>
      </c>
      <c r="L693" s="2934">
        <f>DL668</f>
        <v>0</v>
      </c>
      <c r="M693" s="2934">
        <f t="shared" si="264"/>
        <v>0</v>
      </c>
      <c r="N693" s="505"/>
      <c r="Q693" s="2937">
        <f t="shared" si="265"/>
        <v>0</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0</v>
      </c>
      <c r="I694" s="2934">
        <f>SUM(I692:I693)+DN668</f>
        <v>0</v>
      </c>
      <c r="J694" s="2934">
        <f>SUM(J692:J693)+DO668</f>
        <v>0</v>
      </c>
      <c r="K694" s="2934">
        <f>SUM(K692:K693)+DP668</f>
        <v>0</v>
      </c>
      <c r="L694" s="2934">
        <f>SUM(L692:L693)+DQ668</f>
        <v>0</v>
      </c>
      <c r="M694" s="2934">
        <f t="shared" si="264"/>
        <v>0</v>
      </c>
      <c r="N694" s="522"/>
      <c r="Q694" s="2937">
        <f t="shared" si="265"/>
        <v>0</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2238</v>
      </c>
      <c r="F695" s="521"/>
      <c r="G695" s="522" t="s">
        <v>1504</v>
      </c>
      <c r="H695" s="2934">
        <f>DR668</f>
        <v>10</v>
      </c>
      <c r="I695" s="2934">
        <f>DS668</f>
        <v>14</v>
      </c>
      <c r="J695" s="2934">
        <f>DT668</f>
        <v>34</v>
      </c>
      <c r="K695" s="2934">
        <f>DU668</f>
        <v>26</v>
      </c>
      <c r="L695" s="2934">
        <f>DV668</f>
        <v>12</v>
      </c>
      <c r="M695" s="2934">
        <f t="shared" si="264"/>
        <v>96</v>
      </c>
      <c r="Q695" s="2937">
        <f t="shared" si="265"/>
        <v>96</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316</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10</v>
      </c>
      <c r="I697" s="2934">
        <f>SUM(I695:I696)+EC668</f>
        <v>14</v>
      </c>
      <c r="J697" s="2934">
        <f>SUM(J695:J696)+ED668</f>
        <v>34</v>
      </c>
      <c r="K697" s="2934">
        <f>SUM(K695:K696)+EE668</f>
        <v>26</v>
      </c>
      <c r="L697" s="2934">
        <f>SUM(L695:L696)+EF668</f>
        <v>12</v>
      </c>
      <c r="M697" s="2934">
        <f t="shared" si="264"/>
        <v>96</v>
      </c>
      <c r="N697" s="522"/>
      <c r="Q697" s="2937">
        <f t="shared" si="265"/>
        <v>96</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1490</v>
      </c>
      <c r="F698" s="2892"/>
      <c r="G698" s="522" t="s">
        <v>1504</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316</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379</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4375</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3813</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4577</v>
      </c>
      <c r="D706" s="2820"/>
      <c r="E706" s="525" t="s">
        <v>41</v>
      </c>
      <c r="F706" s="521"/>
      <c r="G706" s="522"/>
      <c r="H706" s="2934">
        <f t="shared" ref="H706:M706" si="266">SUM(H707:H714)</f>
        <v>10</v>
      </c>
      <c r="I706" s="2934">
        <f t="shared" si="266"/>
        <v>14</v>
      </c>
      <c r="J706" s="2934">
        <f t="shared" si="266"/>
        <v>34</v>
      </c>
      <c r="K706" s="2934">
        <f t="shared" si="266"/>
        <v>26</v>
      </c>
      <c r="L706" s="2934">
        <f t="shared" si="266"/>
        <v>12</v>
      </c>
      <c r="M706" s="2934">
        <f t="shared" si="266"/>
        <v>96</v>
      </c>
      <c r="Q706" s="2937">
        <f>ABS(M706-AF706)</f>
        <v>96</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2732</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3813</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2733</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3813</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2735</v>
      </c>
      <c r="H711" s="2934">
        <f>HI668</f>
        <v>10</v>
      </c>
      <c r="I711" s="2934">
        <f>HJ668</f>
        <v>14</v>
      </c>
      <c r="J711" s="2934">
        <f>HK668</f>
        <v>34</v>
      </c>
      <c r="K711" s="2934">
        <f>HL668</f>
        <v>26</v>
      </c>
      <c r="L711" s="2934">
        <f>HM668</f>
        <v>12</v>
      </c>
      <c r="M711" s="2934">
        <f t="shared" si="267"/>
        <v>96</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3813</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2734</v>
      </c>
      <c r="H713" s="2934">
        <f>HS668</f>
        <v>0</v>
      </c>
      <c r="I713" s="2934">
        <f>HT668</f>
        <v>0</v>
      </c>
      <c r="J713" s="2934">
        <f>HU668</f>
        <v>0</v>
      </c>
      <c r="K713" s="2934">
        <f>HV668</f>
        <v>0</v>
      </c>
      <c r="L713" s="2934">
        <f>HW668</f>
        <v>0</v>
      </c>
      <c r="M713" s="2934">
        <f t="shared" si="267"/>
        <v>0</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3813</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3813</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3813</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589</v>
      </c>
      <c r="F719" s="521"/>
      <c r="G719" s="522"/>
      <c r="H719" s="2934">
        <f>FU668</f>
        <v>0</v>
      </c>
      <c r="I719" s="2934">
        <f>FV668</f>
        <v>0</v>
      </c>
      <c r="J719" s="2934">
        <f>FW668</f>
        <v>0</v>
      </c>
      <c r="K719" s="2934">
        <f>FX668</f>
        <v>0</v>
      </c>
      <c r="L719" s="2934">
        <f>FY668</f>
        <v>0</v>
      </c>
      <c r="M719" s="2934">
        <f t="shared" si="267"/>
        <v>0</v>
      </c>
      <c r="N719" s="522"/>
      <c r="O719" s="2899"/>
      <c r="Q719" s="2937">
        <f>ABS(M719-AF719)</f>
        <v>0</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3813</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590</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3813</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4578</v>
      </c>
      <c r="D724" s="2947"/>
      <c r="E724" s="2767" t="s">
        <v>3808</v>
      </c>
      <c r="F724" s="2696"/>
      <c r="G724" s="2696"/>
      <c r="H724" s="2934">
        <f t="shared" ref="H724:L725" si="268">H715+H719+H721</f>
        <v>0</v>
      </c>
      <c r="I724" s="2934">
        <f t="shared" si="268"/>
        <v>0</v>
      </c>
      <c r="J724" s="2934">
        <f t="shared" si="268"/>
        <v>0</v>
      </c>
      <c r="K724" s="2934">
        <f t="shared" si="268"/>
        <v>0</v>
      </c>
      <c r="L724" s="2934">
        <f t="shared" si="268"/>
        <v>0</v>
      </c>
      <c r="M724" s="2934">
        <f t="shared" ref="M724:M731" si="269">SUM(H724:L724)</f>
        <v>0</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3813</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3809</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3813</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3810</v>
      </c>
      <c r="F728" s="2696"/>
      <c r="G728" s="2696"/>
      <c r="H728" s="2934">
        <f>H711</f>
        <v>10</v>
      </c>
      <c r="I728" s="2934">
        <f t="shared" ref="I728:L729" si="271">I711</f>
        <v>14</v>
      </c>
      <c r="J728" s="2934">
        <f t="shared" si="271"/>
        <v>34</v>
      </c>
      <c r="K728" s="2934">
        <f t="shared" si="271"/>
        <v>26</v>
      </c>
      <c r="L728" s="2934">
        <f t="shared" si="271"/>
        <v>12</v>
      </c>
      <c r="M728" s="2934">
        <f t="shared" si="269"/>
        <v>96</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3813</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3811</v>
      </c>
      <c r="F730" s="2696"/>
      <c r="G730" s="2696"/>
      <c r="H730" s="2934">
        <f>H709+H713</f>
        <v>0</v>
      </c>
      <c r="I730" s="2934">
        <f t="shared" ref="I730:L731" si="272">I709+I713</f>
        <v>0</v>
      </c>
      <c r="J730" s="2934">
        <f t="shared" si="272"/>
        <v>0</v>
      </c>
      <c r="K730" s="2934">
        <f t="shared" si="272"/>
        <v>0</v>
      </c>
      <c r="L730" s="2934">
        <f t="shared" si="272"/>
        <v>0</v>
      </c>
      <c r="M730" s="2934">
        <f t="shared" si="269"/>
        <v>0</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3813</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2267</v>
      </c>
      <c r="C733" s="521"/>
      <c r="D733" s="521"/>
      <c r="E733" s="521"/>
      <c r="F733" s="521"/>
      <c r="G733" s="522"/>
      <c r="H733" s="2952"/>
      <c r="I733" s="2952"/>
      <c r="J733" s="2952"/>
      <c r="K733" s="2952"/>
      <c r="L733" s="2952"/>
      <c r="M733" s="2952"/>
      <c r="Q733" s="2937"/>
      <c r="R733" s="2937"/>
      <c r="S733" s="2937"/>
      <c r="T733" s="2697" t="str">
        <f>B733</f>
        <v>Unit Square Footage:</v>
      </c>
      <c r="U733" s="2885" t="s">
        <v>1191</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2237</v>
      </c>
      <c r="D734" s="521"/>
      <c r="E734" s="521"/>
      <c r="F734" s="521"/>
      <c r="G734" s="522" t="s">
        <v>1204</v>
      </c>
      <c r="H734" s="2953">
        <f>BY668</f>
        <v>4048</v>
      </c>
      <c r="I734" s="2953">
        <f>BZ668</f>
        <v>7260</v>
      </c>
      <c r="J734" s="2953">
        <f>CA668</f>
        <v>24678</v>
      </c>
      <c r="K734" s="2953">
        <f>CB668</f>
        <v>22140</v>
      </c>
      <c r="L734" s="2953">
        <f>CC668</f>
        <v>11250</v>
      </c>
      <c r="M734" s="2953">
        <f t="shared" ref="M734:M740" si="273">SUM(H734:L734)</f>
        <v>69376</v>
      </c>
      <c r="Q734" s="2937">
        <f t="shared" ref="Q734:Q740" si="274">ABS(M734-AF734)</f>
        <v>69376</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1012</v>
      </c>
      <c r="I735" s="2953">
        <f>CE668</f>
        <v>1980</v>
      </c>
      <c r="J735" s="2953">
        <f>CF668</f>
        <v>6398</v>
      </c>
      <c r="K735" s="2953">
        <f>CG668</f>
        <v>6642</v>
      </c>
      <c r="L735" s="2953">
        <f>CH668</f>
        <v>3750</v>
      </c>
      <c r="M735" s="2953">
        <f t="shared" si="273"/>
        <v>19782</v>
      </c>
      <c r="N735" s="521"/>
      <c r="Q735" s="2937">
        <f t="shared" si="274"/>
        <v>19782</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563</v>
      </c>
      <c r="H736" s="2953">
        <f>SUM(H734:H735)</f>
        <v>5060</v>
      </c>
      <c r="I736" s="2953">
        <f>SUM(I734:I735)</f>
        <v>9240</v>
      </c>
      <c r="J736" s="2953">
        <f>SUM(J734:J735)</f>
        <v>31076</v>
      </c>
      <c r="K736" s="2953">
        <f>SUM(K734:K735)</f>
        <v>28782</v>
      </c>
      <c r="L736" s="2953">
        <f>SUM(L734:L735)</f>
        <v>15000</v>
      </c>
      <c r="M736" s="2953">
        <f t="shared" si="273"/>
        <v>89158</v>
      </c>
      <c r="N736" s="521"/>
      <c r="Q736" s="2937">
        <f t="shared" si="274"/>
        <v>89158</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316</v>
      </c>
      <c r="D737" s="521"/>
      <c r="E737" s="521"/>
      <c r="F737" s="521"/>
      <c r="G737" s="521"/>
      <c r="H737" s="2953">
        <f>CN668</f>
        <v>0</v>
      </c>
      <c r="I737" s="2953">
        <f>CO668</f>
        <v>0</v>
      </c>
      <c r="J737" s="2953">
        <f>CP668</f>
        <v>0</v>
      </c>
      <c r="K737" s="2953">
        <f>CQ668</f>
        <v>0</v>
      </c>
      <c r="L737" s="2953">
        <f>CR668</f>
        <v>0</v>
      </c>
      <c r="M737" s="2953">
        <f t="shared" si="273"/>
        <v>0</v>
      </c>
      <c r="Q737" s="2937">
        <f t="shared" si="274"/>
        <v>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1193</v>
      </c>
      <c r="D738" s="521"/>
      <c r="E738" s="521"/>
      <c r="F738" s="521"/>
      <c r="G738" s="521"/>
      <c r="H738" s="2953">
        <f>SUM(H736:H737)</f>
        <v>5060</v>
      </c>
      <c r="I738" s="2953">
        <f>SUM(I736:I737)</f>
        <v>9240</v>
      </c>
      <c r="J738" s="2953">
        <f>SUM(J736:J737)</f>
        <v>31076</v>
      </c>
      <c r="K738" s="2953">
        <f>SUM(K736:K737)</f>
        <v>28782</v>
      </c>
      <c r="L738" s="2953">
        <f>SUM(L736:L737)</f>
        <v>15000</v>
      </c>
      <c r="M738" s="2953">
        <f t="shared" si="273"/>
        <v>89158</v>
      </c>
      <c r="Q738" s="2937">
        <f t="shared" si="274"/>
        <v>89158</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2637</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563</v>
      </c>
      <c r="D740" s="521"/>
      <c r="E740" s="521"/>
      <c r="F740" s="521"/>
      <c r="G740" s="521"/>
      <c r="H740" s="2953">
        <f>SUM(H738:H739)</f>
        <v>5060</v>
      </c>
      <c r="I740" s="2953">
        <f>SUM(I738:I739)</f>
        <v>9240</v>
      </c>
      <c r="J740" s="2953">
        <f>SUM(J738:J739)</f>
        <v>31076</v>
      </c>
      <c r="K740" s="2953">
        <f>SUM(K738:K739)</f>
        <v>28782</v>
      </c>
      <c r="L740" s="2953">
        <f>SUM(L738:L739)</f>
        <v>15000</v>
      </c>
      <c r="M740" s="2953">
        <f t="shared" si="273"/>
        <v>89158</v>
      </c>
      <c r="Q740" s="2937">
        <f t="shared" si="274"/>
        <v>89158</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782</v>
      </c>
      <c r="B742" s="2885" t="s">
        <v>4579</v>
      </c>
      <c r="Q742" s="521"/>
      <c r="R742" s="521"/>
      <c r="S742" s="521"/>
      <c r="T742" s="2885" t="s">
        <v>1938</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1066</v>
      </c>
      <c r="D744" s="525"/>
      <c r="H744" s="2954">
        <f>'Part VI-Revenues &amp; Expenses'!H124</f>
        <v>16339.68</v>
      </c>
      <c r="I744" s="2954"/>
      <c r="K744" s="2955" t="s">
        <v>4580</v>
      </c>
      <c r="O744" s="2956">
        <f>H744/L669</f>
        <v>0.02</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1519</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2395</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1067</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781</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4581</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557</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781</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4582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2750</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2395</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1067</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781</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4581</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557</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781</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4582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2751</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2395</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1067</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781</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4581</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557</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781</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4582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2751</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2395</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1067</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781</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4581</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557</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781</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4582</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1880</v>
      </c>
      <c r="B783" s="2884" t="s">
        <v>1069</v>
      </c>
      <c r="C783" s="2884"/>
      <c r="D783" s="2884"/>
      <c r="E783" s="2884"/>
      <c r="F783" s="2884"/>
      <c r="G783" s="2884"/>
      <c r="H783" s="2884"/>
      <c r="I783" s="2884"/>
      <c r="J783" s="2884"/>
      <c r="K783" s="2884"/>
      <c r="M783" s="2924"/>
      <c r="N783" s="2893"/>
      <c r="O783" s="2893"/>
      <c r="T783" s="524" t="str">
        <f>B783</f>
        <v>ANNUAL OPERATING EXPENSE BUDGET</v>
      </c>
      <c r="U783" s="926"/>
      <c r="V783" s="926"/>
      <c r="W783" s="926"/>
      <c r="X783" s="926"/>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1938</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1355</v>
      </c>
      <c r="F785" s="926"/>
      <c r="G785" s="926"/>
      <c r="I785" s="524" t="s">
        <v>1443</v>
      </c>
      <c r="N785" s="524" t="s">
        <v>1442</v>
      </c>
      <c r="T785" s="2847">
        <f>'Part VI-Revenues &amp; Expenses'!U165</f>
        <v>0</v>
      </c>
      <c r="U785" s="2922"/>
      <c r="V785" s="926"/>
      <c r="W785" s="926"/>
      <c r="X785" s="926"/>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2299</v>
      </c>
      <c r="F786" s="2966">
        <f>'Part VI-Revenues &amp; Expenses'!F166</f>
        <v>48800</v>
      </c>
      <c r="G786" s="2966"/>
      <c r="I786" s="521" t="s">
        <v>1444</v>
      </c>
      <c r="K786" s="2966">
        <f>'Part VI-Revenues &amp; Expenses'!K166</f>
        <v>0</v>
      </c>
      <c r="L786" s="2966"/>
      <c r="N786" s="521" t="s">
        <v>973</v>
      </c>
      <c r="P786" s="2962">
        <f>'Part VI-Revenues &amp; Expenses'!P166</f>
        <v>50655</v>
      </c>
      <c r="T786" s="2922"/>
      <c r="U786" s="2922"/>
      <c r="V786" s="926"/>
      <c r="W786" s="926"/>
      <c r="X786" s="926"/>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1433</v>
      </c>
      <c r="F787" s="2966">
        <f>'Part VI-Revenues &amp; Expenses'!F167</f>
        <v>49968</v>
      </c>
      <c r="G787" s="2966"/>
      <c r="I787" s="521" t="s">
        <v>1445</v>
      </c>
      <c r="K787" s="2966">
        <f>'Part VI-Revenues &amp; Expenses'!K167</f>
        <v>0</v>
      </c>
      <c r="L787" s="2966"/>
      <c r="N787" s="521" t="s">
        <v>152</v>
      </c>
      <c r="P787" s="2962">
        <f>'Part VI-Revenues &amp; Expenses'!P167</f>
        <v>35729</v>
      </c>
      <c r="T787" s="2922"/>
      <c r="U787" s="2922"/>
      <c r="V787" s="926"/>
      <c r="W787" s="926"/>
      <c r="X787" s="926"/>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1299</v>
      </c>
      <c r="F788" s="2966">
        <f>'Part VI-Revenues &amp; Expenses'!F168</f>
        <v>0</v>
      </c>
      <c r="G788" s="2966"/>
      <c r="J788" s="2967" t="s">
        <v>197</v>
      </c>
      <c r="K788" s="2966">
        <f>SUM(K786:L787)</f>
        <v>0</v>
      </c>
      <c r="L788" s="2966"/>
      <c r="N788" s="2968" t="s">
        <v>53</v>
      </c>
      <c r="O788" s="2968"/>
      <c r="P788" s="2962">
        <f>'Part VI-Revenues &amp; Expenses'!P168</f>
        <v>0</v>
      </c>
      <c r="T788" s="2922"/>
      <c r="U788" s="2922"/>
      <c r="V788" s="926"/>
      <c r="W788" s="926"/>
      <c r="X788" s="926"/>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86384</v>
      </c>
      <c r="T789" s="2922"/>
      <c r="U789" s="2922"/>
      <c r="V789" s="926"/>
      <c r="W789" s="926"/>
      <c r="X789" s="926"/>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98768</v>
      </c>
      <c r="G790" s="2966"/>
      <c r="J790" s="2934"/>
      <c r="T790" s="2922"/>
      <c r="U790" s="2922"/>
      <c r="V790" s="926"/>
      <c r="W790" s="926"/>
      <c r="X790" s="926"/>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1356</v>
      </c>
      <c r="D792" s="2969"/>
      <c r="I792" s="524" t="s">
        <v>1357</v>
      </c>
      <c r="N792" s="524" t="s">
        <v>1446</v>
      </c>
      <c r="P792" s="2970">
        <f>IF(OR('Part VII-Pro Forma'!$B$20 = "Choose Mgt Fee",'Part VII-Pro Forma'!$B$20 = "Choose One!"), 0,- 'Part VII-Pro Forma'!$B$20)</f>
        <v>62387</v>
      </c>
      <c r="T792" s="2922"/>
      <c r="U792" s="2922"/>
      <c r="V792" s="926"/>
      <c r="W792" s="926"/>
      <c r="X792" s="926"/>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1438</v>
      </c>
      <c r="D793" s="2969"/>
      <c r="F793" s="2966">
        <f>'Part VI-Revenues &amp; Expenses'!F173</f>
        <v>40909</v>
      </c>
      <c r="G793" s="2966"/>
      <c r="I793" s="521" t="s">
        <v>1680</v>
      </c>
      <c r="K793" s="2966">
        <f>'Part VI-Revenues &amp; Expenses'!K173</f>
        <v>960</v>
      </c>
      <c r="L793" s="2966"/>
      <c r="N793" s="2971">
        <f>+P792/(M682*0.93)</f>
        <v>698.77912186379922</v>
      </c>
      <c r="O793" s="2972" t="s">
        <v>3020</v>
      </c>
      <c r="T793" s="2922"/>
      <c r="U793" s="2922"/>
      <c r="V793" s="926"/>
      <c r="W793" s="926"/>
      <c r="X793" s="926"/>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1439</v>
      </c>
      <c r="D794" s="2969"/>
      <c r="F794" s="2966">
        <f>'Part VI-Revenues &amp; Expenses'!F174</f>
        <v>2400</v>
      </c>
      <c r="G794" s="2966"/>
      <c r="I794" s="521" t="s">
        <v>2150</v>
      </c>
      <c r="K794" s="2966">
        <f>'Part VI-Revenues &amp; Expenses'!K174</f>
        <v>11040</v>
      </c>
      <c r="L794" s="2966"/>
      <c r="N794" s="2971">
        <f>+P792/(M682*0.93)/12</f>
        <v>58.231593488649935</v>
      </c>
      <c r="O794" s="2972" t="s">
        <v>3021</v>
      </c>
      <c r="T794" s="2922"/>
      <c r="U794" s="2922"/>
      <c r="V794" s="926"/>
      <c r="W794" s="926"/>
      <c r="X794" s="926"/>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1440</v>
      </c>
      <c r="D795" s="2969"/>
      <c r="F795" s="2966">
        <f>'Part VI-Revenues &amp; Expenses'!F175</f>
        <v>500</v>
      </c>
      <c r="G795" s="2966"/>
      <c r="I795" s="521" t="s">
        <v>1681</v>
      </c>
      <c r="K795" s="2966">
        <f>'Part VI-Revenues &amp; Expenses'!K175</f>
        <v>0</v>
      </c>
      <c r="L795" s="2966"/>
      <c r="N795" s="2935" t="s">
        <v>2583</v>
      </c>
      <c r="O795" s="2935"/>
      <c r="P795" s="2935"/>
      <c r="T795" s="2922"/>
      <c r="U795" s="2922"/>
      <c r="V795" s="926"/>
      <c r="W795" s="926"/>
      <c r="X795" s="926"/>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2451</v>
      </c>
      <c r="D796" s="2969"/>
      <c r="F796" s="2966">
        <f>'Part VI-Revenues &amp; Expenses'!F176</f>
        <v>0</v>
      </c>
      <c r="G796" s="2966"/>
      <c r="I796" s="2968" t="s">
        <v>53</v>
      </c>
      <c r="J796" s="2968"/>
      <c r="K796" s="2966">
        <f>'Part VI-Revenues &amp; Expenses'!K176</f>
        <v>0</v>
      </c>
      <c r="L796" s="2966"/>
      <c r="N796" s="2935"/>
      <c r="O796" s="2935"/>
      <c r="P796" s="2935"/>
      <c r="T796" s="2922"/>
      <c r="U796" s="2922"/>
      <c r="V796" s="926"/>
      <c r="W796" s="926"/>
      <c r="X796" s="926"/>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1678</v>
      </c>
      <c r="D797" s="2969"/>
      <c r="F797" s="2966">
        <f>'Part VI-Revenues &amp; Expenses'!F177</f>
        <v>2880</v>
      </c>
      <c r="G797" s="2966"/>
      <c r="I797" s="524"/>
      <c r="J797" s="2967" t="s">
        <v>197</v>
      </c>
      <c r="K797" s="2973">
        <f>SUM(K793:K796)</f>
        <v>12000</v>
      </c>
      <c r="L797" s="2973"/>
      <c r="T797" s="2922"/>
      <c r="U797" s="2922"/>
      <c r="V797" s="926"/>
      <c r="W797" s="926"/>
      <c r="X797" s="926"/>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0</v>
      </c>
      <c r="G798" s="2966"/>
      <c r="J798" s="2934"/>
      <c r="N798" s="524" t="s">
        <v>2289</v>
      </c>
      <c r="P798" s="2962">
        <f>F790+F799+F810+K788+K797+K807+P789+P792</f>
        <v>571291</v>
      </c>
      <c r="T798" s="2847">
        <f>'Part VI-Revenues &amp; Expenses'!U178</f>
        <v>0</v>
      </c>
      <c r="U798" s="2922"/>
      <c r="V798" s="926"/>
      <c r="W798" s="926"/>
      <c r="X798" s="926"/>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46689</v>
      </c>
      <c r="G799" s="2966"/>
      <c r="J799" s="2934"/>
      <c r="N799" s="2971">
        <f>+P798/M682</f>
        <v>5950.947916666667</v>
      </c>
      <c r="O799" s="2972" t="s">
        <v>3022</v>
      </c>
      <c r="T799" s="2922"/>
      <c r="U799" s="2922"/>
      <c r="V799" s="926"/>
      <c r="W799" s="926"/>
      <c r="X799" s="926"/>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1358</v>
      </c>
      <c r="D801" s="2969"/>
      <c r="I801" s="524" t="s">
        <v>1441</v>
      </c>
      <c r="J801" s="2695" t="s">
        <v>3019</v>
      </c>
      <c r="N801" s="524" t="s">
        <v>4223</v>
      </c>
      <c r="O801" s="524"/>
      <c r="P801" s="2970">
        <f>P802*M682</f>
        <v>50400</v>
      </c>
      <c r="T801" s="2922"/>
      <c r="U801" s="2922"/>
      <c r="V801" s="926"/>
      <c r="W801" s="926"/>
      <c r="X801" s="926"/>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1682</v>
      </c>
      <c r="D802" s="2969"/>
      <c r="F802" s="2966">
        <f>'Part VI-Revenues &amp; Expenses'!F182</f>
        <v>30000</v>
      </c>
      <c r="G802" s="2966"/>
      <c r="I802" s="521" t="s">
        <v>1434</v>
      </c>
      <c r="J802" s="2855">
        <f>K802/12/M682</f>
        <v>71.912326388888886</v>
      </c>
      <c r="K802" s="2966">
        <f>'Part VI-Revenues &amp; Expenses'!K182</f>
        <v>82843</v>
      </c>
      <c r="L802" s="2966"/>
      <c r="N802" s="525" t="s">
        <v>4224</v>
      </c>
      <c r="P802" s="2974">
        <f>'Part VI-Revenues &amp; Expenses'!P182</f>
        <v>525</v>
      </c>
      <c r="T802" s="2922"/>
      <c r="U802" s="2922"/>
      <c r="V802" s="926"/>
      <c r="W802" s="926"/>
      <c r="X802" s="926"/>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1683</v>
      </c>
      <c r="D803" s="2969"/>
      <c r="F803" s="2966">
        <f>'Part VI-Revenues &amp; Expenses'!F183</f>
        <v>6000</v>
      </c>
      <c r="G803" s="2966"/>
      <c r="I803" s="521" t="s">
        <v>1435</v>
      </c>
      <c r="J803" s="2855">
        <f>K803/12/M682</f>
        <v>30.569444444444443</v>
      </c>
      <c r="K803" s="2966">
        <f>'Part VI-Revenues &amp; Expenses'!K183</f>
        <v>35216</v>
      </c>
      <c r="L803" s="2966"/>
      <c r="N803" s="2975">
        <f>ROUND(P810/M682,0)</f>
        <v>350</v>
      </c>
      <c r="O803" s="2972" t="s">
        <v>3022</v>
      </c>
      <c r="Q803" s="2976"/>
      <c r="T803" s="2922"/>
      <c r="U803" s="2922"/>
      <c r="V803" s="926"/>
      <c r="W803" s="926"/>
      <c r="X803" s="926"/>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1684</v>
      </c>
      <c r="D804" s="2969"/>
      <c r="F804" s="2966">
        <f>'Part VI-Revenues &amp; Expenses'!F184</f>
        <v>10000</v>
      </c>
      <c r="G804" s="2966"/>
      <c r="I804" s="521" t="s">
        <v>2463</v>
      </c>
      <c r="J804" s="2855">
        <f>K804/12/M682</f>
        <v>58.973958333333336</v>
      </c>
      <c r="K804" s="2966">
        <f>'Part VI-Revenues &amp; Expenses'!K184</f>
        <v>67938</v>
      </c>
      <c r="L804" s="2966"/>
      <c r="N804" s="2976" t="s">
        <v>2886</v>
      </c>
      <c r="O804" s="2977" t="s">
        <v>4014</v>
      </c>
      <c r="P804" s="2977" t="s">
        <v>4015</v>
      </c>
      <c r="T804" s="2922"/>
      <c r="U804" s="2922"/>
      <c r="V804" s="926"/>
      <c r="W804" s="926"/>
      <c r="X804" s="926"/>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1051</v>
      </c>
      <c r="D805" s="2969"/>
      <c r="F805" s="2966">
        <f>'Part VI-Revenues &amp; Expenses'!F185</f>
        <v>1000</v>
      </c>
      <c r="G805" s="2966"/>
      <c r="I805" s="521" t="s">
        <v>1437</v>
      </c>
      <c r="K805" s="2966">
        <f>'Part VI-Revenues &amp; Expenses'!K185</f>
        <v>8266</v>
      </c>
      <c r="L805" s="2966"/>
      <c r="N805" s="2978" t="s">
        <v>41</v>
      </c>
      <c r="T805" s="2922"/>
      <c r="U805" s="2922"/>
      <c r="V805" s="926"/>
      <c r="W805" s="926"/>
      <c r="X805" s="926"/>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1052</v>
      </c>
      <c r="D806" s="2969"/>
      <c r="F806" s="2966">
        <f>'Part VI-Revenues &amp; Expenses'!F186</f>
        <v>14200</v>
      </c>
      <c r="G806" s="2966"/>
      <c r="I806" s="2968" t="s">
        <v>53</v>
      </c>
      <c r="J806" s="2968"/>
      <c r="K806" s="2966">
        <f>'Part VI-Revenues &amp; Expenses'!K186</f>
        <v>0</v>
      </c>
      <c r="L806" s="2966"/>
      <c r="N806" s="2696" t="s">
        <v>4006</v>
      </c>
      <c r="O806" s="2979" t="str">
        <f>CONCATENATE(SUM(JB668:JF668)," units x $",'DCA Underwriting Assumptions'!$Q$53," =")</f>
        <v>96 units x $350 =</v>
      </c>
      <c r="P806" s="2979">
        <f>SUM(JB668:JF668)*'DCA Underwriting Assumptions'!$Q$53</f>
        <v>33600</v>
      </c>
      <c r="T806" s="2922"/>
      <c r="U806" s="2922"/>
      <c r="V806" s="926"/>
      <c r="W806" s="926"/>
      <c r="X806" s="926"/>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1053</v>
      </c>
      <c r="D807" s="2969"/>
      <c r="F807" s="2966">
        <f>'Part VI-Revenues &amp; Expenses'!F187</f>
        <v>0</v>
      </c>
      <c r="G807" s="2966"/>
      <c r="J807" s="2967" t="s">
        <v>197</v>
      </c>
      <c r="K807" s="2973">
        <f>SUM(K802:K806)</f>
        <v>194263</v>
      </c>
      <c r="L807" s="2973"/>
      <c r="N807" s="2696" t="s">
        <v>4005</v>
      </c>
      <c r="O807" s="2979" t="str">
        <f>CONCATENATE(SUM(JG668:JK668)," units x $",'DCA Underwriting Assumptions'!$Q$54," =")</f>
        <v>0 units x $250 =</v>
      </c>
      <c r="P807" s="2979">
        <f>SUM(JG668:JK668)*'DCA Underwriting Assumptions'!$Q$54</f>
        <v>0</v>
      </c>
      <c r="T807" s="2922"/>
      <c r="U807" s="2922"/>
      <c r="V807" s="926"/>
      <c r="W807" s="926"/>
      <c r="X807" s="926"/>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910</v>
      </c>
      <c r="D808" s="2969"/>
      <c r="F808" s="2966">
        <f>'Part VI-Revenues &amp; Expenses'!F188</f>
        <v>9600</v>
      </c>
      <c r="G808" s="2966"/>
      <c r="J808" s="2934"/>
      <c r="N808" s="2980" t="s">
        <v>4009</v>
      </c>
      <c r="O808" s="2979" t="str">
        <f>CONCATENATE(SUM(JL668:JP668)," units x $",'DCA Underwriting Assumptions'!$Q$55," =")</f>
        <v>0 units x $420 =</v>
      </c>
      <c r="P808" s="2979">
        <f>SUM(JL668:JP668)*'DCA Underwriting Assumptions'!$Q$55</f>
        <v>0</v>
      </c>
      <c r="T808" s="2922"/>
      <c r="U808" s="2922"/>
      <c r="V808" s="926"/>
      <c r="W808" s="926"/>
      <c r="X808" s="926"/>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0</v>
      </c>
      <c r="G809" s="2966"/>
      <c r="J809" s="2934"/>
      <c r="N809" s="2980" t="s">
        <v>4004</v>
      </c>
      <c r="O809" s="2979" t="str">
        <f>CONCATENATE(M704," units x $",'DCA Underwriting Assumptions'!$Q$55," =")</f>
        <v>0 units x $420 =</v>
      </c>
      <c r="P809" s="2979">
        <f>M704*'DCA Underwriting Assumptions'!$Q$55</f>
        <v>0</v>
      </c>
      <c r="T809" s="2922"/>
      <c r="U809" s="2922"/>
      <c r="V809" s="926"/>
      <c r="W809" s="926"/>
      <c r="X809" s="926"/>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70800</v>
      </c>
      <c r="G810" s="2966"/>
      <c r="J810" s="2934"/>
      <c r="N810" s="2981" t="s">
        <v>2889</v>
      </c>
      <c r="O810" s="2979">
        <f>SUM(JB668:JF668)+SUM(JG668:JK668)+SUM(JL668:JP668)+M704</f>
        <v>96</v>
      </c>
      <c r="P810" s="2979">
        <f>SUM(P806:P809)</f>
        <v>33600</v>
      </c>
      <c r="T810" s="2922"/>
      <c r="U810" s="2922"/>
      <c r="V810" s="926"/>
      <c r="W810" s="926"/>
      <c r="X810" s="926"/>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926"/>
      <c r="W811" s="926"/>
      <c r="X811" s="926"/>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2290</v>
      </c>
      <c r="P812" s="2962">
        <f>P798+P801</f>
        <v>621691</v>
      </c>
      <c r="V812" s="926"/>
      <c r="W812" s="926"/>
      <c r="X812" s="926"/>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1882</v>
      </c>
      <c r="B814" s="2885" t="s">
        <v>599</v>
      </c>
      <c r="K814" s="2885" t="s">
        <v>554</v>
      </c>
      <c r="L814" s="2885" t="s">
        <v>1938</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
Tax and Insurance estimates are derived from data given in Tab 1
No utility allowances are shown because the owner pays all utilities.
Replacement reserve is set at $525 per unit per CREA's equity investment terms.</v>
      </c>
      <c r="B815" s="2764"/>
      <c r="C815" s="2764"/>
      <c r="D815" s="2764"/>
      <c r="E815" s="2764"/>
      <c r="F815" s="2764"/>
      <c r="G815" s="2764"/>
      <c r="H815" s="2764"/>
      <c r="I815" s="2764"/>
      <c r="J815" s="2764"/>
      <c r="K815" s="2764">
        <f>'Part VI-Revenues &amp; Expenses'!K195</f>
        <v>0</v>
      </c>
      <c r="L815" s="2764"/>
      <c r="M815" s="2764"/>
      <c r="N815" s="2764"/>
      <c r="O815" s="2764"/>
      <c r="P815" s="2764"/>
      <c r="T815" s="2882" t="s">
        <v>2854</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2015-056 Lakeview Apartments, ,  County</v>
      </c>
      <c r="B818" s="2723"/>
      <c r="C818" s="2723"/>
      <c r="D818" s="2723"/>
      <c r="E818" s="2723"/>
      <c r="F818" s="2723"/>
      <c r="G818" s="2723"/>
      <c r="H818" s="2723"/>
      <c r="I818" s="2723"/>
      <c r="J818" s="2723"/>
      <c r="K818" s="2723"/>
      <c r="L818" s="524"/>
      <c r="M818" s="2883" t="str">
        <f>A818</f>
        <v>PART SEVEN - OPERATING PRO FORMA  -  2015-056 Lakeview Apartments, ,  County</v>
      </c>
      <c r="N818" s="2883"/>
    </row>
    <row r="819" spans="1:14">
      <c r="A819" s="2982"/>
      <c r="B819" s="2982"/>
      <c r="C819" s="2982"/>
      <c r="D819" s="2982"/>
      <c r="E819" s="2982"/>
      <c r="F819" s="2982"/>
      <c r="G819" s="2982"/>
      <c r="H819" s="2982"/>
      <c r="I819" s="2982"/>
      <c r="J819" s="2982"/>
      <c r="K819" s="2982"/>
      <c r="M819" s="2888" t="s">
        <v>1938</v>
      </c>
      <c r="N819" s="2888"/>
    </row>
    <row r="820" spans="1:14" ht="13.5">
      <c r="A820" s="2885" t="s">
        <v>92</v>
      </c>
      <c r="D820" s="2885" t="s">
        <v>82</v>
      </c>
      <c r="E820" s="2902"/>
      <c r="F820" s="2693" t="s">
        <v>4583</v>
      </c>
      <c r="M820" s="2885" t="str">
        <f>A820</f>
        <v>I.  OPERATING ASSUMPTIONS</v>
      </c>
      <c r="N820" s="2982"/>
    </row>
    <row r="822" spans="1:14">
      <c r="A822" s="926" t="s">
        <v>2291</v>
      </c>
      <c r="B822" s="2983">
        <v>0.02</v>
      </c>
      <c r="D822" s="2820" t="s">
        <v>4584</v>
      </c>
      <c r="E822" s="2820"/>
      <c r="F822" s="2820"/>
      <c r="G822" s="2984">
        <f>'Part VII-Pro Forma'!G5</f>
        <v>10000</v>
      </c>
      <c r="H822" s="2985" t="s">
        <v>2004</v>
      </c>
      <c r="K822" s="2986" t="e">
        <f>IF(($B$14+$B$15+$B$16+$B$17)=0,"",B845/($B$14+$B$15+$B$16+$B$17))</f>
        <v>#VALUE!</v>
      </c>
      <c r="M822" s="2847">
        <f>'Part VII-Pro Forma'!M5</f>
        <v>0</v>
      </c>
      <c r="N822" s="2922"/>
    </row>
    <row r="823" spans="1:14">
      <c r="A823" s="926" t="s">
        <v>2292</v>
      </c>
      <c r="B823" s="2983">
        <v>0.03</v>
      </c>
      <c r="D823" s="2820"/>
      <c r="E823" s="2820"/>
      <c r="F823" s="2820"/>
      <c r="M823" s="2922"/>
      <c r="N823" s="2922"/>
    </row>
    <row r="824" spans="1:14">
      <c r="A824" s="926" t="s">
        <v>2294</v>
      </c>
      <c r="B824" s="2983">
        <v>0.03</v>
      </c>
      <c r="D824" s="521" t="s">
        <v>282</v>
      </c>
      <c r="G824" s="2987"/>
      <c r="H824" s="2985" t="s">
        <v>2488</v>
      </c>
      <c r="K824" s="2986" t="e">
        <f>IF(($B$14+$B$15+$B$16+$B$17)=0,"",-B837/($B$14+$B$15+$B$16+$B$17))</f>
        <v>#VALUE!</v>
      </c>
      <c r="M824" s="2922"/>
      <c r="N824" s="2922"/>
    </row>
    <row r="825" spans="1:14">
      <c r="A825" s="926" t="s">
        <v>2293</v>
      </c>
      <c r="B825" s="2983">
        <f>'Part VII-Pro Forma'!B8</f>
        <v>7.0000000000000007E-2</v>
      </c>
      <c r="D825" s="521" t="s">
        <v>2632</v>
      </c>
      <c r="G825" s="2988" t="str">
        <f>'Part VII-Pro Forma'!G8</f>
        <v>No</v>
      </c>
      <c r="H825" s="2989" t="s">
        <v>1518</v>
      </c>
      <c r="K825" s="2990">
        <f>'Part VII-Pro Forma'!K8</f>
        <v>0</v>
      </c>
      <c r="M825" s="2922"/>
      <c r="N825" s="2922"/>
    </row>
    <row r="826" spans="1:14">
      <c r="A826" s="926" t="s">
        <v>1489</v>
      </c>
      <c r="B826" s="2983">
        <v>0.02</v>
      </c>
      <c r="D826" s="521" t="s">
        <v>1805</v>
      </c>
      <c r="G826" s="2988" t="str">
        <f>'Part VII-Pro Forma'!G9</f>
        <v>Yes</v>
      </c>
      <c r="H826" s="2989" t="s">
        <v>2468</v>
      </c>
      <c r="K826" s="2991">
        <f>'Part VII-Pro Forma'!K9</f>
        <v>8.0500000000000002E-2</v>
      </c>
      <c r="M826" s="2922"/>
      <c r="N826" s="2922"/>
    </row>
    <row r="828" spans="1:14">
      <c r="A828" s="2885" t="s">
        <v>93</v>
      </c>
      <c r="M828" s="2885" t="str">
        <f>A828</f>
        <v>II.  OPERATING PRO FORMA</v>
      </c>
    </row>
    <row r="830" spans="1:14">
      <c r="A830" s="2885" t="s">
        <v>2603</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2752</v>
      </c>
      <c r="N830" s="2982"/>
    </row>
    <row r="831" spans="1:14">
      <c r="A831" s="926" t="s">
        <v>2522</v>
      </c>
      <c r="B831" s="2992">
        <f>'Part VII-Pro Forma'!B14</f>
        <v>816984</v>
      </c>
      <c r="C831" s="2992">
        <f>'Part VII-Pro Forma'!C14</f>
        <v>833323.68</v>
      </c>
      <c r="D831" s="2992">
        <f>'Part VII-Pro Forma'!D14</f>
        <v>849990.15359999996</v>
      </c>
      <c r="E831" s="2992">
        <f>'Part VII-Pro Forma'!E14</f>
        <v>866989.956672</v>
      </c>
      <c r="F831" s="2992">
        <f>'Part VII-Pro Forma'!F14</f>
        <v>884329.75580544001</v>
      </c>
      <c r="G831" s="2992">
        <f>'Part VII-Pro Forma'!G14</f>
        <v>902016.35092154879</v>
      </c>
      <c r="H831" s="2992">
        <f>'Part VII-Pro Forma'!H14</f>
        <v>920056.67793997983</v>
      </c>
      <c r="I831" s="2992">
        <f>'Part VII-Pro Forma'!I14</f>
        <v>938457.81149877922</v>
      </c>
      <c r="J831" s="2992">
        <f>'Part VII-Pro Forma'!J14</f>
        <v>957226.96772875485</v>
      </c>
      <c r="K831" s="2992">
        <f>'Part VII-Pro Forma'!K14</f>
        <v>976371.50708332995</v>
      </c>
      <c r="M831" s="2847">
        <f>'Part VII-Pro Forma'!M14</f>
        <v>0</v>
      </c>
      <c r="N831" s="2922"/>
    </row>
    <row r="832" spans="1:14">
      <c r="A832" s="926" t="s">
        <v>1066</v>
      </c>
      <c r="B832" s="2992">
        <f>'Part VII-Pro Forma'!B15</f>
        <v>16339.68</v>
      </c>
      <c r="C832" s="2992">
        <f>'Part VII-Pro Forma'!C15</f>
        <v>16666.473600000001</v>
      </c>
      <c r="D832" s="2992">
        <f>'Part VII-Pro Forma'!D15</f>
        <v>16999.803071999999</v>
      </c>
      <c r="E832" s="2992">
        <f>'Part VII-Pro Forma'!E15</f>
        <v>17339.799133439999</v>
      </c>
      <c r="F832" s="2992">
        <f>'Part VII-Pro Forma'!F15</f>
        <v>17686.595116108801</v>
      </c>
      <c r="G832" s="2992">
        <f>'Part VII-Pro Forma'!G15</f>
        <v>18040.327018430977</v>
      </c>
      <c r="H832" s="2992">
        <f>'Part VII-Pro Forma'!H15</f>
        <v>18401.133558799596</v>
      </c>
      <c r="I832" s="2992">
        <f>'Part VII-Pro Forma'!I15</f>
        <v>18769.156229975586</v>
      </c>
      <c r="J832" s="2992">
        <f>'Part VII-Pro Forma'!J15</f>
        <v>19144.539354575099</v>
      </c>
      <c r="K832" s="2992">
        <f>'Part VII-Pro Forma'!K15</f>
        <v>19527.430141666599</v>
      </c>
      <c r="M832" s="2922"/>
      <c r="N832" s="2922"/>
    </row>
    <row r="833" spans="1:14">
      <c r="A833" s="926" t="s">
        <v>2523</v>
      </c>
      <c r="B833" s="2992">
        <f>'Part VII-Pro Forma'!B16</f>
        <v>-58332.657600000006</v>
      </c>
      <c r="C833" s="2992">
        <f>'Part VII-Pro Forma'!C16</f>
        <v>-59499.310752000012</v>
      </c>
      <c r="D833" s="2992">
        <f>'Part VII-Pro Forma'!D16</f>
        <v>-60689.296967040005</v>
      </c>
      <c r="E833" s="2992">
        <f>'Part VII-Pro Forma'!E16</f>
        <v>-61903.082906380805</v>
      </c>
      <c r="F833" s="2992">
        <f>'Part VII-Pro Forma'!F16</f>
        <v>-63141.144564508424</v>
      </c>
      <c r="G833" s="2992">
        <f>'Part VII-Pro Forma'!G16</f>
        <v>-64403.967455798585</v>
      </c>
      <c r="H833" s="2992">
        <f>'Part VII-Pro Forma'!H16</f>
        <v>-65692.046804914571</v>
      </c>
      <c r="I833" s="2992">
        <f>'Part VII-Pro Forma'!I16</f>
        <v>-67005.887741012848</v>
      </c>
      <c r="J833" s="2992">
        <f>'Part VII-Pro Forma'!J16</f>
        <v>-68346.005495833102</v>
      </c>
      <c r="K833" s="2992">
        <f>'Part VII-Pro Forma'!K16</f>
        <v>-69712.925605749755</v>
      </c>
      <c r="M833" s="2922"/>
      <c r="N833" s="2922"/>
    </row>
    <row r="834" spans="1:14">
      <c r="A834" s="926"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926"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926" t="s">
        <v>645</v>
      </c>
      <c r="B836" s="2992">
        <f>'Part VII-Pro Forma'!B19</f>
        <v>-508904</v>
      </c>
      <c r="C836" s="2992">
        <f>'Part VII-Pro Forma'!C19</f>
        <v>-524171.12</v>
      </c>
      <c r="D836" s="2992">
        <f>'Part VII-Pro Forma'!D19</f>
        <v>-539896.25359999994</v>
      </c>
      <c r="E836" s="2992">
        <f>'Part VII-Pro Forma'!E19</f>
        <v>-556093.14120800002</v>
      </c>
      <c r="F836" s="2992">
        <f>'Part VII-Pro Forma'!F19</f>
        <v>-572775.93544423999</v>
      </c>
      <c r="G836" s="2992">
        <f>'Part VII-Pro Forma'!G19</f>
        <v>-589959.21350756707</v>
      </c>
      <c r="H836" s="2992">
        <f>'Part VII-Pro Forma'!H19</f>
        <v>-607657.9899127942</v>
      </c>
      <c r="I836" s="2992">
        <f>'Part VII-Pro Forma'!I19</f>
        <v>-625887.72961017804</v>
      </c>
      <c r="J836" s="2992">
        <f>'Part VII-Pro Forma'!J19</f>
        <v>-644664.36149848334</v>
      </c>
      <c r="K836" s="2992">
        <f>'Part VII-Pro Forma'!K19</f>
        <v>-664004.29234343779</v>
      </c>
      <c r="M836" s="2922"/>
      <c r="N836" s="2922"/>
    </row>
    <row r="837" spans="1:14">
      <c r="A837" s="926" t="s">
        <v>1166</v>
      </c>
      <c r="B837" s="2992">
        <f>'Part VII-Pro Forma'!B20</f>
        <v>-62387</v>
      </c>
      <c r="C837" s="2992">
        <f>'Part VII-Pro Forma'!C20</f>
        <v>-63635</v>
      </c>
      <c r="D837" s="2992">
        <f>'Part VII-Pro Forma'!D20</f>
        <v>-64907</v>
      </c>
      <c r="E837" s="2992">
        <f>'Part VII-Pro Forma'!E20</f>
        <v>-66205</v>
      </c>
      <c r="F837" s="2992">
        <f>'Part VII-Pro Forma'!F20</f>
        <v>-67529</v>
      </c>
      <c r="G837" s="2992">
        <f>'Part VII-Pro Forma'!G20</f>
        <v>-68880</v>
      </c>
      <c r="H837" s="2992">
        <f>'Part VII-Pro Forma'!H20</f>
        <v>-70258</v>
      </c>
      <c r="I837" s="2992">
        <f>'Part VII-Pro Forma'!I20</f>
        <v>-71663</v>
      </c>
      <c r="J837" s="2992">
        <f>'Part VII-Pro Forma'!J20</f>
        <v>-73096</v>
      </c>
      <c r="K837" s="2992">
        <f>'Part VII-Pro Forma'!K20</f>
        <v>-74558</v>
      </c>
      <c r="M837" s="2922"/>
      <c r="N837" s="2922"/>
    </row>
    <row r="838" spans="1:14">
      <c r="A838" s="926" t="s">
        <v>1260</v>
      </c>
      <c r="B838" s="2992">
        <f>'Part VII-Pro Forma'!B21</f>
        <v>-50400</v>
      </c>
      <c r="C838" s="2992">
        <f>'Part VII-Pro Forma'!C21</f>
        <v>-51912</v>
      </c>
      <c r="D838" s="2992">
        <f>'Part VII-Pro Forma'!D21</f>
        <v>-53469.36</v>
      </c>
      <c r="E838" s="2992">
        <f>'Part VII-Pro Forma'!E21</f>
        <v>-55073.440799999997</v>
      </c>
      <c r="F838" s="2992">
        <f>'Part VII-Pro Forma'!F21</f>
        <v>-56725.644023999994</v>
      </c>
      <c r="G838" s="2992">
        <f>'Part VII-Pro Forma'!G21</f>
        <v>-58427.413344719993</v>
      </c>
      <c r="H838" s="2992">
        <f>'Part VII-Pro Forma'!H21</f>
        <v>-60180.235745061596</v>
      </c>
      <c r="I838" s="2992">
        <f>'Part VII-Pro Forma'!I21</f>
        <v>-61985.642817413449</v>
      </c>
      <c r="J838" s="2992">
        <f>'Part VII-Pro Forma'!J21</f>
        <v>-63845.212101935846</v>
      </c>
      <c r="K838" s="2992">
        <f>'Part VII-Pro Forma'!K21</f>
        <v>-65760.568464993921</v>
      </c>
      <c r="M838" s="2922"/>
      <c r="N838" s="2922"/>
    </row>
    <row r="839" spans="1:14">
      <c r="A839" s="926" t="s">
        <v>1261</v>
      </c>
      <c r="B839" s="2992">
        <f>'Part VII-Pro Forma'!B22</f>
        <v>153300.02240000002</v>
      </c>
      <c r="C839" s="2992">
        <f>'Part VII-Pro Forma'!C22</f>
        <v>150772.72284800012</v>
      </c>
      <c r="D839" s="2992">
        <f>'Part VII-Pro Forma'!D22</f>
        <v>148028.04610496003</v>
      </c>
      <c r="E839" s="2992">
        <f>'Part VII-Pro Forma'!E22</f>
        <v>145055.09089105926</v>
      </c>
      <c r="F839" s="2992">
        <f>'Part VII-Pro Forma'!F22</f>
        <v>141844.62688880035</v>
      </c>
      <c r="G839" s="2992">
        <f>'Part VII-Pro Forma'!G22</f>
        <v>138386.083631894</v>
      </c>
      <c r="H839" s="2992">
        <f>'Part VII-Pro Forma'!H22</f>
        <v>134669.53903600905</v>
      </c>
      <c r="I839" s="2992">
        <f>'Part VII-Pro Forma'!I22</f>
        <v>130684.70756015052</v>
      </c>
      <c r="J839" s="2992">
        <f>'Part VII-Pro Forma'!J22</f>
        <v>126419.92798707765</v>
      </c>
      <c r="K839" s="2992">
        <f>'Part VII-Pro Forma'!K22</f>
        <v>121863.15081081509</v>
      </c>
      <c r="M839" s="2922"/>
      <c r="N839" s="2922"/>
    </row>
    <row r="840" spans="1:14">
      <c r="A840" s="926" t="s">
        <v>1668</v>
      </c>
      <c r="B840" s="2992">
        <f>'Part VII-Pro Forma'!B23</f>
        <v>0</v>
      </c>
      <c r="C840" s="2992">
        <f>'Part VII-Pro Forma'!C23</f>
        <v>0</v>
      </c>
      <c r="D840" s="2992">
        <f>'Part VII-Pro Forma'!D23</f>
        <v>0</v>
      </c>
      <c r="E840" s="2992">
        <f>'Part VII-Pro Forma'!E23</f>
        <v>0</v>
      </c>
      <c r="F840" s="2992">
        <f>'Part VII-Pro Forma'!F23</f>
        <v>0</v>
      </c>
      <c r="G840" s="2992">
        <f>'Part VII-Pro Forma'!G23</f>
        <v>0</v>
      </c>
      <c r="H840" s="2992">
        <f>'Part VII-Pro Forma'!H23</f>
        <v>0</v>
      </c>
      <c r="I840" s="2992">
        <f>'Part VII-Pro Forma'!I23</f>
        <v>0</v>
      </c>
      <c r="J840" s="2992">
        <f>'Part VII-Pro Forma'!J23</f>
        <v>0</v>
      </c>
      <c r="K840" s="2992">
        <f>'Part VII-Pro Forma'!K23</f>
        <v>0</v>
      </c>
      <c r="M840" s="2922"/>
      <c r="N840" s="2922"/>
    </row>
    <row r="841" spans="1:14">
      <c r="A841" s="926" t="s">
        <v>1669</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926" t="s">
        <v>1670</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926" t="s">
        <v>824</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926" t="s">
        <v>804</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926" t="s">
        <v>1219</v>
      </c>
      <c r="B845" s="2992">
        <f>'Part VII-Pro Forma'!B28</f>
        <v>-10000</v>
      </c>
      <c r="C845" s="2992">
        <f>'Part VII-Pro Forma'!C28</f>
        <v>-10300</v>
      </c>
      <c r="D845" s="2992">
        <f>'Part VII-Pro Forma'!D28</f>
        <v>-10609</v>
      </c>
      <c r="E845" s="2992">
        <f>'Part VII-Pro Forma'!E28</f>
        <v>-10927.27</v>
      </c>
      <c r="F845" s="2992">
        <f>'Part VII-Pro Forma'!F28</f>
        <v>-11255.088100000001</v>
      </c>
      <c r="G845" s="2992">
        <f>'Part VII-Pro Forma'!G28</f>
        <v>-11592.740743</v>
      </c>
      <c r="H845" s="2992">
        <f>'Part VII-Pro Forma'!H28</f>
        <v>-11940.52296529</v>
      </c>
      <c r="I845" s="2992">
        <f>'Part VII-Pro Forma'!I28</f>
        <v>-12298.7386542487</v>
      </c>
      <c r="J845" s="2992">
        <f>'Part VII-Pro Forma'!J28</f>
        <v>-12667.700813876161</v>
      </c>
      <c r="K845" s="2992">
        <f>'Part VII-Pro Forma'!K28</f>
        <v>-13047.731838292446</v>
      </c>
      <c r="M845" s="2922"/>
      <c r="N845" s="2922"/>
    </row>
    <row r="846" spans="1:14">
      <c r="A846" s="926" t="s">
        <v>1262</v>
      </c>
      <c r="B846" s="2992">
        <f>'Part VII-Pro Forma'!B29</f>
        <v>-143300.02240000002</v>
      </c>
      <c r="C846" s="2992">
        <f>'Part VII-Pro Forma'!C29</f>
        <v>-140472.72284800012</v>
      </c>
      <c r="D846" s="2992">
        <f>'Part VII-Pro Forma'!D29</f>
        <v>-137419.04610496003</v>
      </c>
      <c r="E846" s="2992">
        <f>'Part VII-Pro Forma'!E29</f>
        <v>-134127.82089105927</v>
      </c>
      <c r="F846" s="2992">
        <f>'Part VII-Pro Forma'!F29</f>
        <v>-130589.53878880036</v>
      </c>
      <c r="G846" s="2992">
        <f>'Part VII-Pro Forma'!G29</f>
        <v>-97221.848967180209</v>
      </c>
      <c r="H846" s="2992">
        <f>'Part VII-Pro Forma'!H29</f>
        <v>0</v>
      </c>
      <c r="I846" s="2992">
        <f>'Part VII-Pro Forma'!I29</f>
        <v>0</v>
      </c>
      <c r="J846" s="2992">
        <f>'Part VII-Pro Forma'!J29</f>
        <v>0</v>
      </c>
      <c r="K846" s="2992">
        <f>'Part VII-Pro Forma'!K29</f>
        <v>0</v>
      </c>
      <c r="M846" s="2922"/>
      <c r="N846" s="2922"/>
    </row>
    <row r="847" spans="1:14">
      <c r="A847" s="926" t="s">
        <v>1220</v>
      </c>
      <c r="B847" s="2992">
        <f>'Part VII-Pro Forma'!B30</f>
        <v>0</v>
      </c>
      <c r="C847" s="2992">
        <f>'Part VII-Pro Forma'!C30</f>
        <v>0</v>
      </c>
      <c r="D847" s="2992">
        <f>'Part VII-Pro Forma'!D30</f>
        <v>0</v>
      </c>
      <c r="E847" s="2992">
        <f>'Part VII-Pro Forma'!E30</f>
        <v>0</v>
      </c>
      <c r="F847" s="2992">
        <f>'Part VII-Pro Forma'!F30</f>
        <v>0</v>
      </c>
      <c r="G847" s="2992">
        <f>'Part VII-Pro Forma'!G30</f>
        <v>29571.493921713787</v>
      </c>
      <c r="H847" s="2992">
        <f>'Part VII-Pro Forma'!H30</f>
        <v>122729.01607071905</v>
      </c>
      <c r="I847" s="2992">
        <f>'Part VII-Pro Forma'!I30</f>
        <v>118385.96890590183</v>
      </c>
      <c r="J847" s="2992">
        <f>'Part VII-Pro Forma'!J30</f>
        <v>113752.22717320149</v>
      </c>
      <c r="K847" s="2992">
        <f>'Part VII-Pro Forma'!K30</f>
        <v>108815.41897252265</v>
      </c>
      <c r="M847" s="2922"/>
      <c r="N847" s="2922"/>
    </row>
    <row r="848" spans="1:14">
      <c r="A848" s="926" t="str">
        <f>IF('Part III-Sources of Funds'!$E$36 = "Neither", "", "DCR Mortgage A")</f>
        <v>DCR Mortgage A</v>
      </c>
      <c r="B848" s="2993" t="str">
        <f>'Part VII-Pro Forma'!B31</f>
        <v/>
      </c>
      <c r="C848" s="2993" t="str">
        <f>'Part VII-Pro Forma'!C31</f>
        <v/>
      </c>
      <c r="D848" s="2993" t="str">
        <f>'Part VII-Pro Forma'!D31</f>
        <v/>
      </c>
      <c r="E848" s="2993" t="str">
        <f>'Part VII-Pro Forma'!E31</f>
        <v/>
      </c>
      <c r="F848" s="2993" t="str">
        <f>'Part VII-Pro Forma'!F31</f>
        <v/>
      </c>
      <c r="G848" s="2993" t="str">
        <f>'Part VII-Pro Forma'!G31</f>
        <v/>
      </c>
      <c r="H848" s="2993" t="str">
        <f>'Part VII-Pro Forma'!H31</f>
        <v/>
      </c>
      <c r="I848" s="2993" t="str">
        <f>'Part VII-Pro Forma'!I31</f>
        <v/>
      </c>
      <c r="J848" s="2993" t="str">
        <f>'Part VII-Pro Forma'!J31</f>
        <v/>
      </c>
      <c r="K848" s="2993" t="str">
        <f>'Part VII-Pro Forma'!K31</f>
        <v/>
      </c>
      <c r="M848" s="2922"/>
      <c r="N848" s="2922"/>
    </row>
    <row r="849" spans="1:14">
      <c r="A849" s="926"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926"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926" t="s">
        <v>825</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926" t="s">
        <v>811</v>
      </c>
      <c r="B852" s="2994">
        <f>'Part VII-Pro Forma'!B35</f>
        <v>1.2465855584205014</v>
      </c>
      <c r="C852" s="2994">
        <f>'Part VII-Pro Forma'!C35</f>
        <v>1.2356861844838789</v>
      </c>
      <c r="D852" s="2994">
        <f>'Part VII-Pro Forma'!D35</f>
        <v>1.2248734689043428</v>
      </c>
      <c r="E852" s="2994">
        <f>'Part VII-Pro Forma'!E35</f>
        <v>1.2141440455193855</v>
      </c>
      <c r="F852" s="2994">
        <f>'Part VII-Pro Forma'!F35</f>
        <v>1.2034984275682892</v>
      </c>
      <c r="G852" s="2994">
        <f>'Part VII-Pro Forma'!G35</f>
        <v>1.1929353443352007</v>
      </c>
      <c r="H852" s="2994">
        <f>'Part VII-Pro Forma'!H35</f>
        <v>1.182455260377439</v>
      </c>
      <c r="I852" s="2994">
        <f>'Part VII-Pro Forma'!I35</f>
        <v>1.172058524521298</v>
      </c>
      <c r="J852" s="2994">
        <f>'Part VII-Pro Forma'!J35</f>
        <v>1.1617438926448949</v>
      </c>
      <c r="K852" s="2994">
        <f>'Part VII-Pro Forma'!K35</f>
        <v>1.1515102414076972</v>
      </c>
      <c r="M852" s="2922"/>
      <c r="N852" s="2922"/>
    </row>
    <row r="853" spans="1:14">
      <c r="A853" s="926" t="s">
        <v>2745</v>
      </c>
      <c r="B853" s="2992" t="str">
        <f>'Part VII-Pro Forma'!B36</f>
        <v/>
      </c>
      <c r="C853" s="2992" t="str">
        <f>'Part VII-Pro Forma'!C36</f>
        <v/>
      </c>
      <c r="D853" s="2992" t="str">
        <f>'Part VII-Pro Forma'!D36</f>
        <v/>
      </c>
      <c r="E853" s="2992" t="str">
        <f>'Part VII-Pro Forma'!E36</f>
        <v/>
      </c>
      <c r="F853" s="2992" t="str">
        <f>'Part VII-Pro Forma'!F36</f>
        <v/>
      </c>
      <c r="G853" s="2992" t="str">
        <f>'Part VII-Pro Forma'!G36</f>
        <v/>
      </c>
      <c r="H853" s="2992" t="str">
        <f>'Part VII-Pro Forma'!H36</f>
        <v/>
      </c>
      <c r="I853" s="2992" t="str">
        <f>'Part VII-Pro Forma'!I36</f>
        <v/>
      </c>
      <c r="J853" s="2992" t="str">
        <f>'Part VII-Pro Forma'!J36</f>
        <v/>
      </c>
      <c r="K853" s="2992" t="str">
        <f>'Part VII-Pro Forma'!K36</f>
        <v/>
      </c>
      <c r="M853" s="2922"/>
      <c r="N853" s="2922"/>
    </row>
    <row r="854" spans="1:14">
      <c r="A854" s="926" t="s">
        <v>2746</v>
      </c>
      <c r="B854" s="2992" t="str">
        <f>'Part VII-Pro Forma'!B37</f>
        <v/>
      </c>
      <c r="C854" s="2992" t="str">
        <f>'Part VII-Pro Forma'!C37</f>
        <v/>
      </c>
      <c r="D854" s="2992" t="str">
        <f>'Part VII-Pro Forma'!D37</f>
        <v/>
      </c>
      <c r="E854" s="2992" t="str">
        <f>'Part VII-Pro Forma'!E37</f>
        <v/>
      </c>
      <c r="F854" s="2992" t="str">
        <f>'Part VII-Pro Forma'!F37</f>
        <v/>
      </c>
      <c r="G854" s="2992" t="str">
        <f>'Part VII-Pro Forma'!G37</f>
        <v/>
      </c>
      <c r="H854" s="2992" t="str">
        <f>'Part VII-Pro Forma'!H37</f>
        <v/>
      </c>
      <c r="I854" s="2992" t="str">
        <f>'Part VII-Pro Forma'!I37</f>
        <v/>
      </c>
      <c r="J854" s="2992" t="str">
        <f>'Part VII-Pro Forma'!J37</f>
        <v/>
      </c>
      <c r="K854" s="2992" t="str">
        <f>'Part VII-Pro Forma'!K37</f>
        <v/>
      </c>
      <c r="M854" s="2922"/>
      <c r="N854" s="2922"/>
    </row>
    <row r="855" spans="1:14">
      <c r="A855" s="926" t="s">
        <v>2747</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926" t="s">
        <v>826</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926" t="s">
        <v>1297</v>
      </c>
      <c r="B857" s="2992">
        <f>'Part VII-Pro Forma'!B40</f>
        <v>639830.97759999998</v>
      </c>
      <c r="C857" s="2992">
        <f>'Part VII-Pro Forma'!C40</f>
        <v>499358.25475199986</v>
      </c>
      <c r="D857" s="2992">
        <f>'Part VII-Pro Forma'!D40</f>
        <v>361939.20864703984</v>
      </c>
      <c r="E857" s="2992">
        <f>'Part VII-Pro Forma'!E40</f>
        <v>227811.38775598057</v>
      </c>
      <c r="F857" s="2992">
        <f>'Part VII-Pro Forma'!F40</f>
        <v>97221.848967180209</v>
      </c>
      <c r="G857" s="2992">
        <f>'Part VII-Pro Forma'!G40</f>
        <v>0</v>
      </c>
      <c r="H857" s="2992">
        <f>'Part VII-Pro Forma'!H40</f>
        <v>0</v>
      </c>
      <c r="I857" s="2992">
        <f>'Part VII-Pro Forma'!I40</f>
        <v>0</v>
      </c>
      <c r="J857" s="2992">
        <f>'Part VII-Pro Forma'!J40</f>
        <v>0</v>
      </c>
      <c r="K857" s="2992">
        <f>'Part VII-Pro Forma'!K40</f>
        <v>0</v>
      </c>
      <c r="M857" s="2922"/>
      <c r="N857" s="2922"/>
    </row>
    <row r="858" spans="1:14">
      <c r="B858" s="2992"/>
      <c r="C858" s="2992"/>
      <c r="D858" s="2992"/>
      <c r="E858" s="2992"/>
      <c r="F858" s="2992"/>
      <c r="G858" s="2992"/>
      <c r="H858" s="2992"/>
      <c r="I858" s="2992"/>
      <c r="J858" s="2992"/>
      <c r="K858" s="2992"/>
    </row>
    <row r="859" spans="1:14">
      <c r="A859" s="2885" t="s">
        <v>2603</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2750</v>
      </c>
      <c r="N859" s="2982"/>
    </row>
    <row r="860" spans="1:14">
      <c r="A860" s="926" t="s">
        <v>2522</v>
      </c>
      <c r="B860" s="2992">
        <f>'Part VII-Pro Forma'!B43</f>
        <v>995898.93722499663</v>
      </c>
      <c r="C860" s="2992">
        <f>'Part VII-Pro Forma'!C43</f>
        <v>1015816.9159694964</v>
      </c>
      <c r="D860" s="2992">
        <f>'Part VII-Pro Forma'!D43</f>
        <v>1036133.2542888864</v>
      </c>
      <c r="E860" s="2992">
        <f>'Part VII-Pro Forma'!E43</f>
        <v>1056855.9193746641</v>
      </c>
      <c r="F860" s="2992">
        <f>'Part VII-Pro Forma'!F43</f>
        <v>1077993.0377621576</v>
      </c>
      <c r="G860" s="2992">
        <f>'Part VII-Pro Forma'!G43</f>
        <v>1099552.8985174005</v>
      </c>
      <c r="H860" s="2992">
        <f>'Part VII-Pro Forma'!H43</f>
        <v>1121543.9564877485</v>
      </c>
      <c r="I860" s="2992">
        <f>'Part VII-Pro Forma'!I43</f>
        <v>1143974.8356175036</v>
      </c>
      <c r="J860" s="2992">
        <f>'Part VII-Pro Forma'!J43</f>
        <v>1166854.3323298537</v>
      </c>
      <c r="K860" s="2992">
        <f>'Part VII-Pro Forma'!K43</f>
        <v>1190191.4189764506</v>
      </c>
      <c r="M860" s="2847">
        <f>'Part VII-Pro Forma'!M43</f>
        <v>0</v>
      </c>
      <c r="N860" s="2922"/>
    </row>
    <row r="861" spans="1:14">
      <c r="A861" s="926" t="s">
        <v>1066</v>
      </c>
      <c r="B861" s="2992">
        <f>'Part VII-Pro Forma'!B44</f>
        <v>19917.978744499935</v>
      </c>
      <c r="C861" s="2992">
        <f>'Part VII-Pro Forma'!C44</f>
        <v>20316.338319389928</v>
      </c>
      <c r="D861" s="2992">
        <f>'Part VII-Pro Forma'!D44</f>
        <v>20722.665085777731</v>
      </c>
      <c r="E861" s="2992">
        <f>'Part VII-Pro Forma'!E44</f>
        <v>21137.118387493283</v>
      </c>
      <c r="F861" s="2992">
        <f>'Part VII-Pro Forma'!F44</f>
        <v>21559.860755243149</v>
      </c>
      <c r="G861" s="2992">
        <f>'Part VII-Pro Forma'!G44</f>
        <v>21991.057970348007</v>
      </c>
      <c r="H861" s="2992">
        <f>'Part VII-Pro Forma'!H44</f>
        <v>22430.879129754972</v>
      </c>
      <c r="I861" s="2992">
        <f>'Part VII-Pro Forma'!I44</f>
        <v>22879.496712350072</v>
      </c>
      <c r="J861" s="2992">
        <f>'Part VII-Pro Forma'!J44</f>
        <v>23337.086646597072</v>
      </c>
      <c r="K861" s="2992">
        <f>'Part VII-Pro Forma'!K44</f>
        <v>23803.828379529012</v>
      </c>
      <c r="M861" s="2922"/>
      <c r="N861" s="2922"/>
    </row>
    <row r="862" spans="1:14">
      <c r="A862" s="926" t="s">
        <v>2523</v>
      </c>
      <c r="B862" s="2992">
        <f>'Part VII-Pro Forma'!B45</f>
        <v>-71107.184117864774</v>
      </c>
      <c r="C862" s="2992">
        <f>'Part VII-Pro Forma'!C45</f>
        <v>-72529.327800222047</v>
      </c>
      <c r="D862" s="2992">
        <f>'Part VII-Pro Forma'!D45</f>
        <v>-73979.914356226494</v>
      </c>
      <c r="E862" s="2992">
        <f>'Part VII-Pro Forma'!E45</f>
        <v>-75459.51264335103</v>
      </c>
      <c r="F862" s="2992">
        <f>'Part VII-Pro Forma'!F45</f>
        <v>-76968.702896218063</v>
      </c>
      <c r="G862" s="2992">
        <f>'Part VII-Pro Forma'!G45</f>
        <v>-78508.076954142409</v>
      </c>
      <c r="H862" s="2992">
        <f>'Part VII-Pro Forma'!H45</f>
        <v>-80078.238493225261</v>
      </c>
      <c r="I862" s="2992">
        <f>'Part VII-Pro Forma'!I45</f>
        <v>-81679.803263089765</v>
      </c>
      <c r="J862" s="2992">
        <f>'Part VII-Pro Forma'!J45</f>
        <v>-83313.399328351559</v>
      </c>
      <c r="K862" s="2992">
        <f>'Part VII-Pro Forma'!K45</f>
        <v>-84979.667314918581</v>
      </c>
      <c r="M862" s="2922"/>
      <c r="N862" s="2922"/>
    </row>
    <row r="863" spans="1:14">
      <c r="A863" s="926"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926"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926" t="s">
        <v>645</v>
      </c>
      <c r="B865" s="2992">
        <f>'Part VII-Pro Forma'!B48</f>
        <v>-683924.421113741</v>
      </c>
      <c r="C865" s="2992">
        <f>'Part VII-Pro Forma'!C48</f>
        <v>-704442.15374715324</v>
      </c>
      <c r="D865" s="2992">
        <f>'Part VII-Pro Forma'!D48</f>
        <v>-725575.41835956764</v>
      </c>
      <c r="E865" s="2992">
        <f>'Part VII-Pro Forma'!E48</f>
        <v>-747342.68091035471</v>
      </c>
      <c r="F865" s="2992">
        <f>'Part VII-Pro Forma'!F48</f>
        <v>-769762.96133766545</v>
      </c>
      <c r="G865" s="2992">
        <f>'Part VII-Pro Forma'!G48</f>
        <v>-792855.85017779539</v>
      </c>
      <c r="H865" s="2992">
        <f>'Part VII-Pro Forma'!H48</f>
        <v>-816641.52568312909</v>
      </c>
      <c r="I865" s="2992">
        <f>'Part VII-Pro Forma'!I48</f>
        <v>-841140.77145362296</v>
      </c>
      <c r="J865" s="2992">
        <f>'Part VII-Pro Forma'!J48</f>
        <v>-866374.99459723174</v>
      </c>
      <c r="K865" s="2992">
        <f>'Part VII-Pro Forma'!K48</f>
        <v>-892366.24443514866</v>
      </c>
      <c r="M865" s="2922"/>
      <c r="N865" s="2922"/>
    </row>
    <row r="866" spans="1:14">
      <c r="A866" s="926" t="s">
        <v>1166</v>
      </c>
      <c r="B866" s="2992">
        <f>'Part VII-Pro Forma'!B49</f>
        <v>-76049</v>
      </c>
      <c r="C866" s="2992">
        <f>'Part VII-Pro Forma'!C49</f>
        <v>-77570</v>
      </c>
      <c r="D866" s="2992">
        <f>'Part VII-Pro Forma'!D49</f>
        <v>-79122</v>
      </c>
      <c r="E866" s="2992">
        <f>'Part VII-Pro Forma'!E49</f>
        <v>-80704</v>
      </c>
      <c r="F866" s="2992">
        <f>'Part VII-Pro Forma'!F49</f>
        <v>-82318</v>
      </c>
      <c r="G866" s="2992">
        <f>'Part VII-Pro Forma'!G49</f>
        <v>-83964</v>
      </c>
      <c r="H866" s="2992">
        <f>'Part VII-Pro Forma'!H49</f>
        <v>-85644</v>
      </c>
      <c r="I866" s="2992">
        <f>'Part VII-Pro Forma'!I49</f>
        <v>-87357</v>
      </c>
      <c r="J866" s="2992">
        <f>'Part VII-Pro Forma'!J49</f>
        <v>-89104</v>
      </c>
      <c r="K866" s="2992">
        <f>'Part VII-Pro Forma'!K49</f>
        <v>-90886</v>
      </c>
      <c r="M866" s="2922"/>
      <c r="N866" s="2922"/>
    </row>
    <row r="867" spans="1:14">
      <c r="A867" s="926" t="s">
        <v>1260</v>
      </c>
      <c r="B867" s="2992">
        <f>'Part VII-Pro Forma'!B50</f>
        <v>-67733.385518943731</v>
      </c>
      <c r="C867" s="2992">
        <f>'Part VII-Pro Forma'!C50</f>
        <v>-69765.387084512055</v>
      </c>
      <c r="D867" s="2992">
        <f>'Part VII-Pro Forma'!D50</f>
        <v>-71858.348697047404</v>
      </c>
      <c r="E867" s="2992">
        <f>'Part VII-Pro Forma'!E50</f>
        <v>-74014.099157958815</v>
      </c>
      <c r="F867" s="2992">
        <f>'Part VII-Pro Forma'!F50</f>
        <v>-76234.522132697588</v>
      </c>
      <c r="G867" s="2992">
        <f>'Part VII-Pro Forma'!G50</f>
        <v>-78521.55779667852</v>
      </c>
      <c r="H867" s="2992">
        <f>'Part VII-Pro Forma'!H50</f>
        <v>-80877.204530578863</v>
      </c>
      <c r="I867" s="2992">
        <f>'Part VII-Pro Forma'!I50</f>
        <v>-83303.520666496232</v>
      </c>
      <c r="J867" s="2992">
        <f>'Part VII-Pro Forma'!J50</f>
        <v>-85802.626286491126</v>
      </c>
      <c r="K867" s="2992">
        <f>'Part VII-Pro Forma'!K50</f>
        <v>-88376.705075085847</v>
      </c>
      <c r="M867" s="2922"/>
      <c r="N867" s="2922"/>
    </row>
    <row r="868" spans="1:14">
      <c r="A868" s="926" t="s">
        <v>1261</v>
      </c>
      <c r="B868" s="2992">
        <f>'Part VII-Pro Forma'!B51</f>
        <v>117002.92521894704</v>
      </c>
      <c r="C868" s="2992">
        <f>'Part VII-Pro Forma'!C51</f>
        <v>111826.38565699894</v>
      </c>
      <c r="D868" s="2992">
        <f>'Part VII-Pro Forma'!D51</f>
        <v>106320.23796182258</v>
      </c>
      <c r="E868" s="2992">
        <f>'Part VII-Pro Forma'!E51</f>
        <v>100472.74505049287</v>
      </c>
      <c r="F868" s="2992">
        <f>'Part VII-Pro Forma'!F51</f>
        <v>94268.712150819643</v>
      </c>
      <c r="G868" s="2992">
        <f>'Part VII-Pro Forma'!G51</f>
        <v>87694.471559132202</v>
      </c>
      <c r="H868" s="2992">
        <f>'Part VII-Pro Forma'!H51</f>
        <v>80733.866910570359</v>
      </c>
      <c r="I868" s="2992">
        <f>'Part VII-Pro Forma'!I51</f>
        <v>73373.236946644625</v>
      </c>
      <c r="J868" s="2992">
        <f>'Part VII-Pro Forma'!J51</f>
        <v>65596.398764376456</v>
      </c>
      <c r="K868" s="2992">
        <f>'Part VII-Pro Forma'!K51</f>
        <v>57386.630530826646</v>
      </c>
      <c r="M868" s="2922"/>
      <c r="N868" s="2922"/>
    </row>
    <row r="869" spans="1:14">
      <c r="A869" s="926" t="str">
        <f>$A840</f>
        <v>Mortgage A</v>
      </c>
      <c r="B869" s="2992">
        <f>'Part VII-Pro Forma'!B52</f>
        <v>0</v>
      </c>
      <c r="C869" s="2992">
        <f>'Part VII-Pro Forma'!C52</f>
        <v>0</v>
      </c>
      <c r="D869" s="2992">
        <f>'Part VII-Pro Forma'!D52</f>
        <v>0</v>
      </c>
      <c r="E869" s="2992">
        <f>'Part VII-Pro Forma'!E52</f>
        <v>0</v>
      </c>
      <c r="F869" s="2992">
        <f>'Part VII-Pro Forma'!F52</f>
        <v>0</v>
      </c>
      <c r="G869" s="2992">
        <f>'Part VII-Pro Forma'!G52</f>
        <v>0</v>
      </c>
      <c r="H869" s="2992">
        <f>'Part VII-Pro Forma'!H52</f>
        <v>0</v>
      </c>
      <c r="I869" s="2992">
        <f>'Part VII-Pro Forma'!I52</f>
        <v>0</v>
      </c>
      <c r="J869" s="2992">
        <f>'Part VII-Pro Forma'!J52</f>
        <v>0</v>
      </c>
      <c r="K869" s="2992">
        <f>'Part VII-Pro Forma'!K52</f>
        <v>0</v>
      </c>
      <c r="M869" s="2922"/>
      <c r="N869" s="2922"/>
    </row>
    <row r="870" spans="1:14">
      <c r="A870" s="926"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926"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926"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926" t="s">
        <v>804</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926" t="s">
        <v>1219</v>
      </c>
      <c r="B874" s="2992">
        <f>'Part VII-Pro Forma'!B57</f>
        <v>-13439.163793441219</v>
      </c>
      <c r="C874" s="2992">
        <f>'Part VII-Pro Forma'!C57</f>
        <v>-13842.338707244457</v>
      </c>
      <c r="D874" s="2992">
        <f>'Part VII-Pro Forma'!D57</f>
        <v>-14257.60886846179</v>
      </c>
      <c r="E874" s="2992">
        <f>'Part VII-Pro Forma'!E57</f>
        <v>-14685.337134515645</v>
      </c>
      <c r="F874" s="2992">
        <f>'Part VII-Pro Forma'!F57</f>
        <v>-15125.897248551115</v>
      </c>
      <c r="G874" s="2992">
        <f>'Part VII-Pro Forma'!G57</f>
        <v>0</v>
      </c>
      <c r="H874" s="2992">
        <f>'Part VII-Pro Forma'!H57</f>
        <v>0</v>
      </c>
      <c r="I874" s="2992">
        <f>'Part VII-Pro Forma'!I57</f>
        <v>0</v>
      </c>
      <c r="J874" s="2992">
        <f>'Part VII-Pro Forma'!J57</f>
        <v>0</v>
      </c>
      <c r="K874" s="2992">
        <f>'Part VII-Pro Forma'!K57</f>
        <v>0</v>
      </c>
      <c r="M874" s="2922"/>
      <c r="N874" s="2922"/>
    </row>
    <row r="875" spans="1:14">
      <c r="A875" s="926" t="s">
        <v>1262</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926" t="s">
        <v>1220</v>
      </c>
      <c r="B876" s="2992">
        <f>'Part VII-Pro Forma'!B59</f>
        <v>103563.76142550583</v>
      </c>
      <c r="C876" s="2992">
        <f>'Part VII-Pro Forma'!C59</f>
        <v>97984.046949754484</v>
      </c>
      <c r="D876" s="2992">
        <f>'Part VII-Pro Forma'!D59</f>
        <v>92062.629093360796</v>
      </c>
      <c r="E876" s="2992">
        <f>'Part VII-Pro Forma'!E59</f>
        <v>85787.407915977223</v>
      </c>
      <c r="F876" s="2992">
        <f>'Part VII-Pro Forma'!F59</f>
        <v>79142.814902268525</v>
      </c>
      <c r="G876" s="2992">
        <f>'Part VII-Pro Forma'!G59</f>
        <v>87694.471559132202</v>
      </c>
      <c r="H876" s="2992">
        <f>'Part VII-Pro Forma'!H59</f>
        <v>80733.866910570359</v>
      </c>
      <c r="I876" s="2992">
        <f>'Part VII-Pro Forma'!I59</f>
        <v>73373.236946644625</v>
      </c>
      <c r="J876" s="2992">
        <f>'Part VII-Pro Forma'!J59</f>
        <v>65596.398764376456</v>
      </c>
      <c r="K876" s="2992">
        <f>'Part VII-Pro Forma'!K59</f>
        <v>57386.630530826646</v>
      </c>
      <c r="M876" s="2922"/>
      <c r="N876" s="2922"/>
    </row>
    <row r="877" spans="1:14">
      <c r="A877" s="926" t="str">
        <f>$A848</f>
        <v>DCR Mortgage A</v>
      </c>
      <c r="B877" s="2993" t="str">
        <f>'Part VII-Pro Forma'!B60</f>
        <v/>
      </c>
      <c r="C877" s="2993" t="str">
        <f>'Part VII-Pro Forma'!C60</f>
        <v/>
      </c>
      <c r="D877" s="2993" t="str">
        <f>'Part VII-Pro Forma'!D60</f>
        <v/>
      </c>
      <c r="E877" s="2993" t="str">
        <f>'Part VII-Pro Forma'!E60</f>
        <v/>
      </c>
      <c r="F877" s="2993" t="str">
        <f>'Part VII-Pro Forma'!F60</f>
        <v/>
      </c>
      <c r="G877" s="2993" t="str">
        <f>'Part VII-Pro Forma'!G60</f>
        <v/>
      </c>
      <c r="H877" s="2993" t="str">
        <f>'Part VII-Pro Forma'!H60</f>
        <v/>
      </c>
      <c r="I877" s="2993" t="str">
        <f>'Part VII-Pro Forma'!I60</f>
        <v/>
      </c>
      <c r="J877" s="2993" t="str">
        <f>'Part VII-Pro Forma'!J60</f>
        <v/>
      </c>
      <c r="K877" s="2993" t="str">
        <f>'Part VII-Pro Forma'!K60</f>
        <v/>
      </c>
      <c r="M877" s="2922"/>
      <c r="N877" s="2922"/>
    </row>
    <row r="878" spans="1:14">
      <c r="A878" s="926"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926"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926"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926" t="s">
        <v>811</v>
      </c>
      <c r="B881" s="2994">
        <f>'Part VII-Pro Forma'!B64</f>
        <v>1.1413579352995098</v>
      </c>
      <c r="C881" s="2994">
        <f>'Part VII-Pro Forma'!C64</f>
        <v>1.1312859054111863</v>
      </c>
      <c r="D881" s="2994">
        <f>'Part VII-Pro Forma'!D64</f>
        <v>1.1212931817433991</v>
      </c>
      <c r="E881" s="2994">
        <f>'Part VII-Pro Forma'!E64</f>
        <v>1.1113813473221661</v>
      </c>
      <c r="F881" s="2994">
        <f>'Part VII-Pro Forma'!F64</f>
        <v>1.1015481415848098</v>
      </c>
      <c r="G881" s="2994">
        <f>'Part VII-Pro Forma'!G64</f>
        <v>1.0917938559211655</v>
      </c>
      <c r="H881" s="2994">
        <f>'Part VII-Pro Forma'!H64</f>
        <v>1.0821164843108133</v>
      </c>
      <c r="I881" s="2994">
        <f>'Part VII-Pro Forma'!I64</f>
        <v>1.0725174374831039</v>
      </c>
      <c r="J881" s="2994">
        <f>'Part VII-Pro Forma'!J64</f>
        <v>1.06299582884091</v>
      </c>
      <c r="K881" s="2994">
        <f>'Part VII-Pro Forma'!K64</f>
        <v>1.0535508401084668</v>
      </c>
      <c r="M881" s="2922"/>
      <c r="N881" s="2922"/>
    </row>
    <row r="882" spans="1:14">
      <c r="A882" s="926" t="s">
        <v>2745</v>
      </c>
      <c r="B882" s="2992" t="str">
        <f>'Part VII-Pro Forma'!B65</f>
        <v/>
      </c>
      <c r="C882" s="2992" t="str">
        <f>'Part VII-Pro Forma'!C65</f>
        <v/>
      </c>
      <c r="D882" s="2992" t="str">
        <f>'Part VII-Pro Forma'!D65</f>
        <v/>
      </c>
      <c r="E882" s="2992" t="str">
        <f>'Part VII-Pro Forma'!E65</f>
        <v/>
      </c>
      <c r="F882" s="2992" t="str">
        <f>'Part VII-Pro Forma'!F65</f>
        <v/>
      </c>
      <c r="G882" s="2992" t="str">
        <f>'Part VII-Pro Forma'!G65</f>
        <v/>
      </c>
      <c r="H882" s="2992" t="str">
        <f>'Part VII-Pro Forma'!H65</f>
        <v/>
      </c>
      <c r="I882" s="2992" t="str">
        <f>'Part VII-Pro Forma'!I65</f>
        <v/>
      </c>
      <c r="J882" s="2992" t="str">
        <f>'Part VII-Pro Forma'!J65</f>
        <v/>
      </c>
      <c r="K882" s="2992" t="str">
        <f>'Part VII-Pro Forma'!K65</f>
        <v/>
      </c>
      <c r="M882" s="2922"/>
      <c r="N882" s="2922"/>
    </row>
    <row r="883" spans="1:14">
      <c r="A883" s="926" t="s">
        <v>2746</v>
      </c>
      <c r="B883" s="2992" t="str">
        <f>'Part VII-Pro Forma'!B66</f>
        <v/>
      </c>
      <c r="C883" s="2992" t="str">
        <f>'Part VII-Pro Forma'!C66</f>
        <v/>
      </c>
      <c r="D883" s="2992" t="str">
        <f>'Part VII-Pro Forma'!D66</f>
        <v/>
      </c>
      <c r="E883" s="2992" t="str">
        <f>'Part VII-Pro Forma'!E66</f>
        <v/>
      </c>
      <c r="F883" s="2992" t="str">
        <f>'Part VII-Pro Forma'!F66</f>
        <v/>
      </c>
      <c r="G883" s="2992" t="str">
        <f>'Part VII-Pro Forma'!G66</f>
        <v/>
      </c>
      <c r="H883" s="2992" t="str">
        <f>'Part VII-Pro Forma'!H66</f>
        <v/>
      </c>
      <c r="I883" s="2992" t="str">
        <f>'Part VII-Pro Forma'!I66</f>
        <v/>
      </c>
      <c r="J883" s="2992" t="str">
        <f>'Part VII-Pro Forma'!J66</f>
        <v/>
      </c>
      <c r="K883" s="2992" t="str">
        <f>'Part VII-Pro Forma'!K66</f>
        <v/>
      </c>
      <c r="M883" s="2922"/>
      <c r="N883" s="2922"/>
    </row>
    <row r="884" spans="1:14">
      <c r="A884" s="926" t="s">
        <v>2747</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926" t="s">
        <v>826</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926" t="s">
        <v>1297</v>
      </c>
      <c r="B886" s="2992">
        <f>'Part VII-Pro Forma'!B69</f>
        <v>0</v>
      </c>
      <c r="C886" s="2992">
        <f>'Part VII-Pro Forma'!C69</f>
        <v>0</v>
      </c>
      <c r="D886" s="2992">
        <f>'Part VII-Pro Forma'!D69</f>
        <v>0</v>
      </c>
      <c r="E886" s="2992">
        <f>'Part VII-Pro Forma'!E69</f>
        <v>0</v>
      </c>
      <c r="F886" s="2992">
        <f>'Part VII-Pro Forma'!F69</f>
        <v>0</v>
      </c>
      <c r="G886" s="2992">
        <f>'Part VII-Pro Forma'!G69</f>
        <v>0</v>
      </c>
      <c r="H886" s="2992">
        <f>'Part VII-Pro Forma'!H69</f>
        <v>0</v>
      </c>
      <c r="I886" s="2992">
        <f>'Part VII-Pro Forma'!I69</f>
        <v>0</v>
      </c>
      <c r="J886" s="2992">
        <f>'Part VII-Pro Forma'!J69</f>
        <v>0</v>
      </c>
      <c r="K886" s="2992">
        <f>'Part VII-Pro Forma'!K69</f>
        <v>0</v>
      </c>
      <c r="M886" s="2922"/>
      <c r="N886" s="2922"/>
    </row>
    <row r="887" spans="1:14">
      <c r="B887" s="2992"/>
      <c r="C887" s="2992"/>
      <c r="D887" s="2992"/>
      <c r="E887" s="2992"/>
      <c r="F887" s="2992"/>
      <c r="G887" s="2992"/>
      <c r="H887" s="2992"/>
      <c r="I887" s="2992"/>
      <c r="J887" s="2992"/>
      <c r="K887" s="2992"/>
    </row>
    <row r="888" spans="1:14">
      <c r="A888" s="2885" t="s">
        <v>2603</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2751</v>
      </c>
      <c r="N888" s="2982"/>
    </row>
    <row r="889" spans="1:14">
      <c r="A889" s="926" t="s">
        <v>2522</v>
      </c>
      <c r="B889" s="2992">
        <f>'Part VII-Pro Forma'!B72</f>
        <v>1213995.2473559799</v>
      </c>
      <c r="C889" s="2992">
        <f>'Part VII-Pro Forma'!C72</f>
        <v>1238275.1523030992</v>
      </c>
      <c r="D889" s="2992">
        <f>'Part VII-Pro Forma'!D72</f>
        <v>1263040.6553491612</v>
      </c>
      <c r="E889" s="2992">
        <f>'Part VII-Pro Forma'!E72</f>
        <v>1288301.4684561442</v>
      </c>
      <c r="F889" s="2992">
        <f>'Part VII-Pro Forma'!F72</f>
        <v>1314067.4978252673</v>
      </c>
      <c r="G889" s="2992">
        <f>'Part VII-Pro Forma'!G72</f>
        <v>1340348.8477817725</v>
      </c>
      <c r="H889" s="2992">
        <f>'Part VII-Pro Forma'!H72</f>
        <v>1367155.8247374082</v>
      </c>
      <c r="I889" s="2992">
        <f>'Part VII-Pro Forma'!I72</f>
        <v>1394498.941232156</v>
      </c>
      <c r="J889" s="2992">
        <f>'Part VII-Pro Forma'!J72</f>
        <v>1422388.9200567994</v>
      </c>
      <c r="K889" s="2992">
        <f>'Part VII-Pro Forma'!K72</f>
        <v>1450836.6984579354</v>
      </c>
      <c r="M889" s="2847">
        <f>'Part VII-Pro Forma'!M72</f>
        <v>0</v>
      </c>
      <c r="N889" s="2922"/>
    </row>
    <row r="890" spans="1:14">
      <c r="A890" s="926" t="s">
        <v>1066</v>
      </c>
      <c r="B890" s="2992">
        <f>'Part VII-Pro Forma'!B73</f>
        <v>24279.904947119594</v>
      </c>
      <c r="C890" s="2992">
        <f>'Part VII-Pro Forma'!C73</f>
        <v>24765.503046061986</v>
      </c>
      <c r="D890" s="2992">
        <f>'Part VII-Pro Forma'!D73</f>
        <v>25260.813106983227</v>
      </c>
      <c r="E890" s="2992">
        <f>'Part VII-Pro Forma'!E73</f>
        <v>25766.029369122887</v>
      </c>
      <c r="F890" s="2992">
        <f>'Part VII-Pro Forma'!F73</f>
        <v>26281.349956505346</v>
      </c>
      <c r="G890" s="2992">
        <f>'Part VII-Pro Forma'!G73</f>
        <v>26806.976955635451</v>
      </c>
      <c r="H890" s="2992">
        <f>'Part VII-Pro Forma'!H73</f>
        <v>27343.116494748163</v>
      </c>
      <c r="I890" s="2992">
        <f>'Part VII-Pro Forma'!I73</f>
        <v>27889.978824643124</v>
      </c>
      <c r="J890" s="2992">
        <f>'Part VII-Pro Forma'!J73</f>
        <v>28447.778401135991</v>
      </c>
      <c r="K890" s="2992">
        <f>'Part VII-Pro Forma'!K73</f>
        <v>29016.733969158708</v>
      </c>
      <c r="M890" s="2922"/>
      <c r="N890" s="2922"/>
    </row>
    <row r="891" spans="1:14">
      <c r="A891" s="926" t="s">
        <v>2523</v>
      </c>
      <c r="B891" s="2992">
        <f>'Part VII-Pro Forma'!B74</f>
        <v>-86679.260661216962</v>
      </c>
      <c r="C891" s="2992">
        <f>'Part VII-Pro Forma'!C74</f>
        <v>-88412.845874441293</v>
      </c>
      <c r="D891" s="2992">
        <f>'Part VII-Pro Forma'!D74</f>
        <v>-90181.102791930127</v>
      </c>
      <c r="E891" s="2992">
        <f>'Part VII-Pro Forma'!E74</f>
        <v>-91984.724847768695</v>
      </c>
      <c r="F891" s="2992">
        <f>'Part VII-Pro Forma'!F74</f>
        <v>-93824.419344724083</v>
      </c>
      <c r="G891" s="2992">
        <f>'Part VII-Pro Forma'!G74</f>
        <v>-95700.907731618572</v>
      </c>
      <c r="H891" s="2992">
        <f>'Part VII-Pro Forma'!H74</f>
        <v>-97614.92588625096</v>
      </c>
      <c r="I891" s="2992">
        <f>'Part VII-Pro Forma'!I74</f>
        <v>-99567.224403975953</v>
      </c>
      <c r="J891" s="2992">
        <f>'Part VII-Pro Forma'!J74</f>
        <v>-101558.56889205548</v>
      </c>
      <c r="K891" s="2992">
        <f>'Part VII-Pro Forma'!K74</f>
        <v>-103589.74026989659</v>
      </c>
      <c r="M891" s="2922"/>
      <c r="N891" s="2922"/>
    </row>
    <row r="892" spans="1:14">
      <c r="A892" s="926"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926"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926" t="s">
        <v>645</v>
      </c>
      <c r="B894" s="2992">
        <f>'Part VII-Pro Forma'!B77</f>
        <v>-919137.23176820308</v>
      </c>
      <c r="C894" s="2992">
        <f>'Part VII-Pro Forma'!C77</f>
        <v>-946711.34872124903</v>
      </c>
      <c r="D894" s="2992">
        <f>'Part VII-Pro Forma'!D77</f>
        <v>-975112.68918288662</v>
      </c>
      <c r="E894" s="2992">
        <f>'Part VII-Pro Forma'!E77</f>
        <v>-1004366.0698583733</v>
      </c>
      <c r="F894" s="2992">
        <f>'Part VII-Pro Forma'!F77</f>
        <v>-1034497.0519541244</v>
      </c>
      <c r="G894" s="2992">
        <f>'Part VII-Pro Forma'!G77</f>
        <v>-1065531.963512748</v>
      </c>
      <c r="H894" s="2992">
        <f>'Part VII-Pro Forma'!H77</f>
        <v>-1097497.9224181306</v>
      </c>
      <c r="I894" s="2992">
        <f>'Part VII-Pro Forma'!I77</f>
        <v>-1130422.8600906744</v>
      </c>
      <c r="J894" s="2992">
        <f>'Part VII-Pro Forma'!J77</f>
        <v>-1164335.5458933946</v>
      </c>
      <c r="K894" s="2992">
        <f>'Part VII-Pro Forma'!K77</f>
        <v>-1199265.6122701964</v>
      </c>
      <c r="M894" s="2922"/>
      <c r="N894" s="2922"/>
    </row>
    <row r="895" spans="1:14">
      <c r="A895" s="926" t="s">
        <v>1166</v>
      </c>
      <c r="B895" s="2992">
        <f>'Part VII-Pro Forma'!B78</f>
        <v>-92703</v>
      </c>
      <c r="C895" s="2992">
        <f>'Part VII-Pro Forma'!C78</f>
        <v>-94558</v>
      </c>
      <c r="D895" s="2992">
        <f>'Part VII-Pro Forma'!D78</f>
        <v>-96449</v>
      </c>
      <c r="E895" s="2992">
        <f>'Part VII-Pro Forma'!E78</f>
        <v>-98378</v>
      </c>
      <c r="F895" s="2992">
        <f>'Part VII-Pro Forma'!F78</f>
        <v>-100345</v>
      </c>
      <c r="G895" s="2992">
        <f>'Part VII-Pro Forma'!G78</f>
        <v>-102352</v>
      </c>
      <c r="H895" s="2992">
        <f>'Part VII-Pro Forma'!H78</f>
        <v>-104399</v>
      </c>
      <c r="I895" s="2992">
        <f>'Part VII-Pro Forma'!I78</f>
        <v>-106487</v>
      </c>
      <c r="J895" s="2992">
        <f>'Part VII-Pro Forma'!J78</f>
        <v>-108617</v>
      </c>
      <c r="K895" s="2992">
        <f>'Part VII-Pro Forma'!K78</f>
        <v>-110789</v>
      </c>
      <c r="M895" s="2922"/>
      <c r="N895" s="2922"/>
    </row>
    <row r="896" spans="1:14">
      <c r="A896" s="926" t="s">
        <v>1260</v>
      </c>
      <c r="B896" s="2992">
        <f>'Part VII-Pro Forma'!B79</f>
        <v>-91028.006227338425</v>
      </c>
      <c r="C896" s="2992">
        <f>'Part VII-Pro Forma'!C79</f>
        <v>-93758.846414158572</v>
      </c>
      <c r="D896" s="2992">
        <f>'Part VII-Pro Forma'!D79</f>
        <v>-96571.611806583329</v>
      </c>
      <c r="E896" s="2992">
        <f>'Part VII-Pro Forma'!E79</f>
        <v>-99468.760160780846</v>
      </c>
      <c r="F896" s="2992">
        <f>'Part VII-Pro Forma'!F79</f>
        <v>-102452.82296560425</v>
      </c>
      <c r="G896" s="2992">
        <f>'Part VII-Pro Forma'!G79</f>
        <v>-105526.40765457238</v>
      </c>
      <c r="H896" s="2992">
        <f>'Part VII-Pro Forma'!H79</f>
        <v>-108692.19988420956</v>
      </c>
      <c r="I896" s="2992">
        <f>'Part VII-Pro Forma'!I79</f>
        <v>-111952.96588073584</v>
      </c>
      <c r="J896" s="2992">
        <f>'Part VII-Pro Forma'!J79</f>
        <v>-115311.55485715791</v>
      </c>
      <c r="K896" s="2992">
        <f>'Part VII-Pro Forma'!K79</f>
        <v>-118770.90150287264</v>
      </c>
      <c r="M896" s="2922"/>
      <c r="N896" s="2922"/>
    </row>
    <row r="897" spans="1:14">
      <c r="A897" s="926" t="s">
        <v>1261</v>
      </c>
      <c r="B897" s="2992">
        <f>'Part VII-Pro Forma'!B80</f>
        <v>48727.653646340972</v>
      </c>
      <c r="C897" s="2992">
        <f>'Part VII-Pro Forma'!C80</f>
        <v>39599.61433931232</v>
      </c>
      <c r="D897" s="2992">
        <f>'Part VII-Pro Forma'!D80</f>
        <v>29987.064674744412</v>
      </c>
      <c r="E897" s="2992">
        <f>'Part VII-Pro Forma'!E80</f>
        <v>19869.942958344254</v>
      </c>
      <c r="F897" s="2992">
        <f>'Part VII-Pro Forma'!F80</f>
        <v>9229.5535173197277</v>
      </c>
      <c r="G897" s="2992">
        <f>'Part VII-Pro Forma'!G80</f>
        <v>-1955.4541615309281</v>
      </c>
      <c r="H897" s="2992">
        <f>'Part VII-Pro Forma'!H80</f>
        <v>-13705.106956434684</v>
      </c>
      <c r="I897" s="2992">
        <f>'Part VII-Pro Forma'!I80</f>
        <v>-26041.130318587006</v>
      </c>
      <c r="J897" s="2992">
        <f>'Part VII-Pro Forma'!J80</f>
        <v>-38985.971184672599</v>
      </c>
      <c r="K897" s="2992">
        <f>'Part VII-Pro Forma'!K80</f>
        <v>-52561.821615871566</v>
      </c>
      <c r="M897" s="2922"/>
      <c r="N897" s="2922"/>
    </row>
    <row r="898" spans="1:14">
      <c r="A898" s="926" t="str">
        <f>$A869</f>
        <v>Mortgage A</v>
      </c>
      <c r="B898" s="2992">
        <f>'Part VII-Pro Forma'!B81</f>
        <v>0</v>
      </c>
      <c r="C898" s="2992">
        <f>'Part VII-Pro Forma'!C81</f>
        <v>0</v>
      </c>
      <c r="D898" s="2992">
        <f>'Part VII-Pro Forma'!D81</f>
        <v>0</v>
      </c>
      <c r="E898" s="2992">
        <f>'Part VII-Pro Forma'!E81</f>
        <v>0</v>
      </c>
      <c r="F898" s="2992">
        <f>'Part VII-Pro Forma'!F81</f>
        <v>0</v>
      </c>
      <c r="G898" s="2992">
        <f>'Part VII-Pro Forma'!G81</f>
        <v>0</v>
      </c>
      <c r="H898" s="2992">
        <f>'Part VII-Pro Forma'!H81</f>
        <v>0</v>
      </c>
      <c r="I898" s="2992">
        <f>'Part VII-Pro Forma'!I81</f>
        <v>0</v>
      </c>
      <c r="J898" s="2992">
        <f>'Part VII-Pro Forma'!J81</f>
        <v>0</v>
      </c>
      <c r="K898" s="2992">
        <f>'Part VII-Pro Forma'!K81</f>
        <v>0</v>
      </c>
      <c r="M898" s="2922"/>
      <c r="N898" s="2922"/>
    </row>
    <row r="899" spans="1:14">
      <c r="A899" s="926"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926"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926"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926" t="s">
        <v>804</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926" t="s">
        <v>1219</v>
      </c>
      <c r="B903" s="2992">
        <f>'Part VII-Pro Forma'!B86</f>
        <v>0</v>
      </c>
      <c r="C903" s="2992">
        <f>'Part VII-Pro Forma'!C86</f>
        <v>0</v>
      </c>
      <c r="D903" s="2992">
        <f>'Part VII-Pro Forma'!D86</f>
        <v>0</v>
      </c>
      <c r="E903" s="2992">
        <f>'Part VII-Pro Forma'!E86</f>
        <v>0</v>
      </c>
      <c r="F903" s="2992">
        <f>'Part VII-Pro Forma'!F86</f>
        <v>0</v>
      </c>
      <c r="G903" s="2992">
        <f>'Part VII-Pro Forma'!G86</f>
        <v>0</v>
      </c>
      <c r="H903" s="2992">
        <f>'Part VII-Pro Forma'!H86</f>
        <v>0</v>
      </c>
      <c r="I903" s="2992">
        <f>'Part VII-Pro Forma'!I86</f>
        <v>0</v>
      </c>
      <c r="J903" s="2992">
        <f>'Part VII-Pro Forma'!J86</f>
        <v>0</v>
      </c>
      <c r="K903" s="2992">
        <f>'Part VII-Pro Forma'!K86</f>
        <v>0</v>
      </c>
      <c r="M903" s="2922"/>
      <c r="N903" s="2922"/>
    </row>
    <row r="904" spans="1:14">
      <c r="A904" s="926" t="s">
        <v>1262</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926" t="s">
        <v>1220</v>
      </c>
      <c r="B905" s="2992">
        <f>'Part VII-Pro Forma'!B88</f>
        <v>48727.653646340972</v>
      </c>
      <c r="C905" s="2992">
        <f>'Part VII-Pro Forma'!C88</f>
        <v>39599.61433931232</v>
      </c>
      <c r="D905" s="2992">
        <f>'Part VII-Pro Forma'!D88</f>
        <v>29987.064674744412</v>
      </c>
      <c r="E905" s="2992">
        <f>'Part VII-Pro Forma'!E88</f>
        <v>19869.942958344254</v>
      </c>
      <c r="F905" s="2992">
        <f>'Part VII-Pro Forma'!F88</f>
        <v>9229.5535173197277</v>
      </c>
      <c r="G905" s="2992">
        <f>'Part VII-Pro Forma'!G88</f>
        <v>-1955.4541615309281</v>
      </c>
      <c r="H905" s="2992">
        <f>'Part VII-Pro Forma'!H88</f>
        <v>-13705.106956434684</v>
      </c>
      <c r="I905" s="2992">
        <f>'Part VII-Pro Forma'!I88</f>
        <v>-26041.130318587006</v>
      </c>
      <c r="J905" s="2992">
        <f>'Part VII-Pro Forma'!J88</f>
        <v>-38985.971184672599</v>
      </c>
      <c r="K905" s="2992">
        <f>'Part VII-Pro Forma'!K88</f>
        <v>-52561.821615871566</v>
      </c>
      <c r="M905" s="2922"/>
      <c r="N905" s="2922"/>
    </row>
    <row r="906" spans="1:14">
      <c r="A906" s="926" t="str">
        <f>$A877</f>
        <v>DCR Mortgage A</v>
      </c>
      <c r="B906" s="2993" t="str">
        <f>'Part VII-Pro Forma'!B89</f>
        <v/>
      </c>
      <c r="C906" s="2993" t="str">
        <f>'Part VII-Pro Forma'!C89</f>
        <v/>
      </c>
      <c r="D906" s="2993" t="str">
        <f>'Part VII-Pro Forma'!D89</f>
        <v/>
      </c>
      <c r="E906" s="2993" t="str">
        <f>'Part VII-Pro Forma'!E89</f>
        <v/>
      </c>
      <c r="F906" s="2993" t="str">
        <f>'Part VII-Pro Forma'!F89</f>
        <v/>
      </c>
      <c r="G906" s="2993" t="str">
        <f>'Part VII-Pro Forma'!G89</f>
        <v/>
      </c>
      <c r="H906" s="2993" t="str">
        <f>'Part VII-Pro Forma'!H89</f>
        <v/>
      </c>
      <c r="I906" s="2993" t="str">
        <f>'Part VII-Pro Forma'!I89</f>
        <v/>
      </c>
      <c r="J906" s="2993" t="str">
        <f>'Part VII-Pro Forma'!J89</f>
        <v/>
      </c>
      <c r="K906" s="2993" t="str">
        <f>'Part VII-Pro Forma'!K89</f>
        <v/>
      </c>
      <c r="M906" s="2922"/>
      <c r="N906" s="2922"/>
    </row>
    <row r="907" spans="1:14">
      <c r="A907" s="926"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926"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926"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926" t="s">
        <v>811</v>
      </c>
      <c r="B910" s="2994">
        <f>'Part VII-Pro Forma'!B93</f>
        <v>1.0441826611444567</v>
      </c>
      <c r="C910" s="2994">
        <f>'Part VII-Pro Forma'!C93</f>
        <v>1.0348886613645647</v>
      </c>
      <c r="D910" s="2994">
        <f>'Part VII-Pro Forma'!D93</f>
        <v>1.0256709269818296</v>
      </c>
      <c r="E910" s="2994">
        <f>'Part VII-Pro Forma'!E93</f>
        <v>1.0165278081070122</v>
      </c>
      <c r="F910" s="2994">
        <f>'Part VII-Pro Forma'!F93</f>
        <v>1.0074594615272439</v>
      </c>
      <c r="G910" s="2994">
        <f>'Part VII-Pro Forma'!G93</f>
        <v>0.99846439591995917</v>
      </c>
      <c r="H910" s="2994">
        <f>'Part VII-Pro Forma'!H93</f>
        <v>0.98954278902272697</v>
      </c>
      <c r="I910" s="2994">
        <f>'Part VII-Pro Forma'!I93</f>
        <v>0.98069401141674073</v>
      </c>
      <c r="J910" s="2994">
        <f>'Part VII-Pro Forma'!J93</f>
        <v>0.97191746789130751</v>
      </c>
      <c r="K910" s="2994">
        <f>'Part VII-Pro Forma'!K93</f>
        <v>0.96321326774388805</v>
      </c>
      <c r="M910" s="2922"/>
      <c r="N910" s="2922"/>
    </row>
    <row r="911" spans="1:14">
      <c r="A911" s="926" t="s">
        <v>2745</v>
      </c>
      <c r="B911" s="2992" t="str">
        <f>'Part VII-Pro Forma'!B94</f>
        <v/>
      </c>
      <c r="C911" s="2992" t="str">
        <f>'Part VII-Pro Forma'!C94</f>
        <v/>
      </c>
      <c r="D911" s="2992" t="str">
        <f>'Part VII-Pro Forma'!D94</f>
        <v/>
      </c>
      <c r="E911" s="2992" t="str">
        <f>'Part VII-Pro Forma'!E94</f>
        <v/>
      </c>
      <c r="F911" s="2992" t="str">
        <f>'Part VII-Pro Forma'!F94</f>
        <v/>
      </c>
      <c r="G911" s="2992" t="str">
        <f>'Part VII-Pro Forma'!G94</f>
        <v/>
      </c>
      <c r="H911" s="2992" t="str">
        <f>'Part VII-Pro Forma'!H94</f>
        <v/>
      </c>
      <c r="I911" s="2992" t="str">
        <f>'Part VII-Pro Forma'!I94</f>
        <v/>
      </c>
      <c r="J911" s="2992" t="str">
        <f>'Part VII-Pro Forma'!J94</f>
        <v/>
      </c>
      <c r="K911" s="2992" t="str">
        <f>'Part VII-Pro Forma'!K94</f>
        <v/>
      </c>
      <c r="M911" s="2922"/>
      <c r="N911" s="2922"/>
    </row>
    <row r="912" spans="1:14">
      <c r="A912" s="926" t="s">
        <v>2746</v>
      </c>
      <c r="B912" s="2992" t="str">
        <f>'Part VII-Pro Forma'!B95</f>
        <v/>
      </c>
      <c r="C912" s="2992" t="str">
        <f>'Part VII-Pro Forma'!C95</f>
        <v/>
      </c>
      <c r="D912" s="2992" t="str">
        <f>'Part VII-Pro Forma'!D95</f>
        <v/>
      </c>
      <c r="E912" s="2992" t="str">
        <f>'Part VII-Pro Forma'!E95</f>
        <v/>
      </c>
      <c r="F912" s="2992" t="str">
        <f>'Part VII-Pro Forma'!F95</f>
        <v/>
      </c>
      <c r="G912" s="2992" t="str">
        <f>'Part VII-Pro Forma'!G95</f>
        <v/>
      </c>
      <c r="H912" s="2992" t="str">
        <f>'Part VII-Pro Forma'!H95</f>
        <v/>
      </c>
      <c r="I912" s="2992" t="str">
        <f>'Part VII-Pro Forma'!I95</f>
        <v/>
      </c>
      <c r="J912" s="2992" t="str">
        <f>'Part VII-Pro Forma'!J95</f>
        <v/>
      </c>
      <c r="K912" s="2992" t="str">
        <f>'Part VII-Pro Forma'!K95</f>
        <v/>
      </c>
      <c r="M912" s="2922"/>
      <c r="N912" s="2922"/>
    </row>
    <row r="913" spans="1:14">
      <c r="A913" s="926" t="s">
        <v>2747</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926" t="s">
        <v>826</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926" t="s">
        <v>1297</v>
      </c>
      <c r="B915" s="2992">
        <f>'Part VII-Pro Forma'!B98</f>
        <v>0</v>
      </c>
      <c r="C915" s="2992">
        <f>'Part VII-Pro Forma'!C98</f>
        <v>0</v>
      </c>
      <c r="D915" s="2992">
        <f>'Part VII-Pro Forma'!D98</f>
        <v>0</v>
      </c>
      <c r="E915" s="2992">
        <f>'Part VII-Pro Forma'!E98</f>
        <v>0</v>
      </c>
      <c r="F915" s="2992">
        <f>'Part VII-Pro Forma'!F98</f>
        <v>0</v>
      </c>
      <c r="G915" s="2992">
        <f>'Part VII-Pro Forma'!G98</f>
        <v>0</v>
      </c>
      <c r="H915" s="2992">
        <f>'Part VII-Pro Forma'!H98</f>
        <v>0</v>
      </c>
      <c r="I915" s="2992">
        <f>'Part VII-Pro Forma'!I98</f>
        <v>0</v>
      </c>
      <c r="J915" s="2992">
        <f>'Part VII-Pro Forma'!J98</f>
        <v>0</v>
      </c>
      <c r="K915" s="2992">
        <f>'Part VII-Pro Forma'!K98</f>
        <v>0</v>
      </c>
      <c r="M915" s="2922"/>
      <c r="N915" s="2922"/>
    </row>
    <row r="916" spans="1:14">
      <c r="B916" s="2992"/>
      <c r="C916" s="2992"/>
      <c r="D916" s="2992"/>
      <c r="E916" s="2992"/>
      <c r="F916" s="2992"/>
      <c r="G916" s="2992"/>
      <c r="H916" s="2992"/>
      <c r="I916" s="2992"/>
      <c r="J916" s="2992"/>
      <c r="K916" s="2992"/>
    </row>
    <row r="917" spans="1:14">
      <c r="A917" s="2885" t="s">
        <v>2603</v>
      </c>
      <c r="B917" s="2995">
        <f>K888+1</f>
        <v>31</v>
      </c>
      <c r="C917" s="2995">
        <f>B917+1</f>
        <v>32</v>
      </c>
      <c r="D917" s="2995">
        <f>C917+1</f>
        <v>33</v>
      </c>
      <c r="E917" s="2995">
        <f>D917+1</f>
        <v>34</v>
      </c>
      <c r="F917" s="2995">
        <f>E917+1</f>
        <v>35</v>
      </c>
      <c r="G917" s="2992"/>
      <c r="H917" s="2992"/>
      <c r="I917" s="2992"/>
      <c r="J917" s="2992"/>
      <c r="K917" s="2992"/>
      <c r="M917" s="2982" t="s">
        <v>2751</v>
      </c>
      <c r="N917" s="2982"/>
    </row>
    <row r="918" spans="1:14">
      <c r="A918" s="926" t="s">
        <v>2522</v>
      </c>
      <c r="B918" s="2992">
        <f>'Part VII-Pro Forma'!B101</f>
        <v>1479853.4324270941</v>
      </c>
      <c r="C918" s="2992">
        <f>'Part VII-Pro Forma'!C101</f>
        <v>1509450.5010756357</v>
      </c>
      <c r="D918" s="2992">
        <f>'Part VII-Pro Forma'!D101</f>
        <v>1539639.5110971488</v>
      </c>
      <c r="E918" s="2992">
        <f>'Part VII-Pro Forma'!E101</f>
        <v>1570432.3013190918</v>
      </c>
      <c r="F918" s="2992">
        <f>'Part VII-Pro Forma'!F101</f>
        <v>1601840.9473454736</v>
      </c>
      <c r="G918" s="2992"/>
      <c r="H918" s="2992"/>
      <c r="I918" s="2992"/>
      <c r="J918" s="2992"/>
      <c r="K918" s="2992"/>
      <c r="M918" s="2847">
        <f>'Part VII-Pro Forma'!M101</f>
        <v>0</v>
      </c>
      <c r="N918" s="2922"/>
    </row>
    <row r="919" spans="1:14">
      <c r="A919" s="926" t="s">
        <v>1066</v>
      </c>
      <c r="B919" s="2992">
        <f>'Part VII-Pro Forma'!B102</f>
        <v>29597.068648541885</v>
      </c>
      <c r="C919" s="2992">
        <f>'Part VII-Pro Forma'!C102</f>
        <v>30189.010021512713</v>
      </c>
      <c r="D919" s="2992">
        <f>'Part VII-Pro Forma'!D102</f>
        <v>30792.790221942974</v>
      </c>
      <c r="E919" s="2992">
        <f>'Part VII-Pro Forma'!E102</f>
        <v>31408.646026381837</v>
      </c>
      <c r="F919" s="2992">
        <f>'Part VII-Pro Forma'!F102</f>
        <v>32036.818946909469</v>
      </c>
      <c r="G919" s="2992"/>
      <c r="H919" s="2992"/>
      <c r="I919" s="2992"/>
      <c r="J919" s="2992"/>
      <c r="K919" s="2992"/>
      <c r="M919" s="2922"/>
      <c r="N919" s="2922"/>
    </row>
    <row r="920" spans="1:14">
      <c r="A920" s="926" t="s">
        <v>2523</v>
      </c>
      <c r="B920" s="2992">
        <f>'Part VII-Pro Forma'!B103</f>
        <v>-105661.53507529452</v>
      </c>
      <c r="C920" s="2992">
        <f>'Part VII-Pro Forma'!C103</f>
        <v>-107774.76577680038</v>
      </c>
      <c r="D920" s="2992">
        <f>'Part VII-Pro Forma'!D103</f>
        <v>-109930.26109233644</v>
      </c>
      <c r="E920" s="2992">
        <f>'Part VII-Pro Forma'!E103</f>
        <v>-112128.86631418316</v>
      </c>
      <c r="F920" s="2992">
        <f>'Part VII-Pro Forma'!F103</f>
        <v>-114371.44364046682</v>
      </c>
      <c r="G920" s="2992"/>
      <c r="H920" s="2992"/>
      <c r="I920" s="2992"/>
      <c r="J920" s="2992"/>
      <c r="K920" s="2992"/>
      <c r="M920" s="2922"/>
      <c r="N920" s="2922"/>
    </row>
    <row r="921" spans="1:14">
      <c r="A921" s="926"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926"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926" t="s">
        <v>645</v>
      </c>
      <c r="B923" s="2992">
        <f>'Part VII-Pro Forma'!B106</f>
        <v>-1235243.5806383023</v>
      </c>
      <c r="C923" s="2992">
        <f>'Part VII-Pro Forma'!C106</f>
        <v>-1272300.8880574515</v>
      </c>
      <c r="D923" s="2992">
        <f>'Part VII-Pro Forma'!D106</f>
        <v>-1310469.9146991749</v>
      </c>
      <c r="E923" s="2992">
        <f>'Part VII-Pro Forma'!E106</f>
        <v>-1349784.0121401502</v>
      </c>
      <c r="F923" s="2992">
        <f>'Part VII-Pro Forma'!F106</f>
        <v>-1390277.5325043544</v>
      </c>
      <c r="G923" s="2992"/>
      <c r="H923" s="2992"/>
      <c r="I923" s="2992"/>
      <c r="J923" s="2992"/>
      <c r="K923" s="2992"/>
      <c r="M923" s="2922"/>
      <c r="N923" s="2922"/>
    </row>
    <row r="924" spans="1:14">
      <c r="A924" s="926" t="s">
        <v>1166</v>
      </c>
      <c r="B924" s="2992">
        <f>'Part VII-Pro Forma'!B107</f>
        <v>-113005</v>
      </c>
      <c r="C924" s="2992">
        <f>'Part VII-Pro Forma'!C107</f>
        <v>-115265</v>
      </c>
      <c r="D924" s="2992">
        <f>'Part VII-Pro Forma'!D107</f>
        <v>-117570</v>
      </c>
      <c r="E924" s="2992">
        <f>'Part VII-Pro Forma'!E107</f>
        <v>-119922</v>
      </c>
      <c r="F924" s="2992">
        <f>'Part VII-Pro Forma'!F107</f>
        <v>-122320</v>
      </c>
      <c r="G924" s="2992"/>
      <c r="H924" s="2992"/>
      <c r="I924" s="2992"/>
      <c r="J924" s="2992"/>
      <c r="K924" s="2992"/>
      <c r="M924" s="2922"/>
      <c r="N924" s="2922"/>
    </row>
    <row r="925" spans="1:14">
      <c r="A925" s="926" t="s">
        <v>1260</v>
      </c>
      <c r="B925" s="2992">
        <f>'Part VII-Pro Forma'!B108</f>
        <v>-122334.02854795882</v>
      </c>
      <c r="C925" s="2992">
        <f>'Part VII-Pro Forma'!C108</f>
        <v>-126004.04940439761</v>
      </c>
      <c r="D925" s="2992">
        <f>'Part VII-Pro Forma'!D108</f>
        <v>-129784.17088652951</v>
      </c>
      <c r="E925" s="2992">
        <f>'Part VII-Pro Forma'!E108</f>
        <v>-133677.69601312539</v>
      </c>
      <c r="F925" s="2992">
        <f>'Part VII-Pro Forma'!F108</f>
        <v>-137688.02689351913</v>
      </c>
      <c r="G925" s="2992"/>
      <c r="H925" s="2992"/>
      <c r="I925" s="2992"/>
      <c r="J925" s="2992"/>
      <c r="K925" s="2992"/>
      <c r="M925" s="2922"/>
      <c r="N925" s="2922"/>
    </row>
    <row r="926" spans="1:14">
      <c r="A926" s="926" t="s">
        <v>1261</v>
      </c>
      <c r="B926" s="2992">
        <f>'Part VII-Pro Forma'!B109</f>
        <v>-66793.643185919733</v>
      </c>
      <c r="C926" s="2992">
        <f>'Part VII-Pro Forma'!C109</f>
        <v>-81705.192141501233</v>
      </c>
      <c r="D926" s="2992">
        <f>'Part VII-Pro Forma'!D109</f>
        <v>-97322.045358949006</v>
      </c>
      <c r="E926" s="2992">
        <f>'Part VII-Pro Forma'!E109</f>
        <v>-113671.62712198522</v>
      </c>
      <c r="F926" s="2992">
        <f>'Part VII-Pro Forma'!F109</f>
        <v>-130779.23674595731</v>
      </c>
      <c r="G926" s="2992"/>
      <c r="H926" s="2992"/>
      <c r="I926" s="2992"/>
      <c r="J926" s="2992"/>
      <c r="K926" s="2992"/>
      <c r="M926" s="2922"/>
      <c r="N926" s="2922"/>
    </row>
    <row r="927" spans="1:14">
      <c r="A927" s="926" t="str">
        <f>$A898</f>
        <v>Mortgage A</v>
      </c>
      <c r="B927" s="2992">
        <f>'Part VII-Pro Forma'!B110</f>
        <v>0</v>
      </c>
      <c r="C927" s="2992">
        <f>'Part VII-Pro Forma'!C110</f>
        <v>0</v>
      </c>
      <c r="D927" s="2992">
        <f>'Part VII-Pro Forma'!D110</f>
        <v>0</v>
      </c>
      <c r="E927" s="2992">
        <f>'Part VII-Pro Forma'!E110</f>
        <v>0</v>
      </c>
      <c r="F927" s="2992">
        <f>'Part VII-Pro Forma'!F110</f>
        <v>0</v>
      </c>
      <c r="G927" s="2992"/>
      <c r="H927" s="2992"/>
      <c r="I927" s="2992"/>
      <c r="J927" s="2992"/>
      <c r="K927" s="2992"/>
      <c r="M927" s="2922"/>
      <c r="N927" s="2922"/>
    </row>
    <row r="928" spans="1:14">
      <c r="A928" s="926"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926"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926"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926" t="s">
        <v>804</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926" t="s">
        <v>1219</v>
      </c>
      <c r="B932" s="2992">
        <f>'Part VII-Pro Forma'!B115</f>
        <v>0</v>
      </c>
      <c r="C932" s="2992">
        <f>'Part VII-Pro Forma'!C115</f>
        <v>0</v>
      </c>
      <c r="D932" s="2992">
        <f>'Part VII-Pro Forma'!D115</f>
        <v>0</v>
      </c>
      <c r="E932" s="2992">
        <f>'Part VII-Pro Forma'!E115</f>
        <v>0</v>
      </c>
      <c r="F932" s="2992">
        <f>'Part VII-Pro Forma'!F115</f>
        <v>0</v>
      </c>
      <c r="G932" s="2992"/>
      <c r="H932" s="2992"/>
      <c r="I932" s="2992"/>
      <c r="J932" s="2992"/>
      <c r="K932" s="2992"/>
      <c r="M932" s="2922"/>
      <c r="N932" s="2922"/>
    </row>
    <row r="933" spans="1:14">
      <c r="A933" s="926" t="s">
        <v>1262</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926" t="s">
        <v>1220</v>
      </c>
      <c r="B934" s="2992">
        <f>'Part VII-Pro Forma'!B117</f>
        <v>-66793.643185919733</v>
      </c>
      <c r="C934" s="2992">
        <f>'Part VII-Pro Forma'!C117</f>
        <v>-81705.192141501233</v>
      </c>
      <c r="D934" s="2992">
        <f>'Part VII-Pro Forma'!D117</f>
        <v>-97322.045358949006</v>
      </c>
      <c r="E934" s="2992">
        <f>'Part VII-Pro Forma'!E117</f>
        <v>-113671.62712198522</v>
      </c>
      <c r="F934" s="2992">
        <f>'Part VII-Pro Forma'!F117</f>
        <v>-130779.23674595731</v>
      </c>
      <c r="G934" s="2992"/>
      <c r="H934" s="2992"/>
      <c r="I934" s="2992"/>
      <c r="J934" s="2992"/>
      <c r="K934" s="2992"/>
      <c r="M934" s="2922"/>
      <c r="N934" s="2922"/>
    </row>
    <row r="935" spans="1:14">
      <c r="A935" s="926" t="str">
        <f>$A906</f>
        <v>DCR Mortgage A</v>
      </c>
      <c r="B935" s="2993" t="str">
        <f>'Part VII-Pro Forma'!B118</f>
        <v/>
      </c>
      <c r="C935" s="2993" t="str">
        <f>'Part VII-Pro Forma'!C118</f>
        <v/>
      </c>
      <c r="D935" s="2993" t="str">
        <f>'Part VII-Pro Forma'!D118</f>
        <v/>
      </c>
      <c r="E935" s="2993" t="str">
        <f>'Part VII-Pro Forma'!E118</f>
        <v/>
      </c>
      <c r="F935" s="2993" t="str">
        <f>'Part VII-Pro Forma'!F118</f>
        <v/>
      </c>
      <c r="G935" s="2992"/>
      <c r="H935" s="2992"/>
      <c r="I935" s="2992"/>
      <c r="J935" s="2992"/>
      <c r="K935" s="2992"/>
      <c r="M935" s="2922"/>
      <c r="N935" s="2922"/>
    </row>
    <row r="936" spans="1:14">
      <c r="A936" s="926"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926"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926"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926" t="s">
        <v>811</v>
      </c>
      <c r="B939" s="2994">
        <f>'Part VII-Pro Forma'!B122</f>
        <v>0.95458014886842735</v>
      </c>
      <c r="C939" s="2994">
        <f>'Part VII-Pro Forma'!C122</f>
        <v>0.94601822478152864</v>
      </c>
      <c r="D939" s="2994">
        <f>'Part VII-Pro Forma'!D122</f>
        <v>0.93752693499898077</v>
      </c>
      <c r="E939" s="2994">
        <f>'Part VII-Pro Forma'!E122</f>
        <v>0.92910516269813637</v>
      </c>
      <c r="F939" s="2994">
        <f>'Part VII-Pro Forma'!F122</f>
        <v>0.920753571403925</v>
      </c>
      <c r="G939" s="2992"/>
      <c r="H939" s="2992"/>
      <c r="I939" s="2992"/>
      <c r="J939" s="2992"/>
      <c r="K939" s="2992"/>
      <c r="M939" s="2922"/>
      <c r="N939" s="2922"/>
    </row>
    <row r="940" spans="1:14">
      <c r="A940" s="926" t="s">
        <v>2745</v>
      </c>
      <c r="B940" s="2992" t="str">
        <f>'Part VII-Pro Forma'!B123</f>
        <v/>
      </c>
      <c r="C940" s="2992" t="str">
        <f>'Part VII-Pro Forma'!C123</f>
        <v/>
      </c>
      <c r="D940" s="2992" t="str">
        <f>'Part VII-Pro Forma'!D123</f>
        <v/>
      </c>
      <c r="E940" s="2992" t="str">
        <f>'Part VII-Pro Forma'!E123</f>
        <v/>
      </c>
      <c r="F940" s="2992" t="str">
        <f>'Part VII-Pro Forma'!F123</f>
        <v/>
      </c>
      <c r="G940" s="2992"/>
      <c r="H940" s="2992"/>
      <c r="I940" s="2992"/>
      <c r="J940" s="2992"/>
      <c r="K940" s="2992"/>
      <c r="M940" s="2922"/>
      <c r="N940" s="2922"/>
    </row>
    <row r="941" spans="1:14">
      <c r="A941" s="926" t="s">
        <v>2746</v>
      </c>
      <c r="B941" s="2992" t="str">
        <f>'Part VII-Pro Forma'!B124</f>
        <v/>
      </c>
      <c r="C941" s="2992" t="str">
        <f>'Part VII-Pro Forma'!C124</f>
        <v/>
      </c>
      <c r="D941" s="2992" t="str">
        <f>'Part VII-Pro Forma'!D124</f>
        <v/>
      </c>
      <c r="E941" s="2992" t="str">
        <f>'Part VII-Pro Forma'!E124</f>
        <v/>
      </c>
      <c r="F941" s="2992" t="str">
        <f>'Part VII-Pro Forma'!F124</f>
        <v/>
      </c>
      <c r="G941" s="2992"/>
      <c r="H941" s="2992"/>
      <c r="I941" s="2992"/>
      <c r="J941" s="2992"/>
      <c r="K941" s="2992"/>
      <c r="M941" s="2922"/>
      <c r="N941" s="2922"/>
    </row>
    <row r="942" spans="1:14">
      <c r="A942" s="926" t="s">
        <v>2747</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926" t="s">
        <v>826</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926" t="s">
        <v>1297</v>
      </c>
      <c r="B944" s="2992">
        <f>'Part VII-Pro Forma'!B127</f>
        <v>0</v>
      </c>
      <c r="C944" s="2992">
        <f>'Part VII-Pro Forma'!C127</f>
        <v>0</v>
      </c>
      <c r="D944" s="2992">
        <f>'Part VII-Pro Forma'!D127</f>
        <v>0</v>
      </c>
      <c r="E944" s="2992">
        <f>'Part VII-Pro Forma'!E127</f>
        <v>0</v>
      </c>
      <c r="F944" s="2992">
        <f>'Part VII-Pro Forma'!F127</f>
        <v>0</v>
      </c>
      <c r="G944" s="2992"/>
      <c r="H944" s="2992"/>
      <c r="I944" s="2992"/>
      <c r="J944" s="2992"/>
      <c r="K944" s="2992"/>
      <c r="M944" s="2922"/>
      <c r="N944" s="2922"/>
    </row>
    <row r="946" spans="1:17">
      <c r="A946" s="2885" t="s">
        <v>598</v>
      </c>
      <c r="B946" s="2885"/>
      <c r="G946" s="2885" t="s">
        <v>1081</v>
      </c>
    </row>
    <row r="947" spans="1:17">
      <c r="B947" s="2982"/>
    </row>
    <row r="948" spans="1:17" ht="15.75">
      <c r="A948" s="2764" t="str">
        <f>'Part VII-Pro Forma'!A131</f>
        <v>APPLICANTS: Explain any any debt service payment amounts that deviate from the amount shown in Permanent Sources (Part III)
"Asset management fee" actually consists of a $5,000 asset management fee to the general partner, plus a $5,000 asset management fee to the limited partner, both are escalated at 3% per year.
It should be noted that the income from the HAP contract is based on HUD's OCAF, where the payment standards more closely track operating expenses.  This is not shown here, however.</v>
      </c>
      <c r="B948" s="2764"/>
      <c r="C948" s="2764"/>
      <c r="D948" s="2764"/>
      <c r="E948" s="2764"/>
      <c r="F948" s="2764"/>
      <c r="G948" s="2764">
        <f>'Part VII-Pro Forma'!G131</f>
        <v>0</v>
      </c>
      <c r="H948" s="2764"/>
      <c r="I948" s="2764"/>
      <c r="J948" s="2764"/>
      <c r="K948" s="2764"/>
      <c r="M948" s="2882" t="s">
        <v>2854</v>
      </c>
      <c r="N948" s="2882"/>
    </row>
    <row r="951" spans="1:17">
      <c r="A951" s="2883" t="str">
        <f>CONCATENATE("PART EIGHT - THRESHOLD CRITERIA","  -  ",'Part I-Project Information'!$O$4," ",'Part I-Project Information'!$F$24,", ",'Part I-Project Information'!F978,", ",'Part I-Project Information'!J979," County")</f>
        <v>PART EIGHT - THRESHOLD CRITERIA  -  2015-056 Lakeview Apartments,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979</v>
      </c>
      <c r="P953" s="2997"/>
      <c r="Q953" s="2909" t="s">
        <v>1935</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591</v>
      </c>
      <c r="J956" s="2905"/>
      <c r="K956" s="2905"/>
      <c r="L956" s="2905"/>
      <c r="M956" s="2905"/>
      <c r="N956" s="2905"/>
      <c r="P956" s="3000">
        <f>'Part VIII-Threshold Criteria'!P6</f>
        <v>0</v>
      </c>
      <c r="Q956" s="3000"/>
    </row>
    <row r="957" spans="1:17">
      <c r="A957" s="3001" t="s">
        <v>4035</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2789</v>
      </c>
      <c r="C979" s="3004"/>
      <c r="D979" s="3005"/>
      <c r="E979" s="3005"/>
      <c r="F979" s="3005"/>
      <c r="G979" s="3005"/>
      <c r="I979" s="3006"/>
      <c r="J979" s="3006"/>
      <c r="K979" s="3006"/>
      <c r="L979" s="2905"/>
      <c r="M979" s="2905"/>
      <c r="O979" s="3007" t="s">
        <v>1961</v>
      </c>
      <c r="P979" s="2911">
        <f>'Part VIII-Threshold Criteria'!P29</f>
        <v>0</v>
      </c>
      <c r="Q979" s="2911"/>
    </row>
    <row r="981" spans="1:17">
      <c r="B981" s="3008" t="s">
        <v>2081</v>
      </c>
      <c r="C981" s="522" t="s">
        <v>3807</v>
      </c>
      <c r="E981" s="3009"/>
      <c r="F981" s="3009"/>
      <c r="G981" s="3009"/>
      <c r="H981" s="3009"/>
      <c r="I981" s="521"/>
      <c r="J981" s="521"/>
      <c r="K981" s="521"/>
      <c r="L981" s="521"/>
      <c r="M981" s="521"/>
      <c r="O981" s="2981" t="s">
        <v>625</v>
      </c>
      <c r="P981" s="3010" t="str">
        <f>'Part VIII-Threshold Criteria'!P31</f>
        <v>No</v>
      </c>
      <c r="Q981" s="3010">
        <f>'Part VIII-Threshold Criteria'!Q31</f>
        <v>0</v>
      </c>
    </row>
    <row r="982" spans="1:17">
      <c r="B982" s="3011" t="s">
        <v>2084</v>
      </c>
      <c r="C982" s="522" t="s">
        <v>756</v>
      </c>
      <c r="E982" s="3009"/>
      <c r="F982" s="3009"/>
      <c r="G982" s="3009"/>
      <c r="H982" s="3009"/>
      <c r="J982" s="2911" t="str">
        <f>'Part VIII-Threshold Criteria'!J32</f>
        <v>&lt;&lt; Select &gt;&gt;</v>
      </c>
      <c r="K982" s="2911"/>
      <c r="L982" s="2911"/>
      <c r="M982" s="2911"/>
      <c r="N982" s="2911"/>
      <c r="O982" s="2981"/>
      <c r="P982" s="2981"/>
      <c r="Q982" s="2981"/>
    </row>
    <row r="983" spans="1:17">
      <c r="B983" s="2972" t="s">
        <v>1959</v>
      </c>
      <c r="C983" s="2972"/>
      <c r="D983" s="2972"/>
      <c r="E983" s="2972"/>
      <c r="F983" s="2972"/>
      <c r="G983" s="3006"/>
      <c r="H983" s="3006"/>
      <c r="I983" s="3006"/>
      <c r="J983" s="3006"/>
      <c r="K983" s="2905"/>
      <c r="L983" s="2905"/>
      <c r="M983" s="2905"/>
      <c r="N983" s="2905"/>
      <c r="O983" s="2905"/>
      <c r="P983" s="2905"/>
    </row>
    <row r="984" spans="1:17">
      <c r="A984" s="2947" t="str">
        <f>'Part VIII-Threshold Criteria'!A34</f>
        <v>No commitments pending consideration.</v>
      </c>
      <c r="B984" s="2947"/>
      <c r="C984" s="2947"/>
      <c r="D984" s="2947"/>
      <c r="E984" s="2947"/>
      <c r="F984" s="2947"/>
      <c r="G984" s="2947"/>
      <c r="H984" s="2947"/>
      <c r="I984" s="2947"/>
      <c r="J984" s="2947"/>
      <c r="K984" s="2947"/>
      <c r="L984" s="2947"/>
      <c r="M984" s="2947"/>
      <c r="N984" s="2947"/>
      <c r="O984" s="2947"/>
      <c r="P984" s="2947"/>
      <c r="Q984" s="2947"/>
    </row>
    <row r="985" spans="1:17">
      <c r="B985" s="3012" t="s">
        <v>1960</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2883</v>
      </c>
      <c r="C988" s="524"/>
      <c r="D988" s="524"/>
      <c r="E988" s="3014"/>
      <c r="G988" s="2912"/>
      <c r="H988" s="2912"/>
      <c r="I988" s="2912"/>
      <c r="J988" s="521"/>
      <c r="L988" s="3015"/>
      <c r="M988" s="3015"/>
      <c r="N988" s="3015"/>
      <c r="O988" s="3007" t="s">
        <v>1961</v>
      </c>
      <c r="P988" s="2911">
        <f>'Part VIII-Threshold Criteria'!P38</f>
        <v>0</v>
      </c>
      <c r="Q988" s="2911"/>
    </row>
    <row r="989" spans="1:17">
      <c r="A989" s="3016" t="s">
        <v>4585</v>
      </c>
      <c r="B989" s="3016"/>
      <c r="C989" s="3016"/>
      <c r="D989" s="3016"/>
      <c r="E989" s="3016"/>
      <c r="F989" s="3016"/>
      <c r="G989" s="2870" t="s">
        <v>2887</v>
      </c>
      <c r="H989" s="2870"/>
      <c r="I989" s="3005"/>
      <c r="J989" s="521"/>
      <c r="K989" s="3017" t="s">
        <v>4037</v>
      </c>
      <c r="L989" s="3017"/>
      <c r="M989" s="3017"/>
      <c r="N989" s="3017"/>
    </row>
    <row r="990" spans="1:17" ht="13.5">
      <c r="A990" s="3016"/>
      <c r="B990" s="3016"/>
      <c r="C990" s="3016"/>
      <c r="D990" s="3016"/>
      <c r="E990" s="3016"/>
      <c r="F990" s="3016"/>
      <c r="G990" s="2870" t="s">
        <v>359</v>
      </c>
      <c r="H990" s="2870"/>
      <c r="I990" s="3005"/>
      <c r="J990" s="521"/>
      <c r="K990" s="3018" t="s">
        <v>4038</v>
      </c>
      <c r="L990" s="3018"/>
      <c r="M990" s="3018"/>
      <c r="N990" s="3018"/>
      <c r="P990" s="3019" t="s">
        <v>2921</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2886</v>
      </c>
      <c r="F992" s="3021" t="s">
        <v>4041</v>
      </c>
      <c r="G992" s="3022" t="s">
        <v>4040</v>
      </c>
      <c r="H992" s="3022"/>
      <c r="I992" s="3022"/>
      <c r="K992" s="3021" t="s">
        <v>4041</v>
      </c>
      <c r="L992" s="3022" t="s">
        <v>4040</v>
      </c>
      <c r="M992" s="3022"/>
      <c r="N992" s="3022"/>
    </row>
    <row r="993" spans="1:17">
      <c r="A993" s="3023" t="s">
        <v>3814</v>
      </c>
      <c r="B993" s="3023"/>
      <c r="C993" s="3023"/>
      <c r="D993" s="3024" t="s">
        <v>592</v>
      </c>
      <c r="E993" s="3006">
        <v>0</v>
      </c>
      <c r="F993" s="3025">
        <f>'Part VIII-Threshold Criteria'!F43</f>
        <v>0</v>
      </c>
      <c r="G993" s="3026">
        <f>'Part VIII-Threshold Criteria'!G43</f>
        <v>113481</v>
      </c>
      <c r="H993" s="3009" t="str">
        <f>'Part VIII-Threshold Criteria'!H43</f>
        <v xml:space="preserve">x 0 units = </v>
      </c>
      <c r="I993" s="3027">
        <f>'Part VIII-Threshold Criteria'!I43</f>
        <v>0</v>
      </c>
      <c r="J993" s="521"/>
      <c r="K993" s="3025">
        <f>'Part VIII-Threshold Criteria'!K43</f>
        <v>0</v>
      </c>
      <c r="L993" s="3026">
        <f>'Part VIII-Threshold Criteria'!L43</f>
        <v>124829</v>
      </c>
      <c r="M993" s="3009" t="str">
        <f>'Part VIII-Threshold Criteria'!M43</f>
        <v xml:space="preserve">x 0 units = </v>
      </c>
      <c r="N993" s="3027">
        <f>'Part VIII-Threshold Criteria'!N43</f>
        <v>0</v>
      </c>
      <c r="O993" s="3014"/>
      <c r="P993" s="3028" t="s">
        <v>3816</v>
      </c>
      <c r="Q993" s="3028"/>
    </row>
    <row r="994" spans="1:17">
      <c r="A994" s="3023"/>
      <c r="B994" s="3023"/>
      <c r="C994" s="3023"/>
      <c r="D994" s="3024" t="s">
        <v>2561</v>
      </c>
      <c r="E994" s="3006">
        <v>1</v>
      </c>
      <c r="F994" s="3025">
        <f>'Part VIII-Threshold Criteria'!F44</f>
        <v>0</v>
      </c>
      <c r="G994" s="3026">
        <f>'Part VIII-Threshold Criteria'!G44</f>
        <v>149453</v>
      </c>
      <c r="H994" s="3009" t="str">
        <f>'Part VIII-Threshold Criteria'!H44</f>
        <v xml:space="preserve">x 0 units = </v>
      </c>
      <c r="I994" s="3027">
        <f>'Part VIII-Threshold Criteria'!I44</f>
        <v>0</v>
      </c>
      <c r="J994" s="521"/>
      <c r="K994" s="3025">
        <f>'Part VIII-Threshold Criteria'!K44</f>
        <v>0</v>
      </c>
      <c r="L994" s="3026">
        <f>'Part VIII-Threshold Criteria'!L44</f>
        <v>164398</v>
      </c>
      <c r="M994" s="3009" t="str">
        <f>'Part VIII-Threshold Criteria'!M44</f>
        <v xml:space="preserve">x 0 units = </v>
      </c>
      <c r="N994" s="3027">
        <f>'Part VIII-Threshold Criteria'!N44</f>
        <v>0</v>
      </c>
      <c r="O994" s="3014"/>
      <c r="P994" s="3028"/>
      <c r="Q994" s="3028"/>
    </row>
    <row r="995" spans="1:17">
      <c r="A995" s="3023"/>
      <c r="B995" s="3023"/>
      <c r="C995" s="3023"/>
      <c r="D995" s="3024" t="s">
        <v>2562</v>
      </c>
      <c r="E995" s="3006">
        <v>2</v>
      </c>
      <c r="F995" s="3025">
        <f>'Part VIII-Threshold Criteria'!F45</f>
        <v>0</v>
      </c>
      <c r="G995" s="3026">
        <f>'Part VIII-Threshold Criteria'!G45</f>
        <v>179377</v>
      </c>
      <c r="H995" s="3009" t="str">
        <f>'Part VIII-Threshold Criteria'!H45</f>
        <v xml:space="preserve">x 0 units = </v>
      </c>
      <c r="I995" s="3027">
        <f>'Part VIII-Threshold Criteria'!I45</f>
        <v>0</v>
      </c>
      <c r="J995" s="521"/>
      <c r="K995" s="3025">
        <f>'Part VIII-Threshold Criteria'!K45</f>
        <v>0</v>
      </c>
      <c r="L995" s="3026">
        <f>'Part VIII-Threshold Criteria'!L45</f>
        <v>197314</v>
      </c>
      <c r="M995" s="3009" t="str">
        <f>'Part VIII-Threshold Criteria'!M45</f>
        <v xml:space="preserve">x 0 units = </v>
      </c>
      <c r="N995" s="3027">
        <f>'Part VIII-Threshold Criteria'!N45</f>
        <v>0</v>
      </c>
      <c r="O995" s="3014"/>
      <c r="P995" s="3028"/>
      <c r="Q995" s="3028"/>
    </row>
    <row r="996" spans="1:17">
      <c r="A996" s="3023"/>
      <c r="B996" s="3023"/>
      <c r="C996" s="3023"/>
      <c r="D996" s="3024" t="s">
        <v>2563</v>
      </c>
      <c r="E996" s="3006">
        <v>3</v>
      </c>
      <c r="F996" s="3025">
        <f>'Part VIII-Threshold Criteria'!F46</f>
        <v>0</v>
      </c>
      <c r="G996" s="3026">
        <f>'Part VIII-Threshold Criteria'!G46</f>
        <v>216472</v>
      </c>
      <c r="H996" s="3009" t="str">
        <f>'Part VIII-Threshold Criteria'!H46</f>
        <v xml:space="preserve">x 0 units = </v>
      </c>
      <c r="I996" s="3027">
        <f>'Part VIII-Threshold Criteria'!I46</f>
        <v>0</v>
      </c>
      <c r="J996" s="521"/>
      <c r="K996" s="3025">
        <f>'Part VIII-Threshold Criteria'!K46</f>
        <v>0</v>
      </c>
      <c r="L996" s="3026">
        <f>'Part VIII-Threshold Criteria'!L46</f>
        <v>238119</v>
      </c>
      <c r="M996" s="3009" t="str">
        <f>'Part VIII-Threshold Criteria'!M46</f>
        <v xml:space="preserve">x 0 units = </v>
      </c>
      <c r="N996" s="3027">
        <f>'Part VIII-Threshold Criteria'!N46</f>
        <v>0</v>
      </c>
      <c r="O996" s="3014"/>
      <c r="P996" s="3029" t="str">
        <f>'Part VIII-Threshold Criteria'!P46</f>
        <v>Valdosta</v>
      </c>
      <c r="Q996" s="3029"/>
    </row>
    <row r="997" spans="1:17">
      <c r="C997" s="521"/>
      <c r="D997" s="3024" t="s">
        <v>2564</v>
      </c>
      <c r="E997" s="3006">
        <v>4</v>
      </c>
      <c r="F997" s="3025">
        <f>'Part VIII-Threshold Criteria'!F47</f>
        <v>0</v>
      </c>
      <c r="G997" s="3026">
        <f>'Part VIII-Threshold Criteria'!G47</f>
        <v>255157</v>
      </c>
      <c r="H997" s="3009" t="str">
        <f>'Part VIII-Threshold Criteria'!H47</f>
        <v xml:space="preserve">x 0 units = </v>
      </c>
      <c r="I997" s="3027">
        <f>'Part VIII-Threshold Criteria'!I47</f>
        <v>0</v>
      </c>
      <c r="J997" s="521"/>
      <c r="K997" s="3025">
        <f>'Part VIII-Threshold Criteria'!K47</f>
        <v>0</v>
      </c>
      <c r="L997" s="3026">
        <f>'Part VIII-Threshold Criteria'!L47</f>
        <v>280672</v>
      </c>
      <c r="M997" s="3009" t="str">
        <f>'Part VIII-Threshold Criteria'!M47</f>
        <v xml:space="preserve">x 0 units = </v>
      </c>
      <c r="N997" s="3027">
        <f>'Part VIII-Threshold Criteria'!N47</f>
        <v>0</v>
      </c>
      <c r="O997" s="3014"/>
      <c r="P997" s="3029"/>
      <c r="Q997" s="3029"/>
    </row>
    <row r="998" spans="1:17">
      <c r="C998" s="521"/>
      <c r="D998" s="3030" t="s">
        <v>3825</v>
      </c>
      <c r="E998" s="521"/>
      <c r="F998" s="3031">
        <f>SUM(F993:F997)</f>
        <v>0</v>
      </c>
      <c r="G998" s="3032"/>
      <c r="H998" s="3033"/>
      <c r="I998" s="3034">
        <f>SUM(I993:I997)</f>
        <v>0</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3809</v>
      </c>
      <c r="B1000" s="3023"/>
      <c r="C1000" s="3023"/>
      <c r="D1000" s="3024" t="s">
        <v>592</v>
      </c>
      <c r="E1000" s="3025">
        <f>'Part VI-Revenues &amp; Expenses'!H1056</f>
        <v>0</v>
      </c>
      <c r="F1000" s="3025">
        <f>'Part VIII-Threshold Criteria'!F50</f>
        <v>0</v>
      </c>
      <c r="G1000" s="3026">
        <f>'Part VIII-Threshold Criteria'!G50</f>
        <v>107076</v>
      </c>
      <c r="H1000" s="3009" t="str">
        <f>'Part VIII-Threshold Criteria'!H50</f>
        <v xml:space="preserve">x 0 units = </v>
      </c>
      <c r="I1000" s="3027">
        <f>'Part VIII-Threshold Criteria'!I50</f>
        <v>0</v>
      </c>
      <c r="J1000" s="521"/>
      <c r="K1000" s="3025">
        <f>'Part VIII-Threshold Criteria'!K50</f>
        <v>0</v>
      </c>
      <c r="L1000" s="3026">
        <f>'Part VIII-Threshold Criteria'!L50</f>
        <v>117783</v>
      </c>
      <c r="M1000" s="3009" t="str">
        <f>'Part VIII-Threshold Criteria'!M50</f>
        <v xml:space="preserve">x 0 units = </v>
      </c>
      <c r="N1000" s="3027">
        <f>'Part VIII-Threshold Criteria'!N50</f>
        <v>0</v>
      </c>
      <c r="P1000" s="3037" t="s">
        <v>3827</v>
      </c>
      <c r="Q1000" s="3037"/>
    </row>
    <row r="1001" spans="1:17">
      <c r="A1001" s="3023"/>
      <c r="B1001" s="3023"/>
      <c r="C1001" s="3023"/>
      <c r="D1001" s="3024" t="s">
        <v>2561</v>
      </c>
      <c r="E1001" s="3006">
        <v>1</v>
      </c>
      <c r="F1001" s="3025">
        <f>'Part VIII-Threshold Criteria'!F51</f>
        <v>0</v>
      </c>
      <c r="G1001" s="3026">
        <f>'Part VIII-Threshold Criteria'!G51</f>
        <v>141347</v>
      </c>
      <c r="H1001" s="3009" t="str">
        <f>'Part VIII-Threshold Criteria'!H51</f>
        <v xml:space="preserve">x 0 units = </v>
      </c>
      <c r="I1001" s="3027">
        <f>'Part VIII-Threshold Criteria'!I51</f>
        <v>0</v>
      </c>
      <c r="J1001" s="521"/>
      <c r="K1001" s="3025">
        <f>'Part VIII-Threshold Criteria'!K51</f>
        <v>0</v>
      </c>
      <c r="L1001" s="3026">
        <f>'Part VIII-Threshold Criteria'!L51</f>
        <v>155481</v>
      </c>
      <c r="M1001" s="3009" t="str">
        <f>'Part VIII-Threshold Criteria'!M51</f>
        <v xml:space="preserve">x 0 units = </v>
      </c>
      <c r="N1001" s="3027">
        <f>'Part VIII-Threshold Criteria'!N51</f>
        <v>0</v>
      </c>
      <c r="P1001" s="3038">
        <f>'Part IV-Uses of Funds'!$G$130</f>
        <v>15780131</v>
      </c>
      <c r="Q1001" s="3038"/>
    </row>
    <row r="1002" spans="1:17">
      <c r="A1002" s="3023"/>
      <c r="B1002" s="3023"/>
      <c r="C1002" s="3023"/>
      <c r="D1002" s="3024" t="s">
        <v>2562</v>
      </c>
      <c r="E1002" s="3006">
        <v>2</v>
      </c>
      <c r="F1002" s="3025">
        <f>'Part VIII-Threshold Criteria'!F52</f>
        <v>0</v>
      </c>
      <c r="G1002" s="3026">
        <f>'Part VIII-Threshold Criteria'!G52</f>
        <v>170070</v>
      </c>
      <c r="H1002" s="3009" t="str">
        <f>'Part VIII-Threshold Criteria'!H52</f>
        <v xml:space="preserve">x 0 units = </v>
      </c>
      <c r="I1002" s="3027">
        <f>'Part VIII-Threshold Criteria'!I52</f>
        <v>0</v>
      </c>
      <c r="J1002" s="521"/>
      <c r="K1002" s="3025">
        <f>'Part VIII-Threshold Criteria'!K52</f>
        <v>0</v>
      </c>
      <c r="L1002" s="3026">
        <f>'Part VIII-Threshold Criteria'!L52</f>
        <v>187077</v>
      </c>
      <c r="M1002" s="3009" t="str">
        <f>'Part VIII-Threshold Criteria'!M52</f>
        <v xml:space="preserve">x 0 units = </v>
      </c>
      <c r="N1002" s="3027">
        <f>'Part VIII-Threshold Criteria'!N52</f>
        <v>0</v>
      </c>
      <c r="O1002" s="2945"/>
    </row>
    <row r="1003" spans="1:17">
      <c r="C1003" s="521"/>
      <c r="D1003" s="3024" t="s">
        <v>2563</v>
      </c>
      <c r="E1003" s="3006">
        <v>3</v>
      </c>
      <c r="F1003" s="3025">
        <f>'Part VIII-Threshold Criteria'!F53</f>
        <v>0</v>
      </c>
      <c r="G1003" s="3026">
        <f>'Part VIII-Threshold Criteria'!G53</f>
        <v>206279</v>
      </c>
      <c r="H1003" s="3009" t="str">
        <f>'Part VIII-Threshold Criteria'!H53</f>
        <v xml:space="preserve">x 0 units = </v>
      </c>
      <c r="I1003" s="3027">
        <f>'Part VIII-Threshold Criteria'!I53</f>
        <v>0</v>
      </c>
      <c r="J1003" s="521"/>
      <c r="K1003" s="3025">
        <f>'Part VIII-Threshold Criteria'!K53</f>
        <v>0</v>
      </c>
      <c r="L1003" s="3026">
        <f>'Part VIII-Threshold Criteria'!L53</f>
        <v>226906</v>
      </c>
      <c r="M1003" s="3009" t="str">
        <f>'Part VIII-Threshold Criteria'!M53</f>
        <v xml:space="preserve">x 0 units = </v>
      </c>
      <c r="N1003" s="3027">
        <f>'Part VIII-Threshold Criteria'!N53</f>
        <v>0</v>
      </c>
      <c r="O1003" s="2945"/>
      <c r="P1003" s="3037" t="s">
        <v>4042</v>
      </c>
      <c r="Q1003" s="3037"/>
    </row>
    <row r="1004" spans="1:17">
      <c r="C1004" s="521"/>
      <c r="D1004" s="3024" t="s">
        <v>2564</v>
      </c>
      <c r="E1004" s="3006">
        <v>4</v>
      </c>
      <c r="F1004" s="3025">
        <f>'Part VIII-Threshold Criteria'!F54</f>
        <v>0</v>
      </c>
      <c r="G1004" s="3026">
        <f>'Part VIII-Threshold Criteria'!G54</f>
        <v>245416</v>
      </c>
      <c r="H1004" s="3009" t="str">
        <f>'Part VIII-Threshold Criteria'!H54</f>
        <v xml:space="preserve">x 0 units = </v>
      </c>
      <c r="I1004" s="3027">
        <f>'Part VIII-Threshold Criteria'!I54</f>
        <v>0</v>
      </c>
      <c r="J1004" s="521"/>
      <c r="K1004" s="3025">
        <f>'Part VIII-Threshold Criteria'!K54</f>
        <v>0</v>
      </c>
      <c r="L1004" s="3026">
        <f>'Part VIII-Threshold Criteria'!L54</f>
        <v>269957</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3825</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3810</v>
      </c>
      <c r="C1007" s="521"/>
      <c r="D1007" s="3024" t="s">
        <v>592</v>
      </c>
      <c r="E1007" s="3006">
        <v>0</v>
      </c>
      <c r="F1007" s="3025">
        <f>'Part VIII-Threshold Criteria'!F57</f>
        <v>10</v>
      </c>
      <c r="G1007" s="3026">
        <f>'Part VIII-Threshold Criteria'!G57</f>
        <v>88948</v>
      </c>
      <c r="H1007" s="3009" t="str">
        <f>'Part VIII-Threshold Criteria'!H57</f>
        <v xml:space="preserve">x 10 units = </v>
      </c>
      <c r="I1007" s="3027">
        <f>'Part VIII-Threshold Criteria'!I57</f>
        <v>889480</v>
      </c>
      <c r="J1007" s="521"/>
      <c r="K1007" s="3025">
        <f>'Part VIII-Threshold Criteria'!K57</f>
        <v>0</v>
      </c>
      <c r="L1007" s="3026">
        <f>'Part VIII-Threshold Criteria'!L57</f>
        <v>97842</v>
      </c>
      <c r="M1007" s="3009" t="str">
        <f>'Part VIII-Threshold Criteria'!M57</f>
        <v xml:space="preserve">x 0 units = </v>
      </c>
      <c r="N1007" s="3027">
        <f>'Part VIII-Threshold Criteria'!N57</f>
        <v>0</v>
      </c>
      <c r="O1007" s="2945"/>
      <c r="P1007" s="3039" t="s">
        <v>3071</v>
      </c>
      <c r="Q1007" s="3039"/>
    </row>
    <row r="1008" spans="1:17">
      <c r="C1008" s="521"/>
      <c r="D1008" s="3024" t="s">
        <v>2561</v>
      </c>
      <c r="E1008" s="3006">
        <v>1</v>
      </c>
      <c r="F1008" s="3025">
        <f>'Part VIII-Threshold Criteria'!F58</f>
        <v>14</v>
      </c>
      <c r="G1008" s="3026">
        <f>'Part VIII-Threshold Criteria'!G58</f>
        <v>122823</v>
      </c>
      <c r="H1008" s="3009" t="str">
        <f>'Part VIII-Threshold Criteria'!H58</f>
        <v xml:space="preserve">x 14 units = </v>
      </c>
      <c r="I1008" s="3027">
        <f>'Part VIII-Threshold Criteria'!I58</f>
        <v>1719522</v>
      </c>
      <c r="J1008" s="521"/>
      <c r="K1008" s="3025">
        <f>'Part VIII-Threshold Criteria'!K58</f>
        <v>0</v>
      </c>
      <c r="L1008" s="3026">
        <f>'Part VIII-Threshold Criteria'!L58</f>
        <v>135105</v>
      </c>
      <c r="M1008" s="3009" t="str">
        <f>'Part VIII-Threshold Criteria'!M58</f>
        <v xml:space="preserve">x 0 units = </v>
      </c>
      <c r="N1008" s="3027">
        <f>'Part VIII-Threshold Criteria'!N58</f>
        <v>0</v>
      </c>
      <c r="P1008" s="3039"/>
      <c r="Q1008" s="3039"/>
    </row>
    <row r="1009" spans="1:17">
      <c r="C1009" s="521"/>
      <c r="D1009" s="3024" t="s">
        <v>2562</v>
      </c>
      <c r="E1009" s="3006">
        <v>2</v>
      </c>
      <c r="F1009" s="3025">
        <f>'Part VIII-Threshold Criteria'!F59</f>
        <v>34</v>
      </c>
      <c r="G1009" s="3026">
        <f>'Part VIII-Threshold Criteria'!G59</f>
        <v>155719</v>
      </c>
      <c r="H1009" s="3009" t="str">
        <f>'Part VIII-Threshold Criteria'!H59</f>
        <v xml:space="preserve">x 34 units = </v>
      </c>
      <c r="I1009" s="3027">
        <f>'Part VIII-Threshold Criteria'!I59</f>
        <v>5294446</v>
      </c>
      <c r="J1009" s="521"/>
      <c r="K1009" s="3025">
        <f>'Part VIII-Threshold Criteria'!K59</f>
        <v>0</v>
      </c>
      <c r="L1009" s="3026">
        <f>'Part VIII-Threshold Criteria'!L59</f>
        <v>171290</v>
      </c>
      <c r="M1009" s="3009" t="str">
        <f>'Part VIII-Threshold Criteria'!M59</f>
        <v xml:space="preserve">x 0 units = </v>
      </c>
      <c r="N1009" s="3027">
        <f>'Part VIII-Threshold Criteria'!N59</f>
        <v>0</v>
      </c>
      <c r="P1009" s="3039"/>
      <c r="Q1009" s="3039"/>
    </row>
    <row r="1010" spans="1:17">
      <c r="C1010" s="521"/>
      <c r="D1010" s="3024" t="s">
        <v>2563</v>
      </c>
      <c r="E1010" s="3006">
        <v>3</v>
      </c>
      <c r="F1010" s="3025">
        <f>'Part VIII-Threshold Criteria'!F60</f>
        <v>26</v>
      </c>
      <c r="G1010" s="3026">
        <f>'Part VIII-Threshold Criteria'!G60</f>
        <v>203244</v>
      </c>
      <c r="H1010" s="3009" t="str">
        <f>'Part VIII-Threshold Criteria'!H60</f>
        <v xml:space="preserve">x 26 units = </v>
      </c>
      <c r="I1010" s="3027">
        <f>'Part VIII-Threshold Criteria'!I60</f>
        <v>5284344</v>
      </c>
      <c r="J1010" s="521"/>
      <c r="K1010" s="3025">
        <f>'Part VIII-Threshold Criteria'!K60</f>
        <v>0</v>
      </c>
      <c r="L1010" s="3026">
        <f>'Part VIII-Threshold Criteria'!L60</f>
        <v>223568</v>
      </c>
      <c r="M1010" s="3009" t="str">
        <f>'Part VIII-Threshold Criteria'!M60</f>
        <v xml:space="preserve">x 0 units = </v>
      </c>
      <c r="N1010" s="3027">
        <f>'Part VIII-Threshold Criteria'!N60</f>
        <v>0</v>
      </c>
      <c r="O1010" s="2945"/>
      <c r="P1010" s="3040">
        <f>'Part VIII-Threshold Criteria'!P60</f>
        <v>16227932</v>
      </c>
      <c r="Q1010" s="3040"/>
    </row>
    <row r="1011" spans="1:17">
      <c r="C1011" s="521"/>
      <c r="D1011" s="3024" t="s">
        <v>2564</v>
      </c>
      <c r="E1011" s="3006">
        <v>4</v>
      </c>
      <c r="F1011" s="3025">
        <f>'Part VIII-Threshold Criteria'!F61</f>
        <v>12</v>
      </c>
      <c r="G1011" s="3026">
        <f>'Part VIII-Threshold Criteria'!G61</f>
        <v>253345</v>
      </c>
      <c r="H1011" s="3009" t="str">
        <f>'Part VIII-Threshold Criteria'!H61</f>
        <v xml:space="preserve">x 12 units = </v>
      </c>
      <c r="I1011" s="3027">
        <f>'Part VIII-Threshold Criteria'!I61</f>
        <v>3040140</v>
      </c>
      <c r="J1011" s="521"/>
      <c r="K1011" s="3025">
        <f>'Part VIII-Threshold Criteria'!K61</f>
        <v>0</v>
      </c>
      <c r="L1011" s="3026">
        <f>'Part VIII-Threshold Criteria'!L61</f>
        <v>278679</v>
      </c>
      <c r="M1011" s="3009" t="str">
        <f>'Part VIII-Threshold Criteria'!M61</f>
        <v xml:space="preserve">x 0 units = </v>
      </c>
      <c r="N1011" s="3027">
        <f>'Part VIII-Threshold Criteria'!N61</f>
        <v>0</v>
      </c>
      <c r="O1011" s="2945"/>
      <c r="P1011" s="3040"/>
      <c r="Q1011" s="3040"/>
    </row>
    <row r="1012" spans="1:17">
      <c r="C1012" s="521"/>
      <c r="D1012" s="3030" t="s">
        <v>3825</v>
      </c>
      <c r="E1012" s="521"/>
      <c r="F1012" s="3031">
        <f>SUM(F1007:F1011)</f>
        <v>96</v>
      </c>
      <c r="G1012" s="3032"/>
      <c r="H1012" s="3033"/>
      <c r="I1012" s="3034">
        <f>SUM(I1007:I1011)</f>
        <v>16227932</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3811</v>
      </c>
      <c r="C1014" s="521"/>
      <c r="D1014" s="3024" t="s">
        <v>592</v>
      </c>
      <c r="E1014" s="3006">
        <v>0</v>
      </c>
      <c r="F1014" s="3025">
        <f>'Part VIII-Threshold Criteria'!F64</f>
        <v>0</v>
      </c>
      <c r="G1014" s="3026">
        <f>'Part VIII-Threshold Criteria'!G64</f>
        <v>95592</v>
      </c>
      <c r="H1014" s="3009" t="str">
        <f>'Part VIII-Threshold Criteria'!H64</f>
        <v xml:space="preserve">x 0 units = </v>
      </c>
      <c r="I1014" s="3027">
        <f>'Part VIII-Threshold Criteria'!I64</f>
        <v>0</v>
      </c>
      <c r="J1014" s="521"/>
      <c r="K1014" s="3025">
        <f>'Part VIII-Threshold Criteria'!K64</f>
        <v>0</v>
      </c>
      <c r="L1014" s="3026">
        <f>'Part VIII-Threshold Criteria'!L64</f>
        <v>105151</v>
      </c>
      <c r="M1014" s="3009" t="str">
        <f>'Part VIII-Threshold Criteria'!M64</f>
        <v xml:space="preserve">x 0 units = </v>
      </c>
      <c r="N1014" s="3027">
        <f>'Part VIII-Threshold Criteria'!N64</f>
        <v>0</v>
      </c>
      <c r="O1014" s="2945"/>
      <c r="P1014" s="2872" t="s">
        <v>2917</v>
      </c>
      <c r="Q1014" s="2872"/>
    </row>
    <row r="1015" spans="1:17">
      <c r="C1015" s="521"/>
      <c r="D1015" s="3024" t="s">
        <v>2561</v>
      </c>
      <c r="E1015" s="3006">
        <v>1</v>
      </c>
      <c r="F1015" s="3025">
        <f>'Part VIII-Threshold Criteria'!F65</f>
        <v>0</v>
      </c>
      <c r="G1015" s="3026">
        <f>'Part VIII-Threshold Criteria'!G65</f>
        <v>133829</v>
      </c>
      <c r="H1015" s="3009" t="str">
        <f>'Part VIII-Threshold Criteria'!H65</f>
        <v xml:space="preserve">x 0 units = </v>
      </c>
      <c r="I1015" s="3027">
        <f>'Part VIII-Threshold Criteria'!I65</f>
        <v>0</v>
      </c>
      <c r="J1015" s="521"/>
      <c r="K1015" s="3025">
        <f>'Part VIII-Threshold Criteria'!K65</f>
        <v>0</v>
      </c>
      <c r="L1015" s="3026">
        <f>'Part VIII-Threshold Criteria'!L65</f>
        <v>147211</v>
      </c>
      <c r="M1015" s="3009" t="str">
        <f>'Part VIII-Threshold Criteria'!M65</f>
        <v xml:space="preserve">x 0 units = </v>
      </c>
      <c r="N1015" s="3027">
        <f>'Part VIII-Threshold Criteria'!N65</f>
        <v>0</v>
      </c>
      <c r="O1015" s="2945"/>
      <c r="P1015" s="2872"/>
      <c r="Q1015" s="2872"/>
    </row>
    <row r="1016" spans="1:17">
      <c r="C1016" s="521"/>
      <c r="D1016" s="3024" t="s">
        <v>2562</v>
      </c>
      <c r="E1016" s="3006">
        <v>2</v>
      </c>
      <c r="F1016" s="3025">
        <f>'Part VIII-Threshold Criteria'!F66</f>
        <v>0</v>
      </c>
      <c r="G1016" s="3026">
        <f>'Part VIII-Threshold Criteria'!G66</f>
        <v>172066</v>
      </c>
      <c r="H1016" s="3009" t="str">
        <f>'Part VIII-Threshold Criteria'!H66</f>
        <v xml:space="preserve">x 0 units = </v>
      </c>
      <c r="I1016" s="3027">
        <f>'Part VIII-Threshold Criteria'!I66</f>
        <v>0</v>
      </c>
      <c r="J1016" s="521"/>
      <c r="K1016" s="3025">
        <f>'Part VIII-Threshold Criteria'!K66</f>
        <v>0</v>
      </c>
      <c r="L1016" s="3026">
        <f>'Part VIII-Threshold Criteria'!L66</f>
        <v>189272</v>
      </c>
      <c r="M1016" s="3009" t="str">
        <f>'Part VIII-Threshold Criteria'!M66</f>
        <v xml:space="preserve">x 0 units = </v>
      </c>
      <c r="N1016" s="3027">
        <f>'Part VIII-Threshold Criteria'!N66</f>
        <v>0</v>
      </c>
      <c r="P1016" s="2872"/>
      <c r="Q1016" s="2872"/>
    </row>
    <row r="1017" spans="1:17">
      <c r="C1017" s="521"/>
      <c r="D1017" s="3024" t="s">
        <v>2563</v>
      </c>
      <c r="E1017" s="3006">
        <v>3</v>
      </c>
      <c r="F1017" s="3025">
        <f>'Part VIII-Threshold Criteria'!F67</f>
        <v>0</v>
      </c>
      <c r="G1017" s="3026">
        <f>'Part VIII-Threshold Criteria'!G67</f>
        <v>229421</v>
      </c>
      <c r="H1017" s="3009" t="str">
        <f>'Part VIII-Threshold Criteria'!H67</f>
        <v xml:space="preserve">x 0 units = </v>
      </c>
      <c r="I1017" s="3027">
        <f>'Part VIII-Threshold Criteria'!I67</f>
        <v>0</v>
      </c>
      <c r="J1017" s="521"/>
      <c r="K1017" s="3025">
        <f>'Part VIII-Threshold Criteria'!K67</f>
        <v>0</v>
      </c>
      <c r="L1017" s="3026">
        <f>'Part VIII-Threshold Criteria'!L67</f>
        <v>252363</v>
      </c>
      <c r="M1017" s="3009" t="str">
        <f>'Part VIII-Threshold Criteria'!M67</f>
        <v xml:space="preserve">x 0 units = </v>
      </c>
      <c r="N1017" s="3027">
        <f>'Part VIII-Threshold Criteria'!N67</f>
        <v>0</v>
      </c>
      <c r="P1017" s="2872"/>
      <c r="Q1017" s="2872"/>
    </row>
    <row r="1018" spans="1:17">
      <c r="C1018" s="521"/>
      <c r="D1018" s="3024" t="s">
        <v>2564</v>
      </c>
      <c r="E1018" s="3006">
        <v>4</v>
      </c>
      <c r="F1018" s="3025">
        <f>'Part VIII-Threshold Criteria'!F68</f>
        <v>0</v>
      </c>
      <c r="G1018" s="3026">
        <f>'Part VIII-Threshold Criteria'!G68</f>
        <v>286776</v>
      </c>
      <c r="H1018" s="3009" t="str">
        <f>'Part VIII-Threshold Criteria'!H68</f>
        <v xml:space="preserve">x 0 units = </v>
      </c>
      <c r="I1018" s="3027">
        <f>'Part VIII-Threshold Criteria'!I68</f>
        <v>0</v>
      </c>
      <c r="J1018" s="521"/>
      <c r="K1018" s="3025">
        <f>'Part VIII-Threshold Criteria'!K68</f>
        <v>0</v>
      </c>
      <c r="L1018" s="3026">
        <f>'Part VIII-Threshold Criteria'!L68</f>
        <v>315453</v>
      </c>
      <c r="M1018" s="3009" t="str">
        <f>'Part VIII-Threshold Criteria'!M68</f>
        <v xml:space="preserve">x 0 units = </v>
      </c>
      <c r="N1018" s="3027">
        <f>'Part VIII-Threshold Criteria'!N68</f>
        <v>0</v>
      </c>
      <c r="O1018" s="2945"/>
      <c r="P1018" s="2872"/>
      <c r="Q1018" s="2872"/>
    </row>
    <row r="1019" spans="1:17">
      <c r="C1019" s="521"/>
      <c r="D1019" s="3030" t="s">
        <v>3825</v>
      </c>
      <c r="E1019" s="521"/>
      <c r="F1019" s="3031">
        <f>SUM(F1014:F1018)</f>
        <v>0</v>
      </c>
      <c r="G1019" s="3032"/>
      <c r="H1019" s="3033"/>
      <c r="I1019" s="3034">
        <f>SUM(I1014:I1018)</f>
        <v>0</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3826</v>
      </c>
      <c r="B1021" s="521"/>
      <c r="C1021" s="521"/>
      <c r="D1021" s="521"/>
      <c r="E1021" s="525"/>
      <c r="F1021" s="3043">
        <f>F998+F1005+F1012+F1019</f>
        <v>96</v>
      </c>
      <c r="G1021" s="2762"/>
      <c r="H1021" s="3044"/>
      <c r="I1021" s="3043">
        <f>I998+I1005+I1012+I1019</f>
        <v>16227932</v>
      </c>
      <c r="J1021" s="3044"/>
      <c r="K1021" s="3043">
        <f>K998+K1005+K1012+K1019</f>
        <v>0</v>
      </c>
      <c r="L1021" s="3044"/>
      <c r="M1021" s="3044"/>
      <c r="N1021" s="3043">
        <f>N998+N1005+N1012+N1019</f>
        <v>0</v>
      </c>
      <c r="O1021" s="2945"/>
    </row>
    <row r="1022" spans="1:17">
      <c r="B1022" s="3045" t="s">
        <v>1959</v>
      </c>
      <c r="D1022" s="3045"/>
      <c r="E1022" s="3045"/>
      <c r="F1022" s="3045"/>
      <c r="G1022" s="3045"/>
      <c r="H1022" s="3009"/>
      <c r="I1022" s="3006"/>
      <c r="J1022" s="3006"/>
      <c r="K1022" s="3012" t="s">
        <v>1960</v>
      </c>
      <c r="L1022" s="2905"/>
      <c r="M1022" s="2905"/>
      <c r="N1022" s="2905"/>
      <c r="O1022" s="2905"/>
      <c r="P1022" s="2905"/>
      <c r="Q1022" s="2905"/>
    </row>
    <row r="1023" spans="1:17">
      <c r="A1023" s="2947" t="str">
        <f>'Part VIII-Threshold Criteria'!A73</f>
        <v>Total development costs are within DCA's per-unit cost limits</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1247</v>
      </c>
      <c r="C1025" s="524"/>
      <c r="D1025" s="524"/>
      <c r="E1025" s="3014"/>
      <c r="F1025" s="3014"/>
      <c r="G1025" s="3046" t="s">
        <v>101</v>
      </c>
      <c r="H1025" s="3014"/>
      <c r="K1025" s="3017" t="str">
        <f>'Part I-Project Information'!$H$67</f>
        <v>Family</v>
      </c>
      <c r="L1025" s="3017"/>
      <c r="M1025" s="3017"/>
      <c r="O1025" s="3007" t="s">
        <v>1961</v>
      </c>
      <c r="P1025" s="2911">
        <f>'Part VIII-Threshold Criteria'!P75</f>
        <v>0</v>
      </c>
      <c r="Q1025" s="2911"/>
    </row>
    <row r="1026" spans="1:17">
      <c r="B1026" s="3045" t="s">
        <v>1959</v>
      </c>
      <c r="D1026" s="3045"/>
      <c r="E1026" s="3045"/>
      <c r="F1026" s="3045"/>
      <c r="G1026" s="3045"/>
      <c r="H1026" s="3009"/>
      <c r="I1026" s="3006"/>
      <c r="J1026" s="3006"/>
      <c r="K1026" s="3012" t="s">
        <v>1960</v>
      </c>
      <c r="L1026" s="2905"/>
      <c r="M1026" s="2905"/>
      <c r="N1026" s="2905"/>
      <c r="O1026" s="2905"/>
      <c r="P1026" s="2905"/>
      <c r="Q1026" s="2905"/>
    </row>
    <row r="1027" spans="1:17">
      <c r="A1027" s="2947" t="str">
        <f>'Part VIII-Threshold Criteria'!A77</f>
        <v>This is a family property</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2790</v>
      </c>
      <c r="C1029" s="3042"/>
      <c r="D1029" s="3014"/>
      <c r="E1029" s="3014"/>
      <c r="F1029" s="3014"/>
      <c r="G1029" s="3014"/>
      <c r="H1029" s="3014"/>
      <c r="I1029" s="3014"/>
      <c r="J1029" s="3014"/>
      <c r="K1029" s="3014"/>
      <c r="L1029" s="3014"/>
      <c r="M1029" s="3014"/>
      <c r="O1029" s="3007" t="s">
        <v>1961</v>
      </c>
      <c r="P1029" s="2911">
        <f>'Part VIII-Threshold Criteria'!P79</f>
        <v>0</v>
      </c>
      <c r="Q1029" s="2911"/>
    </row>
    <row r="1031" spans="1:17">
      <c r="B1031" s="3047" t="s">
        <v>2081</v>
      </c>
      <c r="C1031" s="2947" t="s">
        <v>4586</v>
      </c>
      <c r="D1031" s="2947"/>
      <c r="E1031" s="2947"/>
      <c r="F1031" s="2947"/>
      <c r="G1031" s="2947"/>
      <c r="H1031" s="2947"/>
      <c r="I1031" s="2947"/>
      <c r="J1031" s="2947"/>
      <c r="K1031" s="2947"/>
      <c r="L1031" s="2947"/>
      <c r="M1031" s="2947"/>
      <c r="O1031" s="3048"/>
      <c r="P1031" s="3010" t="str">
        <f>'Part VIII-Threshold Criteria'!P81</f>
        <v>Agree</v>
      </c>
    </row>
    <row r="1032" spans="1:17">
      <c r="B1032" s="3042" t="s">
        <v>2084</v>
      </c>
      <c r="C1032" s="3009" t="s">
        <v>2894</v>
      </c>
      <c r="D1032" s="3009"/>
      <c r="E1032" s="3009"/>
      <c r="F1032" s="3009"/>
      <c r="G1032" s="3009"/>
      <c r="H1032" s="3009"/>
      <c r="I1032" s="3009"/>
      <c r="J1032" s="3009"/>
      <c r="K1032" s="3009"/>
      <c r="L1032" s="3009"/>
      <c r="M1032" s="3009"/>
      <c r="O1032" s="3009"/>
      <c r="P1032" s="3009"/>
      <c r="Q1032" s="3009"/>
    </row>
    <row r="1033" spans="1:17">
      <c r="A1033" s="3049"/>
      <c r="B1033" s="2981" t="s">
        <v>1825</v>
      </c>
      <c r="C1033" s="3009" t="s">
        <v>4226</v>
      </c>
      <c r="E1033" s="2936"/>
      <c r="F1033" s="2936"/>
      <c r="G1033" s="2936"/>
      <c r="H1033" s="521"/>
      <c r="I1033" s="522" t="s">
        <v>2875</v>
      </c>
      <c r="J1033" s="3050" t="str">
        <f>'Part VIII-Threshold Criteria'!J83</f>
        <v>Semi-monthly birthday parties, holiday dinners, movie nights</v>
      </c>
      <c r="K1033" s="3050"/>
      <c r="L1033" s="3050"/>
      <c r="M1033" s="3050"/>
      <c r="N1033" s="3050"/>
      <c r="O1033" s="3050"/>
      <c r="P1033" s="3050"/>
      <c r="Q1033" s="3050"/>
    </row>
    <row r="1034" spans="1:17">
      <c r="A1034" s="3049"/>
      <c r="B1034" s="2981" t="s">
        <v>1826</v>
      </c>
      <c r="C1034" s="3009" t="s">
        <v>1899</v>
      </c>
      <c r="E1034" s="2936"/>
      <c r="F1034" s="2936"/>
      <c r="G1034" s="2936"/>
      <c r="H1034" s="521"/>
      <c r="I1034" s="522" t="s">
        <v>2875</v>
      </c>
      <c r="J1034" s="3050">
        <f>'Part VIII-Threshold Criteria'!J84</f>
        <v>0</v>
      </c>
      <c r="K1034" s="3050"/>
      <c r="L1034" s="3050"/>
      <c r="M1034" s="3050"/>
      <c r="N1034" s="3050"/>
      <c r="O1034" s="3050"/>
      <c r="P1034" s="3050"/>
      <c r="Q1034" s="3050"/>
    </row>
    <row r="1035" spans="1:17">
      <c r="A1035" s="3049"/>
      <c r="B1035" s="2981" t="s">
        <v>1827</v>
      </c>
      <c r="C1035" s="3009" t="s">
        <v>3829</v>
      </c>
      <c r="E1035" s="2936"/>
      <c r="F1035" s="2936"/>
      <c r="G1035" s="2936"/>
      <c r="H1035" s="521"/>
      <c r="I1035" s="522" t="s">
        <v>2875</v>
      </c>
      <c r="J1035" s="3050">
        <f>'Part VIII-Threshold Criteria'!J85</f>
        <v>0</v>
      </c>
      <c r="K1035" s="3050"/>
      <c r="L1035" s="3050"/>
      <c r="M1035" s="3050"/>
      <c r="N1035" s="3050"/>
      <c r="O1035" s="3050"/>
      <c r="P1035" s="3050"/>
      <c r="Q1035" s="3050"/>
    </row>
    <row r="1036" spans="1:17">
      <c r="A1036" s="3049"/>
      <c r="B1036" s="2981" t="s">
        <v>2477</v>
      </c>
      <c r="C1036" s="3009" t="s">
        <v>3830</v>
      </c>
      <c r="E1036" s="2936"/>
      <c r="I1036" s="522" t="s">
        <v>2875</v>
      </c>
      <c r="J1036" s="3050">
        <f>'Part VIII-Threshold Criteria'!J86</f>
        <v>0</v>
      </c>
      <c r="K1036" s="3050"/>
      <c r="L1036" s="3050"/>
      <c r="M1036" s="3050"/>
      <c r="N1036" s="3050"/>
      <c r="O1036" s="3050"/>
      <c r="P1036" s="3050"/>
      <c r="Q1036" s="3050"/>
    </row>
    <row r="1037" spans="1:17">
      <c r="A1037" s="3049"/>
      <c r="B1037" s="3042" t="s">
        <v>789</v>
      </c>
      <c r="C1037" s="3009" t="s">
        <v>4171</v>
      </c>
      <c r="D1037" s="3009"/>
      <c r="E1037" s="2936"/>
      <c r="J1037" s="522"/>
      <c r="K1037" s="522"/>
      <c r="L1037" s="522"/>
      <c r="M1037" s="522"/>
      <c r="N1037" s="522"/>
      <c r="O1037" s="522"/>
      <c r="P1037" s="522"/>
      <c r="Q1037" s="522"/>
    </row>
    <row r="1038" spans="1:17">
      <c r="A1038" s="3049"/>
      <c r="B1038" s="3011"/>
      <c r="C1038" s="505" t="s">
        <v>4227</v>
      </c>
      <c r="D1038" s="2939"/>
      <c r="E1038" s="2939"/>
      <c r="F1038" s="2939"/>
      <c r="G1038" s="2939"/>
      <c r="H1038" s="2939"/>
      <c r="I1038" s="521"/>
      <c r="J1038" s="521"/>
      <c r="K1038" s="2981" t="s">
        <v>789</v>
      </c>
      <c r="L1038" s="3051">
        <f>'Part VIII-Threshold Criteria'!L88</f>
        <v>0</v>
      </c>
      <c r="M1038" s="3051"/>
      <c r="N1038" s="3051"/>
      <c r="O1038" s="3051"/>
      <c r="P1038" s="3051"/>
      <c r="Q1038" s="3010">
        <f>'Part VIII-Threshold Criteria'!Q88</f>
        <v>0</v>
      </c>
    </row>
    <row r="1039" spans="1:17">
      <c r="B1039" s="3045" t="s">
        <v>1959</v>
      </c>
      <c r="D1039" s="3045"/>
      <c r="E1039" s="3045"/>
      <c r="F1039" s="3045"/>
      <c r="G1039" s="3045"/>
      <c r="H1039" s="3009"/>
      <c r="I1039" s="3006"/>
      <c r="J1039" s="3006"/>
      <c r="K1039" s="3012" t="s">
        <v>1960</v>
      </c>
      <c r="L1039" s="2905"/>
      <c r="M1039" s="2905"/>
      <c r="N1039" s="2905"/>
      <c r="O1039" s="2905"/>
      <c r="P1039" s="2905"/>
      <c r="Q1039" s="2905"/>
    </row>
    <row r="1040" spans="1:17">
      <c r="A1040" s="2947">
        <f>'Part VIII-Threshold Criteria'!A90</f>
        <v>0</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2791</v>
      </c>
      <c r="C1042" s="2884"/>
      <c r="D1042" s="3014"/>
      <c r="E1042" s="3014"/>
      <c r="F1042" s="3014"/>
      <c r="G1042" s="3014"/>
      <c r="H1042" s="3014"/>
      <c r="I1042" s="3014"/>
      <c r="J1042" s="3014"/>
      <c r="K1042" s="3014"/>
      <c r="O1042" s="3007" t="s">
        <v>1961</v>
      </c>
      <c r="P1042" s="2911">
        <f>'Part VIII-Threshold Criteria'!P92</f>
        <v>0</v>
      </c>
      <c r="Q1042" s="2911"/>
    </row>
    <row r="1044" spans="1:17">
      <c r="B1044" s="3011" t="s">
        <v>2081</v>
      </c>
      <c r="C1044" s="505" t="s">
        <v>2581</v>
      </c>
      <c r="D1044" s="2939"/>
      <c r="E1044" s="2939"/>
      <c r="F1044" s="2939"/>
      <c r="G1044" s="2939"/>
      <c r="H1044" s="2939"/>
      <c r="I1044" s="521"/>
      <c r="J1044" s="521"/>
      <c r="K1044" s="521"/>
      <c r="L1044" s="2981" t="s">
        <v>2081</v>
      </c>
      <c r="M1044" s="3051" t="str">
        <f>'Part VIII-Threshold Criteria'!M94</f>
        <v>Novogradac &amp; Company</v>
      </c>
      <c r="N1044" s="3051"/>
      <c r="O1044" s="3051"/>
      <c r="P1044" s="3052"/>
      <c r="Q1044" s="3010">
        <f>'Part VIII-Threshold Criteria'!Q94</f>
        <v>0</v>
      </c>
    </row>
    <row r="1045" spans="1:17">
      <c r="B1045" s="3011" t="s">
        <v>2084</v>
      </c>
      <c r="C1045" s="522" t="s">
        <v>2136</v>
      </c>
      <c r="D1045" s="2939"/>
      <c r="E1045" s="2939"/>
      <c r="F1045" s="2939"/>
      <c r="L1045" s="2981" t="s">
        <v>2084</v>
      </c>
      <c r="M1045" s="3051" t="str">
        <f>'Part VIII-Threshold Criteria'!M95</f>
        <v>Project is occupied, but 9 months if starting vacant</v>
      </c>
      <c r="N1045" s="3051"/>
      <c r="O1045" s="3051"/>
      <c r="P1045" s="3052"/>
      <c r="Q1045" s="3010">
        <f>'Part VIII-Threshold Criteria'!Q95</f>
        <v>0</v>
      </c>
    </row>
    <row r="1046" spans="1:17">
      <c r="B1046" s="3011" t="s">
        <v>789</v>
      </c>
      <c r="C1046" s="522" t="s">
        <v>3263</v>
      </c>
      <c r="D1046" s="2939"/>
      <c r="E1046" s="2939"/>
      <c r="F1046" s="2939"/>
      <c r="L1046" s="2981" t="s">
        <v>789</v>
      </c>
      <c r="M1046" s="3053" t="str">
        <f>'Part VIII-Threshold Criteria'!M96</f>
        <v>90.3% overall; 91.0% among LIHTC properties</v>
      </c>
      <c r="N1046" s="3053"/>
      <c r="O1046" s="3053"/>
      <c r="P1046" s="3054"/>
      <c r="Q1046" s="3010">
        <f>'Part VIII-Threshold Criteria'!Q96</f>
        <v>0</v>
      </c>
    </row>
    <row r="1047" spans="1:17">
      <c r="B1047" s="3011" t="s">
        <v>2216</v>
      </c>
      <c r="C1047" s="522" t="s">
        <v>2582</v>
      </c>
      <c r="D1047" s="2939"/>
      <c r="E1047" s="2939"/>
      <c r="F1047" s="2939"/>
      <c r="L1047" s="2981" t="s">
        <v>2216</v>
      </c>
      <c r="M1047" s="3053" t="str">
        <f>'Part VIII-Threshold Criteria'!M97</f>
        <v>6.2% for 50% AMI; 1.6% for 60% AMI</v>
      </c>
      <c r="N1047" s="3053"/>
      <c r="O1047" s="3053"/>
      <c r="P1047" s="3054"/>
      <c r="Q1047" s="3010">
        <f>'Part VIII-Threshold Criteria'!Q97</f>
        <v>0</v>
      </c>
    </row>
    <row r="1048" spans="1:17">
      <c r="B1048" s="3008" t="s">
        <v>1823</v>
      </c>
      <c r="C1048" s="2947" t="s">
        <v>4076</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2492</v>
      </c>
      <c r="E1049" s="3009" t="s">
        <v>648</v>
      </c>
      <c r="F1049" s="3009"/>
      <c r="H1049" s="522"/>
      <c r="I1049" s="3006" t="s">
        <v>2492</v>
      </c>
      <c r="J1049" s="3009" t="s">
        <v>648</v>
      </c>
      <c r="K1049" s="3009"/>
      <c r="M1049" s="522"/>
      <c r="N1049" s="3006" t="s">
        <v>2492</v>
      </c>
      <c r="O1049" s="3009" t="s">
        <v>648</v>
      </c>
      <c r="P1049" s="3009"/>
      <c r="Q1049" s="2981"/>
    </row>
    <row r="1050" spans="1:17">
      <c r="B1050" s="3011"/>
      <c r="C1050" s="522">
        <v>1</v>
      </c>
      <c r="D1050" s="3010" t="str">
        <f>'Part VIII-Threshold Criteria'!D100</f>
        <v>2013-008</v>
      </c>
      <c r="E1050" s="3051" t="str">
        <f>'Part VIII-Threshold Criteria'!E100</f>
        <v>Reserve at Hampton</v>
      </c>
      <c r="F1050" s="3051"/>
      <c r="G1050" s="3051"/>
      <c r="H1050" s="522">
        <v>3</v>
      </c>
      <c r="I1050" s="3010">
        <f>'Part VIII-Threshold Criteria'!I100</f>
        <v>0</v>
      </c>
      <c r="J1050" s="3051">
        <f>'Part VIII-Threshold Criteria'!J100</f>
        <v>0</v>
      </c>
      <c r="K1050" s="3051"/>
      <c r="L1050" s="3051"/>
      <c r="M1050" s="522">
        <v>5</v>
      </c>
      <c r="N1050" s="3010">
        <f>'Part VIII-Threshold Criteria'!N100</f>
        <v>0</v>
      </c>
      <c r="O1050" s="3051">
        <f>'Part VIII-Threshold Criteria'!O100</f>
        <v>0</v>
      </c>
      <c r="P1050" s="3051"/>
      <c r="Q1050" s="3051"/>
    </row>
    <row r="1051" spans="1:17">
      <c r="B1051" s="3011"/>
      <c r="C1051" s="522">
        <v>2</v>
      </c>
      <c r="D1051" s="3010">
        <f>'Part VIII-Threshold Criteria'!D101</f>
        <v>0</v>
      </c>
      <c r="E1051" s="3051">
        <f>'Part VIII-Threshold Criteria'!E101</f>
        <v>0</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1824</v>
      </c>
      <c r="C1052" s="522" t="s">
        <v>0</v>
      </c>
      <c r="D1052" s="2939"/>
      <c r="E1052" s="2939"/>
      <c r="F1052" s="2939"/>
      <c r="G1052" s="2939"/>
      <c r="H1052" s="2939"/>
      <c r="I1052" s="521"/>
      <c r="J1052" s="521"/>
      <c r="K1052" s="2939"/>
      <c r="L1052" s="2936"/>
      <c r="M1052" s="2936"/>
      <c r="O1052" s="2981" t="s">
        <v>1824</v>
      </c>
      <c r="P1052" s="3010" t="str">
        <f>'Part VIII-Threshold Criteria'!P102</f>
        <v>Yes</v>
      </c>
      <c r="Q1052" s="3010">
        <f>'Part VIII-Threshold Criteria'!Q102</f>
        <v>0</v>
      </c>
    </row>
    <row r="1053" spans="1:17">
      <c r="B1053" s="3045" t="s">
        <v>1959</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Market study is very positive on the proposed rehabilitation of this existing, occupied, 100% HAP property.</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1960</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2792</v>
      </c>
      <c r="C1057" s="2884"/>
      <c r="D1057" s="3014"/>
      <c r="E1057" s="3014"/>
      <c r="F1057" s="3014"/>
      <c r="G1057" s="3014"/>
      <c r="H1057" s="3014"/>
      <c r="I1057" s="3014"/>
      <c r="J1057" s="3014"/>
      <c r="K1057" s="3014"/>
      <c r="L1057" s="3014"/>
      <c r="M1057" s="3014"/>
      <c r="O1057" s="3007" t="s">
        <v>1961</v>
      </c>
      <c r="P1057" s="2911">
        <f>'Part VIII-Threshold Criteria'!P107</f>
        <v>0</v>
      </c>
      <c r="Q1057" s="2911"/>
    </row>
    <row r="1059" spans="1:17">
      <c r="B1059" s="3011" t="s">
        <v>2081</v>
      </c>
      <c r="C1059" s="522" t="s">
        <v>516</v>
      </c>
      <c r="D1059" s="522"/>
      <c r="E1059" s="522"/>
      <c r="F1059" s="522"/>
      <c r="G1059" s="522"/>
      <c r="H1059" s="522"/>
      <c r="I1059" s="522"/>
      <c r="J1059" s="522"/>
      <c r="K1059" s="522"/>
      <c r="L1059" s="522"/>
      <c r="M1059" s="522"/>
      <c r="O1059" s="2981" t="s">
        <v>2081</v>
      </c>
      <c r="P1059" s="3010" t="str">
        <f>'Part VIII-Threshold Criteria'!P109</f>
        <v>Yes</v>
      </c>
      <c r="Q1059" s="3010">
        <f>'Part VIII-Threshold Criteria'!Q109</f>
        <v>0</v>
      </c>
    </row>
    <row r="1060" spans="1:17">
      <c r="B1060" s="3011" t="s">
        <v>2084</v>
      </c>
      <c r="C1060" s="522" t="s">
        <v>1369</v>
      </c>
      <c r="D1060" s="522"/>
      <c r="E1060" s="522"/>
      <c r="F1060" s="522"/>
      <c r="G1060" s="522"/>
      <c r="H1060" s="522"/>
      <c r="I1060" s="522"/>
      <c r="J1060" s="522"/>
      <c r="K1060" s="522"/>
      <c r="L1060" s="3009"/>
      <c r="M1060" s="3009"/>
      <c r="O1060" s="2981" t="s">
        <v>2084</v>
      </c>
      <c r="P1060" s="3010" t="str">
        <f>'Part VIII-Threshold Criteria'!P110</f>
        <v>Yes</v>
      </c>
      <c r="Q1060" s="3010">
        <f>'Part VIII-Threshold Criteria'!Q110</f>
        <v>0</v>
      </c>
    </row>
    <row r="1061" spans="1:17">
      <c r="A1061" s="3055"/>
      <c r="B1061" s="522"/>
      <c r="D1061" s="522" t="s">
        <v>578</v>
      </c>
      <c r="E1061" s="521"/>
      <c r="F1061" s="521"/>
      <c r="G1061" s="521"/>
      <c r="H1061" s="521"/>
      <c r="I1061" s="521"/>
      <c r="L1061" s="2981" t="s">
        <v>579</v>
      </c>
      <c r="M1061" s="3051" t="str">
        <f>'Part VIII-Threshold Criteria'!M111</f>
        <v>Novogradac &amp; Company</v>
      </c>
      <c r="N1061" s="3051"/>
      <c r="O1061" s="3051"/>
      <c r="P1061" s="3052"/>
      <c r="Q1061" s="3010">
        <f>'Part VIII-Threshold Criteria'!Q111</f>
        <v>0</v>
      </c>
    </row>
    <row r="1062" spans="1:17">
      <c r="A1062" s="3049"/>
      <c r="B1062" s="3006"/>
      <c r="C1062" s="3056" t="s">
        <v>1825</v>
      </c>
      <c r="D1062" s="2935" t="s">
        <v>4172</v>
      </c>
      <c r="E1062" s="3057"/>
      <c r="F1062" s="3057"/>
      <c r="G1062" s="3057"/>
      <c r="H1062" s="3057"/>
      <c r="I1062" s="3057"/>
      <c r="J1062" s="3057"/>
      <c r="K1062" s="3057"/>
      <c r="L1062" s="3057"/>
      <c r="M1062" s="3057"/>
      <c r="N1062" s="3057"/>
      <c r="O1062" s="3056" t="s">
        <v>1825</v>
      </c>
      <c r="P1062" s="3010" t="str">
        <f>'Part VIII-Threshold Criteria'!P112</f>
        <v>Yes</v>
      </c>
      <c r="Q1062" s="3010">
        <f>'Part VIII-Threshold Criteria'!Q112</f>
        <v>0</v>
      </c>
    </row>
    <row r="1063" spans="1:17">
      <c r="A1063" s="3049"/>
      <c r="B1063" s="3006"/>
      <c r="C1063" s="2981" t="s">
        <v>1826</v>
      </c>
      <c r="D1063" s="2935" t="s">
        <v>4173</v>
      </c>
      <c r="E1063" s="3057"/>
      <c r="F1063" s="3057"/>
      <c r="G1063" s="3057"/>
      <c r="H1063" s="3057"/>
      <c r="I1063" s="3057"/>
      <c r="J1063" s="3057"/>
      <c r="K1063" s="3057"/>
      <c r="L1063" s="3057"/>
      <c r="M1063" s="3057"/>
      <c r="N1063" s="3057"/>
      <c r="O1063" s="2981" t="s">
        <v>1826</v>
      </c>
      <c r="P1063" s="3010" t="str">
        <f>'Part VIII-Threshold Criteria'!P113</f>
        <v>Yes</v>
      </c>
      <c r="Q1063" s="3010">
        <f>'Part VIII-Threshold Criteria'!Q113</f>
        <v>0</v>
      </c>
    </row>
    <row r="1064" spans="1:17">
      <c r="A1064" s="3049"/>
      <c r="B1064" s="3006"/>
      <c r="C1064" s="3056" t="s">
        <v>1827</v>
      </c>
      <c r="D1064" s="522" t="s">
        <v>3264</v>
      </c>
      <c r="E1064" s="522"/>
      <c r="F1064" s="522"/>
      <c r="G1064" s="522"/>
      <c r="H1064" s="522"/>
      <c r="I1064" s="522"/>
      <c r="J1064" s="522"/>
      <c r="K1064" s="522"/>
      <c r="L1064" s="522"/>
      <c r="M1064" s="522"/>
      <c r="O1064" s="3056" t="s">
        <v>1827</v>
      </c>
      <c r="P1064" s="3010" t="str">
        <f>'Part VIII-Threshold Criteria'!P114</f>
        <v>Yes</v>
      </c>
      <c r="Q1064" s="3010">
        <f>'Part VIII-Threshold Criteria'!Q114</f>
        <v>0</v>
      </c>
    </row>
    <row r="1065" spans="1:17">
      <c r="A1065" s="3049"/>
      <c r="B1065" s="3058"/>
      <c r="C1065" s="3056" t="s">
        <v>2477</v>
      </c>
      <c r="D1065" s="2947" t="s">
        <v>2846</v>
      </c>
      <c r="E1065" s="2947"/>
      <c r="F1065" s="2947"/>
      <c r="G1065" s="2947"/>
      <c r="H1065" s="2947"/>
      <c r="I1065" s="2947"/>
      <c r="J1065" s="2947"/>
      <c r="K1065" s="2947"/>
      <c r="L1065" s="2947"/>
      <c r="M1065" s="2947"/>
      <c r="N1065" s="2947"/>
      <c r="O1065" s="3056" t="s">
        <v>2477</v>
      </c>
      <c r="P1065" s="3010">
        <f>'Part VIII-Threshold Criteria'!P115</f>
        <v>0</v>
      </c>
      <c r="Q1065" s="3010">
        <f>'Part VIII-Threshold Criteria'!Q115</f>
        <v>0</v>
      </c>
    </row>
    <row r="1066" spans="1:17">
      <c r="B1066" s="3011" t="s">
        <v>789</v>
      </c>
      <c r="C1066" s="522" t="s">
        <v>148</v>
      </c>
      <c r="D1066" s="522"/>
      <c r="E1066" s="522"/>
      <c r="F1066" s="522"/>
      <c r="G1066" s="522"/>
      <c r="H1066" s="522"/>
      <c r="I1066" s="522"/>
      <c r="J1066" s="522"/>
      <c r="K1066" s="522"/>
      <c r="L1066" s="522"/>
      <c r="M1066" s="522"/>
      <c r="O1066" s="2981" t="s">
        <v>789</v>
      </c>
      <c r="P1066" s="3010" t="str">
        <f>'Part VIII-Threshold Criteria'!P116</f>
        <v>No</v>
      </c>
      <c r="Q1066" s="3010">
        <f>'Part VIII-Threshold Criteria'!Q116</f>
        <v>0</v>
      </c>
    </row>
    <row r="1067" spans="1:17">
      <c r="B1067" s="3011" t="s">
        <v>2216</v>
      </c>
      <c r="C1067" s="522" t="s">
        <v>1500</v>
      </c>
      <c r="D1067" s="522"/>
      <c r="E1067" s="522"/>
      <c r="G1067" s="522"/>
      <c r="I1067" s="522"/>
      <c r="K1067" s="522"/>
      <c r="L1067" s="3009"/>
      <c r="M1067" s="3009"/>
      <c r="N1067" s="3009"/>
      <c r="O1067" s="3009"/>
      <c r="P1067" s="3009"/>
      <c r="Q1067" s="3009"/>
    </row>
    <row r="1068" spans="1:17">
      <c r="B1068" s="3011"/>
      <c r="C1068" s="2981" t="s">
        <v>1825</v>
      </c>
      <c r="D1068" s="522" t="s">
        <v>1501</v>
      </c>
      <c r="E1068" s="522"/>
      <c r="F1068" s="522"/>
      <c r="G1068" s="522"/>
      <c r="H1068" s="522"/>
      <c r="I1068" s="522"/>
      <c r="J1068" s="522"/>
      <c r="K1068" s="522"/>
      <c r="L1068" s="3009"/>
      <c r="M1068" s="3009"/>
      <c r="O1068" s="2981" t="s">
        <v>1825</v>
      </c>
      <c r="P1068" s="3010" t="str">
        <f>'Part VIII-Threshold Criteria'!P118</f>
        <v>No</v>
      </c>
      <c r="Q1068" s="3010">
        <f>'Part VIII-Threshold Criteria'!Q118</f>
        <v>0</v>
      </c>
    </row>
    <row r="1069" spans="1:17">
      <c r="B1069" s="3011"/>
      <c r="C1069" s="2981" t="s">
        <v>1826</v>
      </c>
      <c r="D1069" s="522" t="s">
        <v>1502</v>
      </c>
      <c r="E1069" s="522"/>
      <c r="F1069" s="522"/>
      <c r="G1069" s="522"/>
      <c r="H1069" s="522"/>
      <c r="I1069" s="522"/>
      <c r="J1069" s="522"/>
      <c r="K1069" s="522"/>
      <c r="L1069" s="3009"/>
      <c r="M1069" s="3009"/>
      <c r="O1069" s="2981" t="s">
        <v>1826</v>
      </c>
      <c r="P1069" s="3010" t="str">
        <f>'Part VIII-Threshold Criteria'!P119</f>
        <v>No</v>
      </c>
      <c r="Q1069" s="3010">
        <f>'Part VIII-Threshold Criteria'!Q119</f>
        <v>0</v>
      </c>
    </row>
    <row r="1070" spans="1:17">
      <c r="B1070" s="3011"/>
      <c r="C1070" s="2981" t="s">
        <v>1827</v>
      </c>
      <c r="D1070" s="522" t="s">
        <v>1503</v>
      </c>
      <c r="E1070" s="522"/>
      <c r="F1070" s="522"/>
      <c r="G1070" s="522"/>
      <c r="H1070" s="522"/>
      <c r="I1070" s="522"/>
      <c r="J1070" s="522"/>
      <c r="K1070" s="522"/>
      <c r="L1070" s="3009"/>
      <c r="M1070" s="3009"/>
      <c r="O1070" s="2981" t="s">
        <v>1827</v>
      </c>
      <c r="P1070" s="3010" t="str">
        <f>'Part VIII-Threshold Criteria'!P120</f>
        <v>No</v>
      </c>
      <c r="Q1070" s="3010">
        <f>'Part VIII-Threshold Criteria'!Q120</f>
        <v>0</v>
      </c>
    </row>
    <row r="1071" spans="1:17">
      <c r="B1071" s="3045" t="s">
        <v>1959</v>
      </c>
      <c r="D1071" s="3045"/>
      <c r="E1071" s="3045"/>
      <c r="F1071" s="3045"/>
      <c r="G1071" s="3045"/>
      <c r="H1071" s="3009"/>
      <c r="I1071" s="3006"/>
      <c r="J1071" s="3006"/>
      <c r="K1071" s="3006"/>
      <c r="L1071" s="2905"/>
      <c r="M1071" s="2905"/>
      <c r="N1071" s="2905"/>
      <c r="O1071" s="2905"/>
      <c r="P1071" s="2905"/>
      <c r="Q1071" s="2905"/>
    </row>
    <row r="1072" spans="1:17">
      <c r="A1072" s="2947" t="str">
        <f>'Part VIII-Threshold Criteria'!A122</f>
        <v>The appraisal supports the acquisition value given in the financial model, and the amount split out between land and buildings for purposes of estimating the acquisition credit.</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1960</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2793</v>
      </c>
      <c r="C1076" s="3009"/>
      <c r="D1076" s="3014"/>
      <c r="E1076" s="3014"/>
      <c r="F1076" s="3014"/>
      <c r="G1076" s="3014"/>
      <c r="H1076" s="3014"/>
      <c r="I1076" s="3014"/>
      <c r="J1076" s="3014"/>
      <c r="K1076" s="3014"/>
      <c r="L1076" s="3014"/>
      <c r="M1076" s="3014"/>
      <c r="O1076" s="3007" t="s">
        <v>1961</v>
      </c>
      <c r="P1076" s="2911">
        <f>'Part VIII-Threshold Criteria'!P126</f>
        <v>0</v>
      </c>
      <c r="Q1076" s="2911"/>
    </row>
    <row r="1078" spans="1:17">
      <c r="B1078" s="3011" t="s">
        <v>2081</v>
      </c>
      <c r="C1078" s="522" t="s">
        <v>4174</v>
      </c>
      <c r="D1078" s="2939"/>
      <c r="E1078" s="2939"/>
      <c r="F1078" s="2939"/>
      <c r="G1078" s="2939"/>
      <c r="H1078" s="2939"/>
      <c r="I1078" s="521"/>
      <c r="J1078" s="521"/>
      <c r="K1078" s="521"/>
      <c r="L1078" s="2981" t="s">
        <v>2081</v>
      </c>
      <c r="M1078" s="3051" t="str">
        <f>'Part VIII-Threshold Criteria'!M128</f>
        <v>Dominion Due Diligence Group</v>
      </c>
      <c r="N1078" s="3051"/>
      <c r="O1078" s="3051"/>
      <c r="P1078" s="3052"/>
      <c r="Q1078" s="3010">
        <f>'Part VIII-Threshold Criteria'!Q128</f>
        <v>0</v>
      </c>
    </row>
    <row r="1079" spans="1:17">
      <c r="B1079" s="3011" t="s">
        <v>2084</v>
      </c>
      <c r="C1079" s="522" t="s">
        <v>1614</v>
      </c>
      <c r="D1079" s="2939"/>
      <c r="E1079" s="2939"/>
      <c r="F1079" s="2939"/>
      <c r="G1079" s="2939"/>
      <c r="H1079" s="2939"/>
      <c r="I1079" s="521"/>
      <c r="J1079" s="521"/>
      <c r="K1079" s="2939"/>
      <c r="L1079" s="2939"/>
      <c r="M1079" s="2936"/>
      <c r="O1079" s="2981" t="s">
        <v>2084</v>
      </c>
      <c r="P1079" s="3010" t="str">
        <f>'Part VIII-Threshold Criteria'!P129</f>
        <v>No</v>
      </c>
      <c r="Q1079" s="3010">
        <f>'Part VIII-Threshold Criteria'!Q129</f>
        <v>0</v>
      </c>
    </row>
    <row r="1080" spans="1:17">
      <c r="B1080" s="3011" t="s">
        <v>789</v>
      </c>
      <c r="C1080" s="522" t="s">
        <v>156</v>
      </c>
      <c r="D1080" s="2939"/>
      <c r="E1080" s="2939"/>
      <c r="F1080" s="2939"/>
      <c r="G1080" s="2939"/>
      <c r="H1080" s="2939"/>
      <c r="I1080" s="521"/>
      <c r="J1080" s="521"/>
      <c r="K1080" s="2939"/>
      <c r="L1080" s="2936"/>
      <c r="M1080" s="2936"/>
      <c r="O1080" s="2981" t="s">
        <v>789</v>
      </c>
      <c r="P1080" s="3010" t="str">
        <f>'Part VIII-Threshold Criteria'!P130</f>
        <v>Yes</v>
      </c>
      <c r="Q1080" s="3010">
        <f>'Part VIII-Threshold Criteria'!Q130</f>
        <v>0</v>
      </c>
    </row>
    <row r="1081" spans="1:17">
      <c r="B1081" s="3011"/>
      <c r="C1081" s="2981" t="s">
        <v>1825</v>
      </c>
      <c r="D1081" s="522" t="s">
        <v>2845</v>
      </c>
      <c r="E1081" s="2939"/>
      <c r="F1081" s="2939"/>
      <c r="G1081" s="2939"/>
      <c r="H1081" s="2939"/>
      <c r="I1081" s="521"/>
      <c r="J1081" s="521"/>
      <c r="K1081" s="2939"/>
      <c r="L1081" s="2981" t="s">
        <v>1825</v>
      </c>
      <c r="M1081" s="3051" t="str">
        <f>'Part VIII-Threshold Criteria'!M131</f>
        <v>Dominuin Due Diligence Group</v>
      </c>
      <c r="N1081" s="3051"/>
      <c r="O1081" s="3051"/>
      <c r="P1081" s="3052"/>
      <c r="Q1081" s="3010">
        <f>'Part VIII-Threshold Criteria'!Q131</f>
        <v>0</v>
      </c>
    </row>
    <row r="1082" spans="1:17">
      <c r="B1082" s="3059"/>
      <c r="C1082" s="2981" t="s">
        <v>1826</v>
      </c>
      <c r="D1082" s="522" t="s">
        <v>4175</v>
      </c>
      <c r="E1082" s="521"/>
      <c r="F1082" s="521"/>
      <c r="G1082" s="521"/>
      <c r="H1082" s="522"/>
      <c r="I1082" s="521"/>
      <c r="J1082" s="521"/>
      <c r="K1082" s="2939"/>
      <c r="L1082" s="2936"/>
      <c r="M1082" s="2936"/>
      <c r="O1082" s="2981" t="s">
        <v>1826</v>
      </c>
      <c r="P1082" s="3010">
        <f>'Part VIII-Threshold Criteria'!P132</f>
        <v>57.17</v>
      </c>
      <c r="Q1082" s="3010">
        <f>'Part VIII-Threshold Criteria'!Q132</f>
        <v>0</v>
      </c>
    </row>
    <row r="1083" spans="1:17">
      <c r="B1083" s="3059"/>
      <c r="C1083" s="2981" t="s">
        <v>1827</v>
      </c>
      <c r="D1083" s="522" t="s">
        <v>1450</v>
      </c>
      <c r="E1083" s="521"/>
      <c r="F1083" s="521"/>
      <c r="G1083" s="521"/>
      <c r="H1083" s="522"/>
      <c r="I1083" s="521"/>
      <c r="J1083" s="521"/>
      <c r="K1083" s="2939"/>
      <c r="L1083" s="2936"/>
      <c r="M1083" s="2936"/>
      <c r="N1083" s="2936"/>
      <c r="O1083" s="2936"/>
    </row>
    <row r="1084" spans="1:17">
      <c r="B1084" s="2905"/>
      <c r="C1084" s="2981"/>
      <c r="D1084" s="2935" t="str">
        <f>'Part VIII-Threshold Criteria'!D134</f>
        <v>Two Norfolk Southern railway lines are within 3,000 feet of the subject.</v>
      </c>
      <c r="E1084" s="2935"/>
      <c r="F1084" s="2935"/>
      <c r="G1084" s="2935"/>
      <c r="H1084" s="2935"/>
      <c r="I1084" s="2935"/>
      <c r="J1084" s="2935"/>
      <c r="K1084" s="2935"/>
      <c r="L1084" s="2935"/>
      <c r="M1084" s="2935"/>
      <c r="N1084" s="2935"/>
      <c r="O1084" s="2935"/>
      <c r="P1084" s="2935"/>
      <c r="Q1084" s="2935"/>
    </row>
    <row r="1085" spans="1:17">
      <c r="B1085" s="3011" t="s">
        <v>2216</v>
      </c>
      <c r="C1085" s="522" t="s">
        <v>1320</v>
      </c>
      <c r="D1085" s="2939"/>
      <c r="E1085" s="2939"/>
      <c r="F1085" s="2939"/>
      <c r="G1085" s="2939"/>
      <c r="H1085" s="2939"/>
      <c r="I1085" s="521"/>
      <c r="J1085" s="521"/>
      <c r="K1085" s="2939"/>
      <c r="L1085" s="2936"/>
      <c r="M1085" s="2936"/>
      <c r="N1085" s="2936"/>
      <c r="O1085" s="2981" t="s">
        <v>2216</v>
      </c>
    </row>
    <row r="1086" spans="1:17">
      <c r="B1086" s="3011"/>
      <c r="C1086" s="2981" t="s">
        <v>1825</v>
      </c>
      <c r="D1086" s="522" t="s">
        <v>154</v>
      </c>
      <c r="E1086" s="2939"/>
      <c r="F1086" s="2939"/>
      <c r="G1086" s="2939"/>
      <c r="H1086" s="2939"/>
      <c r="I1086" s="521"/>
      <c r="J1086" s="521"/>
      <c r="K1086" s="2939"/>
      <c r="L1086" s="2936"/>
      <c r="M1086" s="2936"/>
      <c r="O1086" s="2981" t="s">
        <v>1825</v>
      </c>
      <c r="P1086" s="3010" t="str">
        <f>'Part VIII-Threshold Criteria'!P136</f>
        <v>No</v>
      </c>
      <c r="Q1086" s="3010">
        <f>'Part VIII-Threshold Criteria'!Q136</f>
        <v>0</v>
      </c>
    </row>
    <row r="1087" spans="1:17">
      <c r="B1087" s="3011"/>
      <c r="C1087" s="2981" t="s">
        <v>1826</v>
      </c>
      <c r="D1087" s="522" t="s">
        <v>1321</v>
      </c>
      <c r="E1087" s="2939"/>
      <c r="F1087" s="2939"/>
      <c r="G1087" s="2939"/>
      <c r="H1087" s="521"/>
      <c r="I1087" s="521"/>
      <c r="J1087" s="521"/>
      <c r="K1087" s="2939"/>
      <c r="L1087" s="2936"/>
      <c r="M1087" s="2936"/>
      <c r="O1087" s="2981" t="s">
        <v>1826</v>
      </c>
      <c r="P1087" s="3010" t="str">
        <f>'Part VIII-Threshold Criteria'!P137</f>
        <v>No</v>
      </c>
      <c r="Q1087" s="3010">
        <f>'Part VIII-Threshold Criteria'!Q137</f>
        <v>0</v>
      </c>
    </row>
    <row r="1088" spans="1:17">
      <c r="B1088" s="3011"/>
      <c r="C1088" s="2981"/>
      <c r="D1088" s="522" t="s">
        <v>2769</v>
      </c>
      <c r="E1088" s="3060" t="s">
        <v>2556</v>
      </c>
      <c r="F1088" s="522" t="s">
        <v>2770</v>
      </c>
      <c r="G1088" s="521"/>
      <c r="H1088" s="522"/>
      <c r="I1088" s="521"/>
      <c r="J1088" s="521"/>
      <c r="K1088" s="2939"/>
      <c r="L1088" s="2936"/>
      <c r="M1088" s="2936"/>
      <c r="O1088" s="3060" t="s">
        <v>2556</v>
      </c>
      <c r="P1088" s="3061">
        <f>'Part VIII-Threshold Criteria'!P138</f>
        <v>0</v>
      </c>
      <c r="Q1088" s="3061">
        <f>'Part VIII-Threshold Criteria'!Q138</f>
        <v>0</v>
      </c>
    </row>
    <row r="1089" spans="1:17">
      <c r="B1089" s="3011"/>
      <c r="C1089" s="2981"/>
      <c r="E1089" s="3060" t="s">
        <v>2557</v>
      </c>
      <c r="F1089" s="522" t="s">
        <v>2771</v>
      </c>
      <c r="G1089" s="521"/>
      <c r="H1089" s="522"/>
      <c r="I1089" s="521"/>
      <c r="J1089" s="521"/>
      <c r="K1089" s="2939"/>
      <c r="L1089" s="2936"/>
      <c r="M1089" s="2936"/>
      <c r="O1089" s="3060" t="s">
        <v>2557</v>
      </c>
      <c r="P1089" s="3010">
        <f>'Part VIII-Threshold Criteria'!P139</f>
        <v>0</v>
      </c>
      <c r="Q1089" s="3010">
        <f>'Part VIII-Threshold Criteria'!Q139</f>
        <v>0</v>
      </c>
    </row>
    <row r="1090" spans="1:17">
      <c r="B1090" s="3011"/>
      <c r="C1090" s="2981"/>
      <c r="E1090" s="3060" t="s">
        <v>2558</v>
      </c>
      <c r="F1090" s="522" t="s">
        <v>2772</v>
      </c>
      <c r="G1090" s="521"/>
      <c r="H1090" s="522"/>
      <c r="I1090" s="521"/>
      <c r="J1090" s="521"/>
      <c r="K1090" s="2939"/>
      <c r="L1090" s="2936"/>
      <c r="M1090" s="2936"/>
      <c r="O1090" s="3060" t="s">
        <v>2558</v>
      </c>
      <c r="P1090" s="3010">
        <f>'Part VIII-Threshold Criteria'!P140</f>
        <v>0</v>
      </c>
      <c r="Q1090" s="3010">
        <f>'Part VIII-Threshold Criteria'!Q140</f>
        <v>0</v>
      </c>
    </row>
    <row r="1091" spans="1:17">
      <c r="B1091" s="3011"/>
      <c r="C1091" s="2981" t="s">
        <v>1827</v>
      </c>
      <c r="D1091" s="522" t="s">
        <v>1322</v>
      </c>
      <c r="E1091" s="2939"/>
      <c r="F1091" s="2939"/>
      <c r="G1091" s="2939"/>
      <c r="H1091" s="522"/>
      <c r="I1091" s="521"/>
      <c r="J1091" s="521"/>
      <c r="K1091" s="2939"/>
      <c r="L1091" s="2936"/>
      <c r="M1091" s="2936"/>
      <c r="O1091" s="2981" t="s">
        <v>1827</v>
      </c>
      <c r="P1091" s="3010" t="str">
        <f>'Part VIII-Threshold Criteria'!P141</f>
        <v>No</v>
      </c>
      <c r="Q1091" s="3010">
        <f>'Part VIII-Threshold Criteria'!Q141</f>
        <v>0</v>
      </c>
    </row>
    <row r="1092" spans="1:17">
      <c r="B1092" s="3011"/>
      <c r="C1092" s="2981"/>
      <c r="D1092" s="522" t="s">
        <v>2769</v>
      </c>
      <c r="E1092" s="3060" t="s">
        <v>2556</v>
      </c>
      <c r="F1092" s="522" t="s">
        <v>2773</v>
      </c>
      <c r="G1092" s="521"/>
      <c r="H1092" s="522"/>
      <c r="I1092" s="521"/>
      <c r="J1092" s="521"/>
      <c r="K1092" s="2939"/>
      <c r="L1092" s="2936"/>
      <c r="O1092" s="3060" t="s">
        <v>2556</v>
      </c>
      <c r="P1092" s="3061">
        <f>'Part VIII-Threshold Criteria'!P142</f>
        <v>0</v>
      </c>
      <c r="Q1092" s="3061">
        <f>'Part VIII-Threshold Criteria'!Q142</f>
        <v>0</v>
      </c>
    </row>
    <row r="1093" spans="1:17">
      <c r="B1093" s="3011"/>
      <c r="C1093" s="2981"/>
      <c r="E1093" s="3060" t="s">
        <v>2557</v>
      </c>
      <c r="F1093" s="522" t="s">
        <v>2774</v>
      </c>
      <c r="G1093" s="521"/>
      <c r="H1093" s="522"/>
      <c r="I1093" s="521"/>
      <c r="J1093" s="521"/>
      <c r="O1093" s="3060" t="s">
        <v>2557</v>
      </c>
      <c r="P1093" s="3010">
        <f>'Part VIII-Threshold Criteria'!P143</f>
        <v>0</v>
      </c>
      <c r="Q1093" s="3010">
        <f>'Part VIII-Threshold Criteria'!Q143</f>
        <v>0</v>
      </c>
    </row>
    <row r="1094" spans="1:17">
      <c r="B1094" s="3011"/>
      <c r="C1094" s="2981"/>
      <c r="E1094" s="3060" t="s">
        <v>2558</v>
      </c>
      <c r="F1094" s="522" t="s">
        <v>2772</v>
      </c>
      <c r="G1094" s="521"/>
      <c r="H1094" s="522"/>
      <c r="I1094" s="521"/>
      <c r="J1094" s="521"/>
      <c r="O1094" s="3060" t="s">
        <v>2558</v>
      </c>
      <c r="P1094" s="3010">
        <f>'Part VIII-Threshold Criteria'!P144</f>
        <v>0</v>
      </c>
      <c r="Q1094" s="3010">
        <f>'Part VIII-Threshold Criteria'!Q144</f>
        <v>0</v>
      </c>
    </row>
    <row r="1095" spans="1:17">
      <c r="B1095" s="522"/>
      <c r="C1095" s="2981" t="s">
        <v>2477</v>
      </c>
      <c r="D1095" s="522" t="s">
        <v>2775</v>
      </c>
      <c r="E1095" s="2939"/>
      <c r="F1095" s="2939"/>
      <c r="G1095" s="2939"/>
      <c r="H1095" s="2939"/>
      <c r="I1095" s="521"/>
      <c r="J1095" s="521"/>
      <c r="O1095" s="2981" t="s">
        <v>2477</v>
      </c>
      <c r="P1095" s="3010" t="str">
        <f>'Part VIII-Threshold Criteria'!P145</f>
        <v>No</v>
      </c>
      <c r="Q1095" s="3010">
        <f>'Part VIII-Threshold Criteria'!Q145</f>
        <v>0</v>
      </c>
    </row>
    <row r="1096" spans="1:17">
      <c r="B1096" s="3011" t="s">
        <v>1823</v>
      </c>
      <c r="C1096" s="3009" t="s">
        <v>2534</v>
      </c>
      <c r="D1096" s="2939"/>
      <c r="E1096" s="2939"/>
      <c r="F1096" s="2939"/>
      <c r="G1096" s="2939"/>
      <c r="H1096" s="2939"/>
      <c r="I1096" s="521"/>
      <c r="J1096" s="521"/>
      <c r="K1096" s="2939"/>
      <c r="L1096" s="2936"/>
      <c r="M1096" s="2936"/>
      <c r="N1096" s="2936"/>
      <c r="O1096" s="2936"/>
      <c r="P1096" s="2936"/>
      <c r="Q1096" s="2936"/>
    </row>
    <row r="1097" spans="1:17">
      <c r="C1097" s="2981" t="s">
        <v>1825</v>
      </c>
      <c r="D1097" s="522" t="s">
        <v>2618</v>
      </c>
      <c r="E1097" s="2939"/>
      <c r="F1097" s="3010" t="str">
        <f>'Part VIII-Threshold Criteria'!F147</f>
        <v>No</v>
      </c>
      <c r="G1097" s="3010">
        <f>'Part VIII-Threshold Criteria'!G147</f>
        <v>0</v>
      </c>
      <c r="H1097" s="2981" t="s">
        <v>1626</v>
      </c>
      <c r="I1097" s="505" t="s">
        <v>2777</v>
      </c>
      <c r="L1097" s="3010" t="str">
        <f>'Part VIII-Threshold Criteria'!L147</f>
        <v>No</v>
      </c>
      <c r="M1097" s="3010">
        <f>'Part VIII-Threshold Criteria'!M147</f>
        <v>0</v>
      </c>
      <c r="N1097" s="2981" t="s">
        <v>536</v>
      </c>
      <c r="O1097" s="522" t="s">
        <v>1629</v>
      </c>
      <c r="P1097" s="3010" t="str">
        <f>'Part VIII-Threshold Criteria'!P147</f>
        <v>No</v>
      </c>
      <c r="Q1097" s="3010">
        <f>'Part VIII-Threshold Criteria'!Q147</f>
        <v>0</v>
      </c>
    </row>
    <row r="1098" spans="1:17">
      <c r="B1098" s="522"/>
      <c r="C1098" s="2981" t="s">
        <v>1826</v>
      </c>
      <c r="D1098" s="522" t="s">
        <v>3110</v>
      </c>
      <c r="E1098" s="2939"/>
      <c r="F1098" s="3010" t="str">
        <f>'Part VIII-Threshold Criteria'!F148</f>
        <v>No</v>
      </c>
      <c r="G1098" s="3010">
        <f>'Part VIII-Threshold Criteria'!G148</f>
        <v>0</v>
      </c>
      <c r="H1098" s="2981" t="s">
        <v>1627</v>
      </c>
      <c r="I1098" s="505" t="s">
        <v>2778</v>
      </c>
      <c r="L1098" s="3010" t="str">
        <f>'Part VIII-Threshold Criteria'!L148</f>
        <v>No</v>
      </c>
      <c r="M1098" s="3010">
        <f>'Part VIII-Threshold Criteria'!M148</f>
        <v>0</v>
      </c>
      <c r="N1098" s="2981" t="s">
        <v>537</v>
      </c>
      <c r="O1098" s="522" t="s">
        <v>1628</v>
      </c>
      <c r="P1098" s="3010" t="str">
        <f>'Part VIII-Threshold Criteria'!P148</f>
        <v>No</v>
      </c>
      <c r="Q1098" s="3010">
        <f>'Part VIII-Threshold Criteria'!Q148</f>
        <v>0</v>
      </c>
    </row>
    <row r="1099" spans="1:17">
      <c r="B1099" s="522"/>
      <c r="C1099" s="2981" t="s">
        <v>1827</v>
      </c>
      <c r="D1099" s="522" t="s">
        <v>2776</v>
      </c>
      <c r="E1099" s="2939"/>
      <c r="F1099" s="3010" t="str">
        <f>'Part VIII-Threshold Criteria'!F149</f>
        <v>No</v>
      </c>
      <c r="G1099" s="3010">
        <f>'Part VIII-Threshold Criteria'!G149</f>
        <v>0</v>
      </c>
      <c r="H1099" s="2981" t="s">
        <v>100</v>
      </c>
      <c r="I1099" s="505" t="s">
        <v>3111</v>
      </c>
      <c r="L1099" s="3010" t="str">
        <f>'Part VIII-Threshold Criteria'!L149</f>
        <v>No</v>
      </c>
      <c r="M1099" s="3010">
        <f>'Part VIII-Threshold Criteria'!M149</f>
        <v>0</v>
      </c>
      <c r="N1099" s="2981" t="s">
        <v>3113</v>
      </c>
      <c r="O1099" s="522" t="s">
        <v>1630</v>
      </c>
      <c r="P1099" s="3010" t="str">
        <f>'Part VIII-Threshold Criteria'!P149</f>
        <v>No</v>
      </c>
      <c r="Q1099" s="3010">
        <f>'Part VIII-Threshold Criteria'!Q149</f>
        <v>0</v>
      </c>
    </row>
    <row r="1100" spans="1:17">
      <c r="B1100" s="522"/>
      <c r="C1100" s="2981" t="s">
        <v>2477</v>
      </c>
      <c r="D1100" s="522" t="s">
        <v>3114</v>
      </c>
      <c r="E1100" s="2939"/>
      <c r="F1100" s="3010" t="str">
        <f>'Part VIII-Threshold Criteria'!F150</f>
        <v>No</v>
      </c>
      <c r="G1100" s="3010">
        <f>'Part VIII-Threshold Criteria'!G150</f>
        <v>0</v>
      </c>
      <c r="H1100" s="2981" t="s">
        <v>535</v>
      </c>
      <c r="I1100" s="522" t="s">
        <v>3109</v>
      </c>
      <c r="L1100" s="3010" t="str">
        <f>'Part VIII-Threshold Criteria'!L150</f>
        <v>Yes</v>
      </c>
      <c r="M1100" s="3010">
        <f>'Part VIII-Threshold Criteria'!M150</f>
        <v>0</v>
      </c>
      <c r="O1100" s="2981"/>
    </row>
    <row r="1101" spans="1:17">
      <c r="B1101" s="522"/>
      <c r="C1101" s="2981" t="s">
        <v>3288</v>
      </c>
      <c r="D1101" s="522" t="s">
        <v>3112</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1824</v>
      </c>
      <c r="C1103" s="522" t="s">
        <v>1349</v>
      </c>
      <c r="D1103" s="2939"/>
      <c r="E1103" s="2939"/>
      <c r="F1103" s="2939"/>
      <c r="G1103" s="2939"/>
      <c r="H1103" s="2939"/>
      <c r="I1103" s="521"/>
      <c r="J1103" s="521"/>
      <c r="K1103" s="2939"/>
      <c r="L1103" s="2939"/>
      <c r="M1103" s="2936"/>
      <c r="O1103" s="2981" t="s">
        <v>1824</v>
      </c>
      <c r="P1103" s="3010" t="str">
        <f>'Part VIII-Threshold Criteria'!P153</f>
        <v>N/A</v>
      </c>
      <c r="Q1103" s="3010">
        <f>'Part VIII-Threshold Criteria'!Q153</f>
        <v>0</v>
      </c>
    </row>
    <row r="1104" spans="1:17">
      <c r="A1104" s="3049"/>
      <c r="B1104" s="521"/>
      <c r="C1104" s="2981" t="s">
        <v>1825</v>
      </c>
      <c r="D1104" s="522" t="s">
        <v>3115</v>
      </c>
      <c r="E1104" s="2939"/>
      <c r="F1104" s="2939"/>
      <c r="G1104" s="2939"/>
      <c r="H1104" s="2939"/>
      <c r="O1104" s="2981" t="s">
        <v>1825</v>
      </c>
      <c r="P1104" s="3010">
        <f>'Part VIII-Threshold Criteria'!P154</f>
        <v>0</v>
      </c>
      <c r="Q1104" s="3010">
        <f>'Part VIII-Threshold Criteria'!Q154</f>
        <v>0</v>
      </c>
    </row>
    <row r="1105" spans="1:17">
      <c r="A1105" s="3049"/>
      <c r="B1105" s="3006"/>
      <c r="C1105" s="2981" t="s">
        <v>1826</v>
      </c>
      <c r="D1105" s="522" t="s">
        <v>513</v>
      </c>
      <c r="E1105" s="522"/>
      <c r="F1105" s="522"/>
      <c r="G1105" s="522"/>
      <c r="H1105" s="522"/>
      <c r="I1105" s="521"/>
      <c r="J1105" s="521"/>
      <c r="K1105" s="522"/>
      <c r="L1105" s="522"/>
      <c r="M1105" s="522"/>
      <c r="O1105" s="2981" t="s">
        <v>1826</v>
      </c>
      <c r="P1105" s="3010" t="str">
        <f>'Part VIII-Threshold Criteria'!P155</f>
        <v>Yes</v>
      </c>
      <c r="Q1105" s="3010">
        <f>'Part VIII-Threshold Criteria'!Q155</f>
        <v>0</v>
      </c>
    </row>
    <row r="1106" spans="1:17">
      <c r="A1106" s="3049"/>
      <c r="B1106" s="3006"/>
      <c r="C1106" s="2981" t="s">
        <v>1827</v>
      </c>
      <c r="D1106" s="522" t="s">
        <v>717</v>
      </c>
      <c r="E1106" s="522"/>
      <c r="F1106" s="522"/>
      <c r="G1106" s="522"/>
      <c r="H1106" s="522"/>
      <c r="I1106" s="521"/>
      <c r="J1106" s="521"/>
      <c r="K1106" s="522"/>
      <c r="L1106" s="522"/>
      <c r="M1106" s="522"/>
      <c r="O1106" s="2981" t="s">
        <v>1827</v>
      </c>
      <c r="P1106" s="3010">
        <f>'Part VIII-Threshold Criteria'!P156</f>
        <v>0</v>
      </c>
      <c r="Q1106" s="3010">
        <f>'Part VIII-Threshold Criteria'!Q156</f>
        <v>0</v>
      </c>
    </row>
    <row r="1107" spans="1:17">
      <c r="B1107" s="3011" t="s">
        <v>2044</v>
      </c>
      <c r="C1107" s="522" t="s">
        <v>1841</v>
      </c>
      <c r="D1107" s="2939"/>
      <c r="E1107" s="2939"/>
      <c r="F1107" s="2939"/>
      <c r="G1107" s="2939"/>
      <c r="H1107" s="2939"/>
      <c r="I1107" s="521"/>
      <c r="J1107" s="521"/>
      <c r="K1107" s="2939"/>
      <c r="L1107" s="2939"/>
      <c r="M1107" s="2936"/>
      <c r="O1107" s="2981" t="s">
        <v>2044</v>
      </c>
      <c r="P1107" s="3010">
        <f>'Part VIII-Threshold Criteria'!P157</f>
        <v>0</v>
      </c>
      <c r="Q1107" s="3010">
        <f>'Part VIII-Threshold Criteria'!Q157</f>
        <v>0</v>
      </c>
    </row>
    <row r="1108" spans="1:17">
      <c r="A1108" s="3062" t="s">
        <v>4077</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3837</v>
      </c>
      <c r="C1109" s="2947" t="s">
        <v>4587</v>
      </c>
      <c r="D1109" s="2947"/>
      <c r="E1109" s="2947"/>
      <c r="F1109" s="2947"/>
      <c r="G1109" s="2947"/>
      <c r="H1109" s="2947"/>
      <c r="I1109" s="2947"/>
      <c r="J1109" s="2947"/>
      <c r="K1109" s="2947"/>
      <c r="L1109" s="2947"/>
      <c r="M1109" s="3056" t="s">
        <v>3837</v>
      </c>
      <c r="N1109" s="3063" t="str">
        <f>'Part VIII-Threshold Criteria'!N159</f>
        <v>Minority concentration</v>
      </c>
      <c r="O1109" s="3063"/>
      <c r="P1109" s="3063" t="str">
        <f>'Part VIII-Threshold Criteria'!P159</f>
        <v>&lt;&lt;Select&gt;&gt;</v>
      </c>
      <c r="Q1109" s="3063"/>
    </row>
    <row r="1110" spans="1:17">
      <c r="A1110" s="521"/>
      <c r="B1110" s="3011" t="s">
        <v>647</v>
      </c>
      <c r="C1110" s="3009" t="s">
        <v>1</v>
      </c>
      <c r="D1110" s="3064"/>
      <c r="E1110" s="3064"/>
      <c r="F1110" s="521"/>
      <c r="G1110" s="2981" t="s">
        <v>647</v>
      </c>
      <c r="H1110" s="2935" t="str">
        <f>'Part VIII-Threshold Criteria'!H160</f>
        <v>403.02, 402.00, 1.00</v>
      </c>
      <c r="I1110" s="2935"/>
      <c r="J1110" s="2935"/>
      <c r="K1110" s="2935"/>
      <c r="L1110" s="2935"/>
      <c r="M1110" s="2935"/>
      <c r="N1110" s="2935"/>
      <c r="O1110" s="2935"/>
      <c r="P1110" s="2935"/>
      <c r="Q1110" s="3010">
        <f>'Part VIII-Threshold Criteria'!Q160</f>
        <v>0</v>
      </c>
    </row>
    <row r="1111" spans="1:17">
      <c r="A1111" s="521"/>
      <c r="B1111" s="3011" t="s">
        <v>3838</v>
      </c>
      <c r="C1111" s="3009" t="s">
        <v>1486</v>
      </c>
      <c r="D1111" s="3065"/>
      <c r="E1111" s="3065"/>
      <c r="F1111" s="3065"/>
      <c r="G1111" s="2893"/>
      <c r="H1111" s="2893"/>
      <c r="I1111" s="3009"/>
      <c r="J1111" s="521"/>
      <c r="K1111" s="2893"/>
      <c r="L1111" s="2893"/>
      <c r="M1111" s="2893"/>
      <c r="N1111" s="521"/>
      <c r="O1111" s="2981" t="s">
        <v>3838</v>
      </c>
      <c r="P1111" s="3010">
        <f>'Part VIII-Threshold Criteria'!P161</f>
        <v>0</v>
      </c>
      <c r="Q1111" s="3010">
        <f>'Part VIII-Threshold Criteria'!Q161</f>
        <v>0</v>
      </c>
    </row>
    <row r="1112" spans="1:17">
      <c r="B1112" s="3045" t="s">
        <v>1959</v>
      </c>
      <c r="D1112" s="3045"/>
      <c r="E1112" s="3045"/>
      <c r="F1112" s="3045"/>
      <c r="G1112" s="3045"/>
      <c r="H1112" s="3009"/>
      <c r="I1112" s="3006"/>
      <c r="J1112" s="3006"/>
      <c r="K1112" s="3006"/>
      <c r="L1112" s="2905"/>
      <c r="M1112" s="2905"/>
      <c r="N1112" s="2905"/>
      <c r="O1112" s="2905"/>
      <c r="P1112" s="2905"/>
      <c r="Q1112" s="2905"/>
    </row>
    <row r="1113" spans="1:17">
      <c r="A1113" s="2947" t="str">
        <f>'Part VIII-Threshold Criteria'!A163</f>
        <v>Site &amp; Neighborhood Document and Letter are included in Tab 7.</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1960</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2794</v>
      </c>
      <c r="C1118" s="2884"/>
      <c r="D1118" s="3014"/>
      <c r="E1118" s="3014"/>
      <c r="F1118" s="3014"/>
      <c r="G1118" s="3014"/>
      <c r="H1118" s="3014"/>
      <c r="I1118" s="3014"/>
      <c r="J1118" s="3014"/>
      <c r="K1118" s="3014"/>
      <c r="O1118" s="3007" t="s">
        <v>1961</v>
      </c>
      <c r="P1118" s="2911">
        <f>'Part VIII-Threshold Criteria'!P168</f>
        <v>0</v>
      </c>
      <c r="Q1118" s="2911"/>
    </row>
    <row r="1119" spans="1:17">
      <c r="B1119" s="3011" t="s">
        <v>2081</v>
      </c>
      <c r="C1119" s="522" t="s">
        <v>3836</v>
      </c>
      <c r="D1119" s="522"/>
      <c r="E1119" s="522"/>
      <c r="F1119" s="522"/>
      <c r="G1119" s="522"/>
      <c r="I1119" s="522" t="s">
        <v>2877</v>
      </c>
      <c r="K1119" s="3066">
        <f>'Part VIII-Threshold Criteria'!K169</f>
        <v>42369</v>
      </c>
      <c r="L1119" s="3066"/>
      <c r="N1119" s="522"/>
      <c r="O1119" s="2981" t="s">
        <v>2081</v>
      </c>
      <c r="P1119" s="3010" t="str">
        <f>'Part VIII-Threshold Criteria'!P169</f>
        <v>Yes</v>
      </c>
      <c r="Q1119" s="3010">
        <f>'Part VIII-Threshold Criteria'!Q169</f>
        <v>0</v>
      </c>
    </row>
    <row r="1120" spans="1:17">
      <c r="A1120" s="3059"/>
      <c r="B1120" s="3011" t="s">
        <v>2084</v>
      </c>
      <c r="C1120" s="3046" t="s">
        <v>155</v>
      </c>
      <c r="D1120" s="3046"/>
      <c r="E1120" s="3046"/>
      <c r="F1120" s="3046"/>
      <c r="G1120" s="3046"/>
      <c r="H1120" s="3046"/>
      <c r="M1120" s="2981" t="s">
        <v>2084</v>
      </c>
      <c r="N1120" s="3067" t="str">
        <f>'Part VIII-Threshold Criteria'!N170</f>
        <v>Contract/Option</v>
      </c>
      <c r="O1120" s="3067"/>
      <c r="P1120" s="3067">
        <f>'Part VIII-Threshold Criteria'!P170</f>
        <v>0</v>
      </c>
      <c r="Q1120" s="3067"/>
    </row>
    <row r="1121" spans="1:17">
      <c r="A1121" s="3059"/>
      <c r="B1121" s="3011" t="s">
        <v>789</v>
      </c>
      <c r="C1121" s="3046" t="s">
        <v>718</v>
      </c>
      <c r="D1121" s="3046"/>
      <c r="E1121" s="3046"/>
      <c r="F1121" s="3046"/>
      <c r="G1121" s="3046"/>
      <c r="H1121" s="3046"/>
      <c r="J1121" s="2981" t="s">
        <v>789</v>
      </c>
      <c r="K1121" s="3051" t="str">
        <f>'Part VIII-Threshold Criteria'!K171</f>
        <v>Lakeview Housing Partners, L.P.</v>
      </c>
      <c r="L1121" s="3051"/>
      <c r="M1121" s="3051"/>
      <c r="N1121" s="3051"/>
      <c r="O1121" s="3051"/>
      <c r="P1121" s="3051"/>
      <c r="Q1121" s="3010">
        <f>'Part VIII-Threshold Criteria'!Q171</f>
        <v>0</v>
      </c>
    </row>
    <row r="1122" spans="1:17">
      <c r="A1122" s="3059"/>
      <c r="B1122" s="3011" t="s">
        <v>2216</v>
      </c>
      <c r="C1122" s="3046" t="s">
        <v>3274</v>
      </c>
      <c r="D1122" s="3046"/>
      <c r="E1122" s="3046"/>
      <c r="F1122" s="3046"/>
      <c r="G1122" s="3046"/>
      <c r="H1122" s="3046"/>
      <c r="J1122" s="2981"/>
      <c r="K1122" s="2981"/>
      <c r="L1122" s="2981"/>
      <c r="M1122" s="2981"/>
      <c r="N1122" s="2981"/>
      <c r="O1122" s="2981" t="s">
        <v>2216</v>
      </c>
      <c r="P1122" s="3010" t="str">
        <f>'Part VIII-Threshold Criteria'!P172</f>
        <v>Yes</v>
      </c>
      <c r="Q1122" s="3010">
        <f>'Part VIII-Threshold Criteria'!Q172</f>
        <v>0</v>
      </c>
    </row>
    <row r="1123" spans="1:17">
      <c r="B1123" s="3045" t="s">
        <v>1959</v>
      </c>
      <c r="D1123" s="3045"/>
      <c r="E1123" s="3045"/>
      <c r="F1123" s="3045"/>
      <c r="G1123" s="3045"/>
      <c r="H1123" s="3009"/>
      <c r="I1123" s="3006"/>
      <c r="J1123" s="3006"/>
      <c r="K1123" s="3006"/>
      <c r="L1123" s="2905"/>
      <c r="M1123" s="2905"/>
      <c r="N1123" s="2905"/>
      <c r="O1123" s="2905"/>
      <c r="P1123" s="2905"/>
      <c r="Q1123" s="2905"/>
    </row>
    <row r="1124" spans="1:17">
      <c r="A1124" s="2947" t="str">
        <f>'Part VIII-Threshold Criteria'!A174</f>
        <v>Party with site control is the applicant.</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1960</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2795</v>
      </c>
      <c r="C1128" s="2884"/>
      <c r="D1128" s="3014"/>
      <c r="E1128" s="3014"/>
      <c r="F1128" s="3014"/>
      <c r="G1128" s="3014"/>
      <c r="H1128" s="3014"/>
      <c r="I1128" s="3014"/>
      <c r="J1128" s="3014"/>
      <c r="K1128" s="3014"/>
      <c r="L1128" s="3014"/>
      <c r="M1128" s="3014"/>
      <c r="O1128" s="3007" t="s">
        <v>1961</v>
      </c>
      <c r="P1128" s="2911">
        <f>'Part VIII-Threshold Criteria'!P178</f>
        <v>0</v>
      </c>
      <c r="Q1128" s="2911"/>
    </row>
    <row r="1129" spans="1:17">
      <c r="B1129" s="3008" t="s">
        <v>2081</v>
      </c>
      <c r="C1129" s="2947" t="s">
        <v>3265</v>
      </c>
      <c r="D1129" s="2947"/>
      <c r="E1129" s="2947"/>
      <c r="F1129" s="2947"/>
      <c r="G1129" s="2947"/>
      <c r="H1129" s="2947"/>
      <c r="I1129" s="2947"/>
      <c r="J1129" s="2947"/>
      <c r="K1129" s="2947"/>
      <c r="L1129" s="2947"/>
      <c r="M1129" s="2947"/>
      <c r="N1129" s="2947"/>
      <c r="O1129" s="3056" t="s">
        <v>2081</v>
      </c>
      <c r="P1129" s="3010" t="str">
        <f>'Part VIII-Threshold Criteria'!P179</f>
        <v>Yes</v>
      </c>
      <c r="Q1129" s="3010">
        <f>'Part VIII-Threshold Criteria'!Q179</f>
        <v>0</v>
      </c>
    </row>
    <row r="1130" spans="1:17">
      <c r="B1130" s="3008" t="s">
        <v>2084</v>
      </c>
      <c r="C1130" s="2947" t="s">
        <v>2633</v>
      </c>
      <c r="D1130" s="2947"/>
      <c r="E1130" s="2947"/>
      <c r="F1130" s="2947"/>
      <c r="G1130" s="2947"/>
      <c r="H1130" s="2947"/>
      <c r="I1130" s="2947"/>
      <c r="J1130" s="2947"/>
      <c r="K1130" s="2947"/>
      <c r="L1130" s="2947"/>
      <c r="M1130" s="2947"/>
      <c r="N1130" s="2947"/>
      <c r="O1130" s="3056" t="s">
        <v>2084</v>
      </c>
      <c r="P1130" s="3010">
        <f>'Part VIII-Threshold Criteria'!P180</f>
        <v>0</v>
      </c>
      <c r="Q1130" s="3010">
        <f>'Part VIII-Threshold Criteria'!Q180</f>
        <v>0</v>
      </c>
    </row>
    <row r="1131" spans="1:17">
      <c r="B1131" s="3008" t="s">
        <v>789</v>
      </c>
      <c r="C1131" s="2947" t="s">
        <v>2779</v>
      </c>
      <c r="D1131" s="2947"/>
      <c r="E1131" s="2947"/>
      <c r="F1131" s="2947"/>
      <c r="G1131" s="2947"/>
      <c r="H1131" s="2947"/>
      <c r="I1131" s="2947"/>
      <c r="J1131" s="2947"/>
      <c r="K1131" s="2947"/>
      <c r="L1131" s="2947"/>
      <c r="M1131" s="2947"/>
      <c r="N1131" s="2947"/>
      <c r="O1131" s="3056" t="s">
        <v>789</v>
      </c>
      <c r="P1131" s="3010">
        <f>'Part VIII-Threshold Criteria'!P181</f>
        <v>0</v>
      </c>
      <c r="Q1131" s="3010">
        <f>'Part VIII-Threshold Criteria'!Q181</f>
        <v>0</v>
      </c>
    </row>
    <row r="1132" spans="1:17">
      <c r="B1132" s="3045" t="s">
        <v>1959</v>
      </c>
      <c r="D1132" s="3045"/>
      <c r="E1132" s="3045"/>
      <c r="F1132" s="3045"/>
      <c r="G1132" s="3045"/>
      <c r="H1132" s="3009"/>
      <c r="I1132" s="3006"/>
      <c r="J1132" s="3006"/>
      <c r="K1132" s="3006"/>
      <c r="L1132" s="2905"/>
      <c r="M1132" s="2905"/>
      <c r="N1132" s="2905"/>
      <c r="O1132" s="2905"/>
      <c r="P1132" s="2905"/>
      <c r="Q1132" s="2905"/>
    </row>
    <row r="1133" spans="1:17">
      <c r="A1133" s="2947" t="str">
        <f>'Part VIII-Threshold Criteria'!A183</f>
        <v>Applicant has legal access to the site via public roads.</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1960</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2796</v>
      </c>
      <c r="C1137" s="3068"/>
      <c r="D1137" s="3068"/>
      <c r="O1137" s="3007" t="s">
        <v>1961</v>
      </c>
      <c r="P1137" s="2911">
        <f>'Part VIII-Threshold Criteria'!P187</f>
        <v>0</v>
      </c>
      <c r="Q1137" s="2911"/>
    </row>
    <row r="1138" spans="1:17">
      <c r="B1138" s="3008" t="s">
        <v>2081</v>
      </c>
      <c r="C1138" s="3069" t="s">
        <v>489</v>
      </c>
      <c r="D1138" s="3069"/>
      <c r="E1138" s="3069"/>
      <c r="F1138" s="3069"/>
      <c r="G1138" s="3069"/>
      <c r="H1138" s="3069"/>
      <c r="I1138" s="3069"/>
      <c r="J1138" s="3069"/>
      <c r="K1138" s="3069"/>
      <c r="L1138" s="3069"/>
      <c r="M1138" s="3069"/>
      <c r="O1138" s="3056" t="s">
        <v>2081</v>
      </c>
      <c r="P1138" s="3010" t="str">
        <f>'Part VIII-Threshold Criteria'!P188</f>
        <v>Yes</v>
      </c>
      <c r="Q1138" s="3010">
        <f>'Part VIII-Threshold Criteria'!Q188</f>
        <v>0</v>
      </c>
    </row>
    <row r="1139" spans="1:17">
      <c r="B1139" s="3008" t="s">
        <v>2084</v>
      </c>
      <c r="C1139" s="3069" t="s">
        <v>2780</v>
      </c>
      <c r="D1139" s="3069"/>
      <c r="E1139" s="3069"/>
      <c r="F1139" s="3069"/>
      <c r="G1139" s="3069"/>
      <c r="H1139" s="3069"/>
      <c r="I1139" s="3069"/>
      <c r="J1139" s="3069"/>
      <c r="K1139" s="3069"/>
      <c r="L1139" s="3069"/>
      <c r="M1139" s="3069"/>
      <c r="O1139" s="3056" t="s">
        <v>2084</v>
      </c>
      <c r="P1139" s="3010" t="str">
        <f>'Part VIII-Threshold Criteria'!P189</f>
        <v>Yes</v>
      </c>
      <c r="Q1139" s="3010">
        <f>'Part VIII-Threshold Criteria'!Q189</f>
        <v>0</v>
      </c>
    </row>
    <row r="1140" spans="1:17">
      <c r="B1140" s="3008" t="s">
        <v>789</v>
      </c>
      <c r="C1140" s="3069" t="s">
        <v>2781</v>
      </c>
      <c r="D1140" s="3069"/>
      <c r="E1140" s="3069"/>
      <c r="F1140" s="3069"/>
      <c r="G1140" s="3069"/>
      <c r="H1140" s="3069"/>
      <c r="I1140" s="3069"/>
      <c r="J1140" s="3069"/>
      <c r="K1140" s="3069"/>
      <c r="L1140" s="3069"/>
      <c r="M1140" s="3069"/>
      <c r="O1140" s="3056" t="s">
        <v>789</v>
      </c>
      <c r="P1140" s="3010" t="str">
        <f>'Part VIII-Threshold Criteria'!P190</f>
        <v>Yes</v>
      </c>
      <c r="Q1140" s="3010">
        <f>'Part VIII-Threshold Criteria'!Q190</f>
        <v>0</v>
      </c>
    </row>
    <row r="1141" spans="1:17">
      <c r="B1141" s="3008"/>
      <c r="C1141" s="3069" t="s">
        <v>2769</v>
      </c>
      <c r="D1141" s="3069"/>
      <c r="E1141" s="3060" t="s">
        <v>1825</v>
      </c>
      <c r="F1141" s="3069" t="s">
        <v>2782</v>
      </c>
      <c r="G1141" s="3069"/>
      <c r="H1141" s="3069"/>
      <c r="I1141" s="3069"/>
      <c r="J1141" s="3069"/>
      <c r="K1141" s="3069"/>
      <c r="L1141" s="3069"/>
      <c r="M1141" s="3069"/>
      <c r="O1141" s="3060" t="s">
        <v>1825</v>
      </c>
      <c r="P1141" s="3010" t="str">
        <f>'Part VIII-Threshold Criteria'!P191</f>
        <v>Yes</v>
      </c>
      <c r="Q1141" s="3010">
        <f>'Part VIII-Threshold Criteria'!Q191</f>
        <v>0</v>
      </c>
    </row>
    <row r="1142" spans="1:17">
      <c r="B1142" s="3008"/>
      <c r="C1142" s="3069"/>
      <c r="D1142" s="3069"/>
      <c r="E1142" s="3060" t="s">
        <v>1826</v>
      </c>
      <c r="F1142" s="3069" t="s">
        <v>4588</v>
      </c>
      <c r="G1142" s="3069"/>
      <c r="H1142" s="3069"/>
      <c r="I1142" s="3069"/>
      <c r="J1142" s="3069"/>
      <c r="K1142" s="3069"/>
      <c r="L1142" s="3069"/>
      <c r="M1142" s="3069"/>
      <c r="O1142" s="3060" t="s">
        <v>1826</v>
      </c>
      <c r="P1142" s="3010" t="str">
        <f>'Part VIII-Threshold Criteria'!P192</f>
        <v>Yes</v>
      </c>
      <c r="Q1142" s="3010">
        <f>'Part VIII-Threshold Criteria'!Q192</f>
        <v>0</v>
      </c>
    </row>
    <row r="1143" spans="1:17">
      <c r="A1143" s="3055"/>
      <c r="B1143" s="3008"/>
      <c r="C1143" s="3069"/>
      <c r="D1143" s="3069"/>
      <c r="E1143" s="3056" t="s">
        <v>1827</v>
      </c>
      <c r="F1143" s="2947" t="s">
        <v>4176</v>
      </c>
      <c r="G1143" s="2947"/>
      <c r="H1143" s="2947"/>
      <c r="I1143" s="2947"/>
      <c r="J1143" s="2947"/>
      <c r="K1143" s="2947"/>
      <c r="L1143" s="2947"/>
      <c r="M1143" s="2947"/>
      <c r="N1143" s="2947"/>
      <c r="O1143" s="3056" t="s">
        <v>1827</v>
      </c>
      <c r="P1143" s="3010" t="str">
        <f>'Part VIII-Threshold Criteria'!P193</f>
        <v>Yes</v>
      </c>
      <c r="Q1143" s="3010">
        <f>'Part VIII-Threshold Criteria'!Q193</f>
        <v>0</v>
      </c>
    </row>
    <row r="1144" spans="1:17">
      <c r="B1144" s="3008"/>
      <c r="C1144" s="3069"/>
      <c r="D1144" s="3069"/>
      <c r="E1144" s="3060" t="s">
        <v>2477</v>
      </c>
      <c r="F1144" s="3069" t="s">
        <v>2784</v>
      </c>
      <c r="G1144" s="3069"/>
      <c r="H1144" s="3069"/>
      <c r="I1144" s="3069"/>
      <c r="J1144" s="3069"/>
      <c r="K1144" s="3069"/>
      <c r="L1144" s="3069"/>
      <c r="M1144" s="3069"/>
      <c r="O1144" s="3060" t="s">
        <v>2477</v>
      </c>
      <c r="P1144" s="3010" t="str">
        <f>'Part VIII-Threshold Criteria'!P194</f>
        <v>Yes</v>
      </c>
      <c r="Q1144" s="3010">
        <f>'Part VIII-Threshold Criteria'!Q194</f>
        <v>0</v>
      </c>
    </row>
    <row r="1145" spans="1:17">
      <c r="A1145" s="3055"/>
      <c r="B1145" s="3008"/>
      <c r="C1145" s="3069"/>
      <c r="D1145" s="3069"/>
      <c r="E1145" s="3056" t="s">
        <v>1626</v>
      </c>
      <c r="F1145" s="2947" t="s">
        <v>2785</v>
      </c>
      <c r="G1145" s="2947"/>
      <c r="H1145" s="2947"/>
      <c r="I1145" s="2947"/>
      <c r="J1145" s="2947"/>
      <c r="K1145" s="2947"/>
      <c r="L1145" s="2947"/>
      <c r="M1145" s="2947"/>
      <c r="N1145" s="2947"/>
      <c r="O1145" s="3056" t="s">
        <v>1626</v>
      </c>
      <c r="P1145" s="3010">
        <f>'Part VIII-Threshold Criteria'!P195</f>
        <v>0</v>
      </c>
      <c r="Q1145" s="3010">
        <f>'Part VIII-Threshold Criteria'!Q195</f>
        <v>0</v>
      </c>
    </row>
    <row r="1146" spans="1:17">
      <c r="B1146" s="3008" t="s">
        <v>2216</v>
      </c>
      <c r="C1146" s="2947" t="s">
        <v>2786</v>
      </c>
      <c r="D1146" s="2947"/>
      <c r="E1146" s="2947"/>
      <c r="F1146" s="2947"/>
      <c r="G1146" s="2947"/>
      <c r="H1146" s="2947"/>
      <c r="I1146" s="2947"/>
      <c r="J1146" s="2947"/>
      <c r="K1146" s="2947"/>
      <c r="L1146" s="2947"/>
      <c r="M1146" s="2947"/>
      <c r="N1146" s="2947"/>
      <c r="O1146" s="3056" t="s">
        <v>2216</v>
      </c>
      <c r="P1146" s="3010" t="str">
        <f>'Part VIII-Threshold Criteria'!P196</f>
        <v>Yes</v>
      </c>
      <c r="Q1146" s="3010">
        <f>'Part VIII-Threshold Criteria'!Q196</f>
        <v>0</v>
      </c>
    </row>
    <row r="1147" spans="1:17">
      <c r="B1147" s="3008" t="s">
        <v>1823</v>
      </c>
      <c r="C1147" s="3069" t="s">
        <v>2493</v>
      </c>
      <c r="D1147" s="3069"/>
      <c r="E1147" s="3069"/>
      <c r="F1147" s="3069"/>
      <c r="G1147" s="3069"/>
      <c r="H1147" s="3069"/>
      <c r="I1147" s="3069"/>
      <c r="J1147" s="3069"/>
      <c r="K1147" s="3069"/>
      <c r="L1147" s="3069"/>
      <c r="M1147" s="3069"/>
      <c r="O1147" s="3056" t="s">
        <v>1823</v>
      </c>
      <c r="P1147" s="3010" t="str">
        <f>'Part VIII-Threshold Criteria'!P197</f>
        <v>Yes</v>
      </c>
      <c r="Q1147" s="3010">
        <f>'Part VIII-Threshold Criteria'!Q197</f>
        <v>0</v>
      </c>
    </row>
    <row r="1148" spans="1:17">
      <c r="B1148" s="3045" t="s">
        <v>1959</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All pertinent zoning documentation is included in Tab 10</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1960</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2797</v>
      </c>
      <c r="C1153" s="2884"/>
      <c r="D1153" s="3014"/>
      <c r="E1153" s="2847"/>
      <c r="F1153" s="2847"/>
      <c r="G1153" s="3014"/>
      <c r="J1153" s="3048"/>
      <c r="K1153" s="3048"/>
      <c r="L1153" s="3048"/>
      <c r="M1153" s="3048"/>
      <c r="N1153" s="3048"/>
      <c r="O1153" s="3007" t="s">
        <v>1961</v>
      </c>
      <c r="P1153" s="2911">
        <f>'Part VIII-Threshold Criteria'!P203</f>
        <v>0</v>
      </c>
      <c r="Q1153" s="2911"/>
    </row>
    <row r="1154" spans="1:17">
      <c r="A1154" s="3059"/>
      <c r="B1154" s="3011" t="s">
        <v>2081</v>
      </c>
      <c r="C1154" s="2947" t="s">
        <v>99</v>
      </c>
      <c r="D1154" s="2947"/>
      <c r="E1154" s="2947"/>
      <c r="F1154" s="2947"/>
      <c r="G1154" s="2947"/>
      <c r="H1154" s="2981" t="s">
        <v>1825</v>
      </c>
      <c r="I1154" s="522" t="s">
        <v>157</v>
      </c>
      <c r="K1154" s="3051" t="str">
        <f>'Part VIII-Threshold Criteria'!K204</f>
        <v>Fort Valley Utility Commission</v>
      </c>
      <c r="L1154" s="3051"/>
      <c r="M1154" s="3051"/>
      <c r="N1154" s="3051"/>
      <c r="O1154" s="2981" t="s">
        <v>1825</v>
      </c>
      <c r="P1154" s="3010" t="str">
        <f>'Part VIII-Threshold Criteria'!P204</f>
        <v>Yes</v>
      </c>
      <c r="Q1154" s="3010">
        <f>'Part VIII-Threshold Criteria'!Q204</f>
        <v>0</v>
      </c>
    </row>
    <row r="1155" spans="1:17">
      <c r="A1155" s="3059"/>
      <c r="B1155" s="3006"/>
      <c r="C1155" s="2922"/>
      <c r="D1155" s="2922"/>
      <c r="E1155" s="2922"/>
      <c r="F1155" s="2922"/>
      <c r="H1155" s="2981" t="s">
        <v>1826</v>
      </c>
      <c r="I1155" s="522" t="s">
        <v>1673</v>
      </c>
      <c r="K1155" s="3051" t="str">
        <f>'Part VIII-Threshold Criteria'!K205</f>
        <v>Fort Valley Utility Commission</v>
      </c>
      <c r="L1155" s="3051"/>
      <c r="M1155" s="3051"/>
      <c r="N1155" s="3051"/>
      <c r="O1155" s="2981" t="s">
        <v>1826</v>
      </c>
      <c r="P1155" s="3010" t="str">
        <f>'Part VIII-Threshold Criteria'!P205</f>
        <v>Yes</v>
      </c>
      <c r="Q1155" s="3010">
        <f>'Part VIII-Threshold Criteria'!Q205</f>
        <v>0</v>
      </c>
    </row>
    <row r="1156" spans="1:17">
      <c r="B1156" s="3045" t="s">
        <v>1959</v>
      </c>
      <c r="D1156" s="3045"/>
      <c r="E1156" s="3045"/>
      <c r="F1156" s="3045"/>
      <c r="G1156" s="3045"/>
      <c r="J1156" s="3006"/>
      <c r="K1156" s="3006"/>
      <c r="L1156" s="2905"/>
      <c r="M1156" s="2905"/>
      <c r="N1156" s="2905"/>
      <c r="O1156" s="2905"/>
      <c r="P1156" s="2905"/>
      <c r="Q1156" s="2905"/>
    </row>
    <row r="1157" spans="1:17">
      <c r="A1157" s="2947" t="str">
        <f>'Part VIII-Threshold Criteria'!A207</f>
        <v>Operating utilities letter included in Tab 11</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1960</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2798</v>
      </c>
      <c r="C1161" s="524"/>
      <c r="D1161" s="3005"/>
      <c r="E1161" s="3005"/>
      <c r="F1161" s="3005"/>
      <c r="G1161" s="3014"/>
      <c r="H1161" s="3014"/>
      <c r="I1161" s="3014"/>
      <c r="J1161" s="3014"/>
      <c r="K1161" s="3014"/>
      <c r="L1161" s="3014"/>
      <c r="M1161" s="3014"/>
      <c r="O1161" s="3007" t="s">
        <v>1961</v>
      </c>
      <c r="P1161" s="2911">
        <f>'Part VIII-Threshold Criteria'!P211</f>
        <v>0</v>
      </c>
      <c r="Q1161" s="2911"/>
    </row>
    <row r="1163" spans="1:17">
      <c r="B1163" s="3008" t="s">
        <v>2081</v>
      </c>
      <c r="C1163" s="3070" t="s">
        <v>1825</v>
      </c>
      <c r="D1163" s="3071" t="s">
        <v>538</v>
      </c>
      <c r="E1163" s="3071"/>
      <c r="F1163" s="3071"/>
      <c r="G1163" s="3071"/>
      <c r="H1163" s="3071"/>
      <c r="I1163" s="3071"/>
      <c r="J1163" s="3071"/>
      <c r="K1163" s="3071"/>
      <c r="L1163" s="3071"/>
      <c r="M1163" s="3071"/>
      <c r="N1163" s="3071"/>
      <c r="O1163" s="3056" t="s">
        <v>1562</v>
      </c>
      <c r="P1163" s="3010" t="str">
        <f>'Part VIII-Threshold Criteria'!P213</f>
        <v>No</v>
      </c>
      <c r="Q1163" s="3010">
        <f>'Part VIII-Threshold Criteria'!Q213</f>
        <v>0</v>
      </c>
    </row>
    <row r="1164" spans="1:17">
      <c r="B1164" s="3008"/>
      <c r="C1164" s="3070" t="s">
        <v>1826</v>
      </c>
      <c r="D1164" s="3071" t="s">
        <v>1542</v>
      </c>
      <c r="E1164" s="3071"/>
      <c r="F1164" s="3071"/>
      <c r="G1164" s="3071"/>
      <c r="H1164" s="3071"/>
      <c r="I1164" s="3071"/>
      <c r="J1164" s="3071"/>
      <c r="K1164" s="3071"/>
      <c r="L1164" s="3071"/>
      <c r="M1164" s="3071"/>
      <c r="N1164" s="3071"/>
      <c r="O1164" s="3056" t="s">
        <v>1826</v>
      </c>
      <c r="P1164" s="3010">
        <f>'Part VIII-Threshold Criteria'!P214</f>
        <v>0</v>
      </c>
      <c r="Q1164" s="3010">
        <f>'Part VIII-Threshold Criteria'!Q214</f>
        <v>0</v>
      </c>
    </row>
    <row r="1165" spans="1:17">
      <c r="A1165" s="3059"/>
      <c r="B1165" s="3008" t="s">
        <v>2084</v>
      </c>
      <c r="C1165" s="2947" t="s">
        <v>1942</v>
      </c>
      <c r="D1165" s="2947"/>
      <c r="E1165" s="2947"/>
      <c r="F1165" s="2947"/>
      <c r="G1165" s="2947"/>
      <c r="H1165" s="2981" t="s">
        <v>1825</v>
      </c>
      <c r="I1165" s="522" t="s">
        <v>666</v>
      </c>
      <c r="K1165" s="3051" t="str">
        <f>'Part VIII-Threshold Criteria'!K215</f>
        <v>Fort Valley Utility Commission</v>
      </c>
      <c r="L1165" s="3051"/>
      <c r="M1165" s="3051"/>
      <c r="N1165" s="3051"/>
      <c r="O1165" s="2981" t="s">
        <v>1520</v>
      </c>
      <c r="P1165" s="3010" t="str">
        <f>'Part VIII-Threshold Criteria'!P215</f>
        <v>Yes</v>
      </c>
      <c r="Q1165" s="3010">
        <f>'Part VIII-Threshold Criteria'!Q215</f>
        <v>0</v>
      </c>
    </row>
    <row r="1166" spans="1:17">
      <c r="A1166" s="3059"/>
      <c r="B1166" s="2899"/>
      <c r="C1166" s="2947"/>
      <c r="D1166" s="2947"/>
      <c r="E1166" s="2947"/>
      <c r="F1166" s="2947"/>
      <c r="G1166" s="2947"/>
      <c r="H1166" s="2981" t="s">
        <v>1826</v>
      </c>
      <c r="I1166" s="522" t="s">
        <v>118</v>
      </c>
      <c r="K1166" s="3051" t="str">
        <f>'Part VIII-Threshold Criteria'!K216</f>
        <v>Fort Valley Utility Commission</v>
      </c>
      <c r="L1166" s="3051"/>
      <c r="M1166" s="3051"/>
      <c r="N1166" s="3051"/>
      <c r="O1166" s="2981" t="s">
        <v>1826</v>
      </c>
      <c r="P1166" s="3010" t="str">
        <f>'Part VIII-Threshold Criteria'!P216</f>
        <v>Yes</v>
      </c>
      <c r="Q1166" s="3010">
        <f>'Part VIII-Threshold Criteria'!Q216</f>
        <v>0</v>
      </c>
    </row>
    <row r="1167" spans="1:17">
      <c r="B1167" s="3045" t="s">
        <v>1959</v>
      </c>
      <c r="D1167" s="3045"/>
      <c r="E1167" s="3045"/>
      <c r="F1167" s="3045"/>
      <c r="G1167" s="3045"/>
      <c r="H1167" s="3009"/>
      <c r="I1167" s="3006"/>
      <c r="J1167" s="3006"/>
      <c r="K1167" s="3006"/>
      <c r="L1167" s="2905"/>
      <c r="M1167" s="2905"/>
      <c r="N1167" s="2905"/>
      <c r="O1167" s="2905"/>
      <c r="P1167" s="2905"/>
      <c r="Q1167" s="2905"/>
    </row>
    <row r="1168" spans="1:17">
      <c r="A1168" s="2947" t="str">
        <f>'Part VIII-Threshold Criteria'!A218</f>
        <v>Water &amp; sewer letter included in Tab 12</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1960</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2799</v>
      </c>
      <c r="C1172" s="524"/>
      <c r="D1172" s="3005"/>
      <c r="E1172" s="3005"/>
      <c r="F1172" s="3005"/>
      <c r="G1172" s="3005"/>
      <c r="H1172" s="3014"/>
      <c r="I1172" s="3014"/>
      <c r="J1172" s="3014"/>
      <c r="K1172" s="3014"/>
      <c r="L1172" s="3014"/>
      <c r="M1172" s="3014"/>
      <c r="O1172" s="3007" t="s">
        <v>1961</v>
      </c>
      <c r="P1172" s="2911">
        <f>'Part VIII-Threshold Criteria'!P222</f>
        <v>0</v>
      </c>
      <c r="Q1172" s="2911"/>
    </row>
    <row r="1173" spans="1:17">
      <c r="B1173" s="505" t="s">
        <v>149</v>
      </c>
    </row>
    <row r="1174" spans="1:17">
      <c r="B1174" s="3011" t="s">
        <v>2081</v>
      </c>
      <c r="C1174" s="522" t="s">
        <v>3329</v>
      </c>
      <c r="D1174" s="521"/>
      <c r="E1174" s="522"/>
      <c r="F1174" s="522"/>
      <c r="G1174" s="522"/>
      <c r="H1174" s="522"/>
      <c r="I1174" s="521"/>
      <c r="J1174" s="521"/>
      <c r="K1174" s="521"/>
      <c r="L1174" s="3069"/>
      <c r="M1174" s="3069"/>
      <c r="O1174" s="3056" t="s">
        <v>2081</v>
      </c>
      <c r="P1174" s="3010" t="str">
        <f>'Part VIII-Threshold Criteria'!P224</f>
        <v>Yes</v>
      </c>
      <c r="Q1174" s="3010">
        <f>'Part VIII-Threshold Criteria'!Q224</f>
        <v>0</v>
      </c>
    </row>
    <row r="1175" spans="1:17" ht="12.75" customHeight="1">
      <c r="B1175" s="3011"/>
      <c r="C1175" s="522"/>
      <c r="D1175" s="522" t="s">
        <v>3299</v>
      </c>
      <c r="E1175" s="522"/>
      <c r="F1175" s="522"/>
      <c r="G1175" s="3072">
        <f>'Part VIII-Threshold Criteria'!G225</f>
        <v>42067</v>
      </c>
      <c r="H1175" s="3072"/>
      <c r="L1175" s="3073" t="s">
        <v>4367</v>
      </c>
      <c r="M1175" s="3072">
        <f>'Part VIII-Threshold Criteria'!M225</f>
        <v>0</v>
      </c>
      <c r="N1175" s="3072"/>
    </row>
    <row r="1176" spans="1:17">
      <c r="B1176" s="3011"/>
      <c r="C1176" s="522"/>
      <c r="D1176" s="505" t="s">
        <v>3301</v>
      </c>
      <c r="E1176" s="522"/>
      <c r="F1176" s="522"/>
      <c r="G1176" s="3051" t="str">
        <f>'Part VIII-Threshold Criteria'!G226</f>
        <v>The Leader-Tribune</v>
      </c>
      <c r="H1176" s="3051"/>
      <c r="I1176" s="3051"/>
      <c r="J1176" s="3051"/>
      <c r="K1176" s="3051"/>
      <c r="L1176" s="3073"/>
      <c r="M1176" s="3051">
        <f>'Part VIII-Threshold Criteria'!M226</f>
        <v>0</v>
      </c>
      <c r="N1176" s="3051"/>
      <c r="O1176" s="3051"/>
      <c r="P1176" s="3051"/>
      <c r="Q1176" s="3051"/>
    </row>
    <row r="1177" spans="1:17">
      <c r="B1177" s="3011"/>
      <c r="C1177" s="522"/>
      <c r="D1177" s="522" t="s">
        <v>3300</v>
      </c>
      <c r="E1177" s="521"/>
      <c r="G1177" s="3072">
        <f>'Part VIII-Threshold Criteria'!G227</f>
        <v>42082</v>
      </c>
      <c r="H1177" s="3072"/>
      <c r="I1177" s="522"/>
      <c r="J1177" s="521"/>
      <c r="K1177" s="521"/>
      <c r="L1177" s="3073"/>
      <c r="M1177" s="3072">
        <f>'Part VIII-Threshold Criteria'!M227</f>
        <v>0</v>
      </c>
      <c r="N1177" s="3072"/>
    </row>
    <row r="1178" spans="1:17">
      <c r="B1178" s="3011" t="s">
        <v>2084</v>
      </c>
      <c r="C1178" s="522" t="s">
        <v>4364</v>
      </c>
      <c r="D1178" s="522"/>
      <c r="E1178" s="522"/>
      <c r="F1178" s="522"/>
      <c r="G1178" s="522"/>
      <c r="H1178" s="522"/>
      <c r="I1178" s="521"/>
      <c r="J1178" s="521"/>
      <c r="K1178" s="521"/>
      <c r="L1178" s="3046"/>
      <c r="M1178" s="3046"/>
      <c r="O1178" s="3056" t="s">
        <v>2084</v>
      </c>
      <c r="P1178" s="3010" t="str">
        <f>'Part VIII-Threshold Criteria'!P228</f>
        <v>Yes</v>
      </c>
      <c r="Q1178" s="3010">
        <f>'Part VIII-Threshold Criteria'!Q228</f>
        <v>0</v>
      </c>
    </row>
    <row r="1179" spans="1:17">
      <c r="B1179" s="3011" t="s">
        <v>789</v>
      </c>
      <c r="C1179" s="522" t="s">
        <v>4365</v>
      </c>
      <c r="D1179" s="522"/>
      <c r="E1179" s="522"/>
      <c r="F1179" s="522"/>
      <c r="G1179" s="522"/>
      <c r="H1179" s="522"/>
      <c r="I1179" s="521"/>
      <c r="J1179" s="521"/>
      <c r="K1179" s="521"/>
      <c r="L1179" s="3046"/>
      <c r="M1179" s="3046"/>
      <c r="O1179" s="3056" t="s">
        <v>789</v>
      </c>
      <c r="P1179" s="3010" t="str">
        <f>'Part VIII-Threshold Criteria'!P229</f>
        <v>Yes</v>
      </c>
      <c r="Q1179" s="3010">
        <f>'Part VIII-Threshold Criteria'!Q229</f>
        <v>0</v>
      </c>
    </row>
    <row r="1180" spans="1:17">
      <c r="B1180" s="3011" t="s">
        <v>2216</v>
      </c>
      <c r="C1180" s="522" t="s">
        <v>4177</v>
      </c>
      <c r="D1180" s="522"/>
      <c r="E1180" s="522"/>
      <c r="F1180" s="522"/>
      <c r="G1180" s="522"/>
      <c r="H1180" s="522"/>
      <c r="I1180" s="521"/>
      <c r="J1180" s="521"/>
      <c r="K1180" s="521"/>
      <c r="L1180" s="3069"/>
      <c r="M1180" s="3069"/>
      <c r="O1180" s="2981" t="s">
        <v>2216</v>
      </c>
      <c r="P1180" s="3010" t="str">
        <f>'Part VIII-Threshold Criteria'!P230</f>
        <v>Yes</v>
      </c>
      <c r="Q1180" s="3010">
        <f>'Part VIII-Threshold Criteria'!Q230</f>
        <v>0</v>
      </c>
    </row>
    <row r="1181" spans="1:17">
      <c r="B1181" s="3011" t="s">
        <v>1823</v>
      </c>
      <c r="C1181" s="522" t="s">
        <v>150</v>
      </c>
      <c r="D1181" s="522"/>
      <c r="E1181" s="522"/>
      <c r="F1181" s="522"/>
      <c r="G1181" s="522"/>
      <c r="H1181" s="522"/>
      <c r="I1181" s="521"/>
      <c r="J1181" s="521"/>
      <c r="K1181" s="521"/>
      <c r="L1181" s="521"/>
      <c r="M1181" s="521"/>
      <c r="O1181" s="2981" t="s">
        <v>1823</v>
      </c>
      <c r="P1181" s="3010" t="str">
        <f>'Part VIII-Threshold Criteria'!P231</f>
        <v>Yes</v>
      </c>
      <c r="Q1181" s="3010">
        <f>'Part VIII-Threshold Criteria'!Q231</f>
        <v>0</v>
      </c>
    </row>
    <row r="1182" spans="1:17">
      <c r="B1182" s="3045" t="s">
        <v>1959</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Evidence of meeting, support resolution from the City of Fort Valley, and letters of support from Mayor Williams, State Senator Kennedy and State Representative Bentley, included Tab 13.</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1960</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2800</v>
      </c>
      <c r="C1188" s="3042"/>
      <c r="D1188" s="3014"/>
      <c r="E1188" s="3014"/>
      <c r="F1188" s="3014"/>
      <c r="G1188" s="3014"/>
      <c r="H1188" s="3014"/>
      <c r="I1188" s="3014"/>
      <c r="J1188" s="3014"/>
      <c r="K1188" s="3014"/>
      <c r="L1188" s="3014"/>
      <c r="M1188" s="3014"/>
      <c r="O1188" s="3007" t="s">
        <v>1961</v>
      </c>
      <c r="P1188" s="2911">
        <f>'Part VIII-Threshold Criteria'!P238</f>
        <v>0</v>
      </c>
      <c r="Q1188" s="2911"/>
    </row>
    <row r="1189" spans="1:17">
      <c r="B1189" s="505" t="s">
        <v>1248</v>
      </c>
      <c r="N1189" s="2887"/>
      <c r="P1189" s="3010" t="str">
        <f>'Part VIII-Threshold Criteria'!P239</f>
        <v>Yes</v>
      </c>
      <c r="Q1189" s="3010">
        <f>'Part VIII-Threshold Criteria'!Q239</f>
        <v>0</v>
      </c>
    </row>
    <row r="1190" spans="1:17">
      <c r="B1190" s="3011" t="s">
        <v>2081</v>
      </c>
      <c r="C1190" s="3005" t="s">
        <v>1447</v>
      </c>
      <c r="D1190" s="521"/>
      <c r="E1190" s="521"/>
      <c r="F1190" s="521"/>
      <c r="G1190" s="521"/>
      <c r="H1190" s="521"/>
      <c r="I1190" s="521"/>
      <c r="J1190" s="521"/>
      <c r="K1190" s="521"/>
      <c r="L1190" s="521"/>
      <c r="M1190" s="521"/>
    </row>
    <row r="1191" spans="1:17">
      <c r="B1191" s="3011"/>
      <c r="C1191" s="2981" t="s">
        <v>1825</v>
      </c>
      <c r="D1191" s="522" t="s">
        <v>2028</v>
      </c>
      <c r="E1191" s="522"/>
      <c r="F1191" s="522"/>
      <c r="G1191" s="522"/>
      <c r="H1191" s="522"/>
      <c r="I1191" s="521"/>
      <c r="K1191" s="2981" t="s">
        <v>1562</v>
      </c>
      <c r="L1191" s="3051" t="str">
        <f>'Part VIII-Threshold Criteria'!L241</f>
        <v>Building</v>
      </c>
      <c r="M1191" s="3051"/>
      <c r="Q1191" s="3010">
        <f>'Part VIII-Threshold Criteria'!Q241</f>
        <v>0</v>
      </c>
    </row>
    <row r="1192" spans="1:17" ht="13.5">
      <c r="B1192" s="3011"/>
      <c r="C1192" s="2981" t="s">
        <v>1826</v>
      </c>
      <c r="D1192" s="3009" t="s">
        <v>2897</v>
      </c>
      <c r="E1192" s="3009"/>
      <c r="F1192" s="3009"/>
      <c r="G1192" s="3009"/>
      <c r="H1192" s="3009"/>
      <c r="I1192" s="521"/>
      <c r="K1192" s="2981" t="s">
        <v>1563</v>
      </c>
      <c r="L1192" s="3051" t="str">
        <f>'Part VIII-Threshold Criteria'!L242</f>
        <v>Gazebo</v>
      </c>
      <c r="M1192" s="3051"/>
      <c r="N1192" s="3074">
        <f>'Part VIII-Threshold Criteria'!N242</f>
        <v>0</v>
      </c>
      <c r="O1192" s="3074"/>
      <c r="P1192" s="3074"/>
      <c r="Q1192" s="3010">
        <f>'Part VIII-Threshold Criteria'!Q242</f>
        <v>0</v>
      </c>
    </row>
    <row r="1193" spans="1:17">
      <c r="B1193" s="3011"/>
      <c r="C1193" s="2981" t="s">
        <v>1827</v>
      </c>
      <c r="D1193" s="3009" t="s">
        <v>582</v>
      </c>
      <c r="E1193" s="3009"/>
      <c r="F1193" s="3009"/>
      <c r="G1193" s="3009"/>
      <c r="H1193" s="3009"/>
      <c r="I1193" s="521"/>
      <c r="K1193" s="2981" t="s">
        <v>1564</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2084</v>
      </c>
      <c r="C1195" s="3005" t="s">
        <v>2635</v>
      </c>
      <c r="D1195" s="522"/>
      <c r="E1195" s="522"/>
      <c r="F1195" s="522"/>
      <c r="G1195" s="522"/>
      <c r="H1195" s="522"/>
      <c r="I1195" s="522"/>
      <c r="J1195" s="522"/>
      <c r="K1195" s="521"/>
      <c r="L1195" s="521"/>
      <c r="M1195" s="521"/>
      <c r="N1195" s="521"/>
      <c r="O1195" s="2981" t="s">
        <v>2084</v>
      </c>
      <c r="P1195" s="3010" t="str">
        <f>'Part VIII-Threshold Criteria'!P245</f>
        <v>Agree</v>
      </c>
      <c r="Q1195" s="3010">
        <f>'Part VIII-Threshold Criteria'!Q245</f>
        <v>0</v>
      </c>
    </row>
    <row r="1196" spans="1:17">
      <c r="B1196" s="3011"/>
      <c r="C1196" s="522" t="s">
        <v>4589</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814</v>
      </c>
      <c r="J1197" s="2696" t="s">
        <v>815</v>
      </c>
      <c r="L1197" s="522" t="s">
        <v>2898</v>
      </c>
      <c r="M1197" s="521"/>
      <c r="N1197" s="521"/>
      <c r="O1197" s="2766"/>
      <c r="P1197" s="2854" t="s">
        <v>814</v>
      </c>
      <c r="Q1197" s="2696" t="s">
        <v>815</v>
      </c>
    </row>
    <row r="1198" spans="1:17">
      <c r="A1198" s="521"/>
      <c r="B1198" s="3010"/>
      <c r="C1198" s="2981" t="s">
        <v>1825</v>
      </c>
      <c r="D1198" s="2947" t="str">
        <f>'Part VIII-Threshold Criteria'!D248</f>
        <v>Equipped playground</v>
      </c>
      <c r="E1198" s="2947"/>
      <c r="F1198" s="2947"/>
      <c r="G1198" s="2947"/>
      <c r="H1198" s="2947"/>
      <c r="I1198" s="3010">
        <f>'Part VIII-Threshold Criteria'!I248</f>
        <v>0</v>
      </c>
      <c r="J1198" s="3010">
        <f>'Part VIII-Threshold Criteria'!J248</f>
        <v>0</v>
      </c>
      <c r="K1198" s="2981" t="s">
        <v>1827</v>
      </c>
      <c r="L1198" s="2947" t="str">
        <f>'Part VIII-Threshold Criteria'!L248</f>
        <v>Arts &amp; Craft Activity Center</v>
      </c>
      <c r="M1198" s="2947"/>
      <c r="N1198" s="2947"/>
      <c r="O1198" s="2947"/>
      <c r="P1198" s="3010">
        <f>'Part VIII-Threshold Criteria'!P248</f>
        <v>0</v>
      </c>
      <c r="Q1198" s="3010">
        <f>'Part VIII-Threshold Criteria'!Q248</f>
        <v>0</v>
      </c>
    </row>
    <row r="1199" spans="1:17">
      <c r="A1199" s="521"/>
      <c r="B1199" s="3010"/>
      <c r="C1199" s="2981" t="s">
        <v>1826</v>
      </c>
      <c r="D1199" s="2947" t="str">
        <f>'Part VIII-Threshold Criteria'!D249</f>
        <v>Equipped computer center</v>
      </c>
      <c r="E1199" s="2947"/>
      <c r="F1199" s="2947"/>
      <c r="G1199" s="2947"/>
      <c r="H1199" s="2947"/>
      <c r="I1199" s="3010">
        <f>'Part VIII-Threshold Criteria'!I249</f>
        <v>0</v>
      </c>
      <c r="J1199" s="3010">
        <f>'Part VIII-Threshold Criteria'!J249</f>
        <v>0</v>
      </c>
      <c r="K1199" s="2981" t="s">
        <v>2477</v>
      </c>
      <c r="L1199" s="2947" t="str">
        <f>'Part VIII-Threshold Criteria'!L249</f>
        <v>Covered Pavilion with Picnic/Barbecue Facilities</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789</v>
      </c>
      <c r="C1201" s="3005" t="s">
        <v>1448</v>
      </c>
      <c r="D1201" s="522"/>
      <c r="E1201" s="522"/>
      <c r="F1201" s="522"/>
      <c r="G1201" s="522"/>
      <c r="H1201" s="522"/>
      <c r="I1201" s="522"/>
      <c r="J1201" s="522"/>
      <c r="K1201" s="521"/>
      <c r="L1201" s="522"/>
      <c r="M1201" s="522"/>
      <c r="O1201" s="2981" t="s">
        <v>789</v>
      </c>
      <c r="P1201" s="3010" t="str">
        <f>'Part VIII-Threshold Criteria'!P251</f>
        <v>Agree</v>
      </c>
      <c r="Q1201" s="3010">
        <f>'Part VIII-Threshold Criteria'!Q251</f>
        <v>0</v>
      </c>
    </row>
    <row r="1202" spans="1:17">
      <c r="B1202" s="3011"/>
      <c r="C1202" s="2981" t="s">
        <v>1825</v>
      </c>
      <c r="D1202" s="522" t="s">
        <v>4092</v>
      </c>
      <c r="E1202" s="522"/>
      <c r="F1202" s="522"/>
      <c r="G1202" s="522"/>
      <c r="H1202" s="522"/>
      <c r="I1202" s="521"/>
      <c r="J1202" s="521"/>
      <c r="K1202" s="521"/>
      <c r="L1202" s="521"/>
      <c r="M1202" s="521"/>
      <c r="O1202" s="2981" t="s">
        <v>1825</v>
      </c>
      <c r="P1202" s="3010" t="str">
        <f>'Part VIII-Threshold Criteria'!P252</f>
        <v>Yes</v>
      </c>
      <c r="Q1202" s="3010">
        <f>'Part VIII-Threshold Criteria'!Q252</f>
        <v>0</v>
      </c>
    </row>
    <row r="1203" spans="1:17">
      <c r="C1203" s="2981" t="s">
        <v>1826</v>
      </c>
      <c r="D1203" s="3009" t="s">
        <v>3118</v>
      </c>
      <c r="E1203" s="3009"/>
      <c r="F1203" s="3009"/>
      <c r="G1203" s="3009"/>
      <c r="H1203" s="3009"/>
      <c r="I1203" s="521"/>
      <c r="J1203" s="521"/>
      <c r="K1203" s="521"/>
      <c r="L1203" s="521"/>
      <c r="M1203" s="521"/>
      <c r="O1203" s="2981" t="s">
        <v>1826</v>
      </c>
      <c r="P1203" s="3010" t="str">
        <f>'Part VIII-Threshold Criteria'!P253</f>
        <v>Yes</v>
      </c>
      <c r="Q1203" s="3010">
        <f>'Part VIII-Threshold Criteria'!Q253</f>
        <v>0</v>
      </c>
    </row>
    <row r="1204" spans="1:17">
      <c r="C1204" s="2981" t="s">
        <v>1827</v>
      </c>
      <c r="D1204" s="3009" t="s">
        <v>3119</v>
      </c>
      <c r="E1204" s="3009"/>
      <c r="F1204" s="3009"/>
      <c r="G1204" s="3009"/>
      <c r="H1204" s="3009"/>
      <c r="I1204" s="521"/>
      <c r="J1204" s="521"/>
      <c r="K1204" s="521"/>
      <c r="L1204" s="521"/>
      <c r="M1204" s="521"/>
      <c r="O1204" s="2981" t="s">
        <v>1827</v>
      </c>
      <c r="P1204" s="3010" t="str">
        <f>'Part VIII-Threshold Criteria'!P254</f>
        <v>Yes</v>
      </c>
      <c r="Q1204" s="3010">
        <f>'Part VIII-Threshold Criteria'!Q254</f>
        <v>0</v>
      </c>
    </row>
    <row r="1205" spans="1:17">
      <c r="B1205" s="3011"/>
      <c r="C1205" s="2981" t="s">
        <v>2477</v>
      </c>
      <c r="D1205" s="3009" t="s">
        <v>3120</v>
      </c>
      <c r="E1205" s="3009"/>
      <c r="F1205" s="3009"/>
      <c r="G1205" s="3009"/>
      <c r="H1205" s="3009"/>
      <c r="I1205" s="521"/>
      <c r="J1205" s="521"/>
      <c r="K1205" s="521"/>
      <c r="L1205" s="521"/>
      <c r="M1205" s="521"/>
      <c r="O1205" s="2981" t="s">
        <v>2477</v>
      </c>
      <c r="P1205" s="3010" t="str">
        <f>'Part VIII-Threshold Criteria'!P255</f>
        <v>Yes</v>
      </c>
      <c r="Q1205" s="3010">
        <f>'Part VIII-Threshold Criteria'!Q255</f>
        <v>0</v>
      </c>
    </row>
    <row r="1206" spans="1:17">
      <c r="B1206" s="3011"/>
      <c r="C1206" s="2981" t="s">
        <v>1626</v>
      </c>
      <c r="D1206" s="3009" t="s">
        <v>3121</v>
      </c>
      <c r="E1206" s="3009"/>
      <c r="F1206" s="3009"/>
      <c r="G1206" s="3009"/>
      <c r="H1206" s="3009"/>
      <c r="I1206" s="521"/>
      <c r="J1206" s="521"/>
      <c r="K1206" s="521"/>
      <c r="L1206" s="521"/>
      <c r="M1206" s="521"/>
      <c r="O1206" s="2981" t="s">
        <v>1626</v>
      </c>
      <c r="P1206" s="3010" t="str">
        <f>'Part VIII-Threshold Criteria'!P256</f>
        <v>Yes</v>
      </c>
      <c r="Q1206" s="3010">
        <f>'Part VIII-Threshold Criteria'!Q256</f>
        <v>0</v>
      </c>
    </row>
    <row r="1207" spans="1:17">
      <c r="B1207" s="3011"/>
      <c r="C1207" s="2981" t="s">
        <v>1627</v>
      </c>
      <c r="D1207" s="522" t="s">
        <v>816</v>
      </c>
      <c r="E1207" s="522"/>
      <c r="F1207" s="522"/>
      <c r="G1207" s="522"/>
      <c r="H1207" s="522"/>
      <c r="I1207" s="521"/>
      <c r="J1207" s="521"/>
      <c r="K1207" s="521"/>
      <c r="L1207" s="521"/>
      <c r="M1207" s="521"/>
      <c r="O1207" s="2981" t="s">
        <v>3106</v>
      </c>
      <c r="P1207" s="3010" t="str">
        <f>'Part VIII-Threshold Criteria'!P257</f>
        <v>Yes</v>
      </c>
      <c r="Q1207" s="3010">
        <f>'Part VIII-Threshold Criteria'!Q257</f>
        <v>0</v>
      </c>
    </row>
    <row r="1208" spans="1:17">
      <c r="B1208" s="3011"/>
      <c r="C1208" s="2981"/>
      <c r="D1208" s="522" t="s">
        <v>1565</v>
      </c>
      <c r="E1208" s="522"/>
      <c r="F1208" s="522"/>
      <c r="G1208" s="522"/>
      <c r="H1208" s="522"/>
      <c r="I1208" s="521"/>
      <c r="J1208" s="521"/>
      <c r="K1208" s="521"/>
      <c r="L1208" s="521"/>
      <c r="M1208" s="521"/>
      <c r="O1208" s="2981" t="s">
        <v>3107</v>
      </c>
      <c r="P1208" s="3010">
        <f>'Part VIII-Threshold Criteria'!P258</f>
        <v>0</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2216</v>
      </c>
      <c r="C1210" s="3005" t="s">
        <v>2828</v>
      </c>
      <c r="D1210" s="522"/>
      <c r="E1210" s="522"/>
      <c r="F1210" s="522"/>
      <c r="G1210" s="522"/>
      <c r="H1210" s="522"/>
      <c r="I1210" s="522"/>
      <c r="J1210" s="522"/>
      <c r="K1210" s="521"/>
      <c r="L1210" s="522"/>
      <c r="M1210" s="522"/>
      <c r="O1210" s="2981" t="s">
        <v>2216</v>
      </c>
      <c r="P1210" s="3010">
        <f>'Part VIII-Threshold Criteria'!P260</f>
        <v>0</v>
      </c>
      <c r="Q1210" s="3010">
        <f>'Part VIII-Threshold Criteria'!Q260</f>
        <v>0</v>
      </c>
    </row>
    <row r="1211" spans="1:17">
      <c r="B1211" s="3011"/>
      <c r="C1211" s="2981" t="s">
        <v>1825</v>
      </c>
      <c r="D1211" s="522" t="s">
        <v>1315</v>
      </c>
      <c r="E1211" s="521"/>
      <c r="F1211" s="521"/>
      <c r="G1211" s="522"/>
      <c r="H1211" s="3009"/>
      <c r="I1211" s="521"/>
      <c r="J1211" s="3009"/>
      <c r="K1211" s="521"/>
      <c r="L1211" s="3009"/>
      <c r="M1211" s="3009"/>
      <c r="O1211" s="2981" t="s">
        <v>1825</v>
      </c>
      <c r="P1211" s="3010">
        <f>'Part VIII-Threshold Criteria'!P261</f>
        <v>0</v>
      </c>
      <c r="Q1211" s="3010">
        <f>'Part VIII-Threshold Criteria'!Q261</f>
        <v>0</v>
      </c>
    </row>
    <row r="1212" spans="1:17">
      <c r="B1212" s="3011"/>
      <c r="C1212" s="2981" t="s">
        <v>1826</v>
      </c>
      <c r="D1212" s="522" t="s">
        <v>151</v>
      </c>
      <c r="E1212" s="521"/>
      <c r="F1212" s="521"/>
      <c r="G1212" s="3009"/>
      <c r="H1212" s="3009"/>
      <c r="I1212" s="521"/>
      <c r="J1212" s="3009"/>
      <c r="K1212" s="521"/>
      <c r="L1212" s="3009"/>
      <c r="M1212" s="3009"/>
      <c r="O1212" s="2981" t="s">
        <v>1826</v>
      </c>
      <c r="P1212" s="3010">
        <f>'Part VIII-Threshold Criteria'!P262</f>
        <v>0</v>
      </c>
      <c r="Q1212" s="3010">
        <f>'Part VIII-Threshold Criteria'!Q262</f>
        <v>0</v>
      </c>
    </row>
    <row r="1213" spans="1:17">
      <c r="B1213" s="3011"/>
      <c r="C1213" s="2981" t="s">
        <v>1827</v>
      </c>
      <c r="D1213" s="3009" t="s">
        <v>1720</v>
      </c>
      <c r="E1213" s="521"/>
      <c r="F1213" s="521"/>
      <c r="G1213" s="3009"/>
      <c r="H1213" s="3009"/>
      <c r="I1213" s="521"/>
      <c r="J1213" s="3009"/>
      <c r="K1213" s="521"/>
      <c r="L1213" s="3009"/>
      <c r="M1213" s="3009"/>
      <c r="O1213" s="2981" t="s">
        <v>2483</v>
      </c>
      <c r="P1213" s="3010">
        <f>'Part VIII-Threshold Criteria'!P263</f>
        <v>0</v>
      </c>
      <c r="Q1213" s="3010">
        <f>'Part VIII-Threshold Criteria'!Q263</f>
        <v>0</v>
      </c>
    </row>
    <row r="1214" spans="1:17">
      <c r="B1214" s="522"/>
      <c r="C1214" s="521"/>
      <c r="D1214" s="3009" t="s">
        <v>1350</v>
      </c>
      <c r="E1214" s="521"/>
      <c r="F1214" s="521"/>
      <c r="G1214" s="3009"/>
      <c r="H1214" s="3009"/>
      <c r="I1214" s="521"/>
      <c r="J1214" s="3009"/>
      <c r="K1214" s="521"/>
      <c r="L1214" s="3009"/>
      <c r="M1214" s="3009"/>
      <c r="O1214" s="2981" t="s">
        <v>2484</v>
      </c>
      <c r="P1214" s="3010">
        <f>'Part VIII-Threshold Criteria'!P264</f>
        <v>0</v>
      </c>
      <c r="Q1214" s="3010">
        <f>'Part VIII-Threshold Criteria'!Q264</f>
        <v>0</v>
      </c>
    </row>
    <row r="1215" spans="1:17">
      <c r="B1215" s="3045" t="s">
        <v>1959</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Applicant agrees to all site and unit amenities detailed above.</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1960</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2801</v>
      </c>
      <c r="C1220" s="524"/>
      <c r="D1220" s="3005"/>
      <c r="E1220" s="3005"/>
      <c r="F1220" s="3005"/>
      <c r="G1220" s="3005"/>
      <c r="H1220" s="3014"/>
      <c r="I1220" s="3014"/>
      <c r="J1220" s="3014"/>
      <c r="K1220" s="3014"/>
      <c r="L1220" s="3014"/>
      <c r="M1220" s="3014"/>
      <c r="O1220" s="3007" t="s">
        <v>1961</v>
      </c>
      <c r="P1220" s="2911">
        <f>'Part VIII-Threshold Criteria'!P270</f>
        <v>0</v>
      </c>
      <c r="Q1220" s="2911"/>
    </row>
    <row r="1222" spans="1:17">
      <c r="B1222" s="3011" t="s">
        <v>2081</v>
      </c>
      <c r="C1222" s="522" t="s">
        <v>1328</v>
      </c>
      <c r="D1222" s="521"/>
      <c r="E1222" s="522"/>
      <c r="F1222" s="522"/>
      <c r="G1222" s="522"/>
      <c r="H1222" s="522"/>
      <c r="I1222" s="521"/>
      <c r="J1222" s="521"/>
      <c r="K1222" s="521"/>
      <c r="L1222" s="2981" t="s">
        <v>2081</v>
      </c>
      <c r="M1222" s="3051" t="str">
        <f>'Part VIII-Threshold Criteria'!M272</f>
        <v>Substantial Gut Rehab</v>
      </c>
      <c r="N1222" s="3051"/>
      <c r="O1222" s="3051"/>
      <c r="P1222" s="3051" t="str">
        <f>'Part VIII-Threshold Criteria'!P272</f>
        <v>&lt;&lt;Select&gt;&gt;</v>
      </c>
      <c r="Q1222" s="3051"/>
    </row>
    <row r="1223" spans="1:17">
      <c r="B1223" s="3011" t="s">
        <v>2084</v>
      </c>
      <c r="C1223" s="522" t="s">
        <v>3122</v>
      </c>
      <c r="D1223" s="522"/>
      <c r="E1223" s="522"/>
      <c r="F1223" s="522"/>
      <c r="G1223" s="522"/>
      <c r="H1223" s="522"/>
      <c r="I1223" s="521"/>
      <c r="J1223" s="521"/>
      <c r="K1223" s="521"/>
      <c r="L1223" s="2981" t="s">
        <v>2084</v>
      </c>
      <c r="M1223" s="3051">
        <f>'Part VIII-Threshold Criteria'!M273</f>
        <v>42156</v>
      </c>
      <c r="N1223" s="3051"/>
      <c r="O1223" s="3051"/>
      <c r="P1223" s="3051">
        <f>'Part VIII-Threshold Criteria'!P273</f>
        <v>0</v>
      </c>
      <c r="Q1223" s="3051"/>
    </row>
    <row r="1224" spans="1:17">
      <c r="B1224" s="3011" t="s">
        <v>789</v>
      </c>
      <c r="C1224" s="522" t="s">
        <v>2042</v>
      </c>
      <c r="D1224" s="522"/>
      <c r="E1224" s="522"/>
      <c r="F1224" s="522"/>
      <c r="G1224" s="522"/>
      <c r="H1224" s="522"/>
      <c r="I1224" s="521"/>
      <c r="J1224" s="521"/>
      <c r="K1224" s="521"/>
      <c r="L1224" s="2981" t="s">
        <v>789</v>
      </c>
      <c r="M1224" s="3051" t="str">
        <f>'Part VIII-Threshold Criteria'!M274</f>
        <v>Dominion Due Diligence Group</v>
      </c>
      <c r="N1224" s="3051"/>
      <c r="O1224" s="3051"/>
      <c r="P1224" s="3051">
        <f>'Part VIII-Threshold Criteria'!P274</f>
        <v>0</v>
      </c>
      <c r="Q1224" s="3051"/>
    </row>
    <row r="1225" spans="1:17">
      <c r="B1225" s="3011" t="s">
        <v>2216</v>
      </c>
      <c r="C1225" s="522" t="s">
        <v>2671</v>
      </c>
      <c r="D1225" s="522"/>
      <c r="E1225" s="522"/>
      <c r="F1225" s="522"/>
      <c r="G1225" s="522"/>
      <c r="H1225" s="522"/>
      <c r="I1225" s="521"/>
      <c r="J1225" s="521"/>
      <c r="K1225" s="521"/>
      <c r="L1225" s="521"/>
      <c r="M1225" s="521"/>
      <c r="O1225" s="2981" t="s">
        <v>2216</v>
      </c>
      <c r="P1225" s="3010" t="str">
        <f>'Part VIII-Threshold Criteria'!P275</f>
        <v>Yes</v>
      </c>
      <c r="Q1225" s="3010">
        <f>'Part VIII-Threshold Criteria'!Q275</f>
        <v>0</v>
      </c>
    </row>
    <row r="1226" spans="1:17">
      <c r="B1226" s="3008" t="s">
        <v>1823</v>
      </c>
      <c r="C1226" s="2947" t="s">
        <v>4590</v>
      </c>
      <c r="D1226" s="2947"/>
      <c r="E1226" s="2947"/>
      <c r="F1226" s="2947"/>
      <c r="G1226" s="2947"/>
      <c r="H1226" s="2947"/>
      <c r="I1226" s="2947"/>
      <c r="J1226" s="2947"/>
      <c r="K1226" s="2947"/>
      <c r="L1226" s="2947"/>
      <c r="M1226" s="2947"/>
      <c r="N1226" s="2947"/>
      <c r="O1226" s="3056" t="s">
        <v>1823</v>
      </c>
      <c r="P1226" s="3010" t="str">
        <f>'Part VIII-Threshold Criteria'!P276</f>
        <v>Agree</v>
      </c>
      <c r="Q1226" s="3010">
        <f>'Part VIII-Threshold Criteria'!Q276</f>
        <v>0</v>
      </c>
    </row>
    <row r="1227" spans="1:17">
      <c r="B1227" s="3045" t="s">
        <v>1959</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Applicant agrees to the above.</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1960</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2802</v>
      </c>
      <c r="C1232" s="524"/>
      <c r="D1232" s="3005"/>
      <c r="E1232" s="3005"/>
      <c r="F1232" s="3005"/>
      <c r="G1232" s="3005"/>
      <c r="H1232" s="3014"/>
      <c r="I1232" s="3014"/>
      <c r="J1232" s="3014"/>
      <c r="K1232" s="3014"/>
      <c r="L1232" s="3014"/>
      <c r="M1232" s="3014"/>
      <c r="O1232" s="3007" t="s">
        <v>1961</v>
      </c>
      <c r="P1232" s="2911">
        <f>'Part VIII-Threshold Criteria'!P282</f>
        <v>0</v>
      </c>
      <c r="Q1232" s="2911"/>
    </row>
    <row r="1234" spans="1:17">
      <c r="A1234" s="3055"/>
      <c r="B1234" s="3008" t="s">
        <v>2081</v>
      </c>
      <c r="C1234" s="2947" t="s">
        <v>3123</v>
      </c>
      <c r="D1234" s="2947"/>
      <c r="E1234" s="2947"/>
      <c r="F1234" s="2947"/>
      <c r="G1234" s="2947"/>
      <c r="H1234" s="2947"/>
      <c r="I1234" s="2947"/>
      <c r="J1234" s="2947"/>
      <c r="K1234" s="2947"/>
      <c r="L1234" s="2947"/>
      <c r="M1234" s="2947"/>
      <c r="N1234" s="2947"/>
      <c r="O1234" s="3056" t="s">
        <v>2081</v>
      </c>
      <c r="P1234" s="3010" t="str">
        <f>'Part VIII-Threshold Criteria'!P284</f>
        <v>Yes</v>
      </c>
      <c r="Q1234" s="3010">
        <f>'Part VIII-Threshold Criteria'!Q284</f>
        <v>0</v>
      </c>
    </row>
    <row r="1235" spans="1:17">
      <c r="B1235" s="3011" t="s">
        <v>2084</v>
      </c>
      <c r="C1235" s="522" t="s">
        <v>1474</v>
      </c>
      <c r="D1235" s="522"/>
      <c r="E1235" s="522"/>
      <c r="F1235" s="522"/>
      <c r="G1235" s="522"/>
      <c r="H1235" s="522"/>
      <c r="I1235" s="522"/>
      <c r="J1235" s="522"/>
      <c r="K1235" s="522"/>
      <c r="L1235" s="522"/>
      <c r="M1235" s="522"/>
      <c r="O1235" s="2981" t="s">
        <v>2084</v>
      </c>
      <c r="P1235" s="3010" t="str">
        <f>'Part VIII-Threshold Criteria'!P285</f>
        <v>Yes</v>
      </c>
      <c r="Q1235" s="3010">
        <f>'Part VIII-Threshold Criteria'!Q285</f>
        <v>0</v>
      </c>
    </row>
    <row r="1236" spans="1:17">
      <c r="B1236" s="3045" t="s">
        <v>1959</v>
      </c>
      <c r="D1236" s="3045"/>
      <c r="E1236" s="3045"/>
      <c r="F1236" s="3045"/>
      <c r="G1236" s="3045"/>
      <c r="H1236" s="3009"/>
      <c r="I1236" s="3006"/>
      <c r="J1236" s="3006"/>
      <c r="K1236" s="3006"/>
      <c r="L1236" s="2905"/>
      <c r="M1236" s="2905"/>
      <c r="N1236" s="2905"/>
      <c r="O1236" s="2905"/>
      <c r="P1236" s="2905"/>
      <c r="Q1236" s="2905"/>
    </row>
    <row r="1237" spans="1:17">
      <c r="A1237" s="2947" t="str">
        <f>'Part VIII-Threshold Criteria'!A287</f>
        <v>Conceptual site development plan and other site information included in Tab 16</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1960</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2803</v>
      </c>
      <c r="C1241" s="2884"/>
      <c r="D1241" s="3014"/>
      <c r="E1241" s="3014"/>
      <c r="F1241" s="3014"/>
      <c r="G1241" s="3014"/>
      <c r="H1241" s="3014"/>
      <c r="I1241" s="3014"/>
      <c r="J1241" s="3014"/>
      <c r="K1241" s="3014"/>
      <c r="L1241" s="3014"/>
      <c r="M1241" s="3014"/>
      <c r="O1241" s="3007" t="s">
        <v>1961</v>
      </c>
      <c r="P1241" s="2911">
        <f>'Part VIII-Threshold Criteria'!P291</f>
        <v>0</v>
      </c>
      <c r="Q1241" s="2911"/>
    </row>
    <row r="1243" spans="1:17">
      <c r="A1243" s="3055"/>
      <c r="B1243" s="3008" t="s">
        <v>2081</v>
      </c>
      <c r="C1243" s="3076" t="s">
        <v>3124</v>
      </c>
      <c r="D1243" s="3077"/>
      <c r="E1243" s="3077"/>
      <c r="F1243" s="3077"/>
      <c r="G1243" s="3077"/>
      <c r="H1243" s="3077"/>
      <c r="I1243" s="3077"/>
      <c r="J1243" s="3077"/>
      <c r="K1243" s="3077"/>
      <c r="L1243" s="3077"/>
      <c r="M1243" s="3077"/>
      <c r="N1243" s="3077"/>
      <c r="O1243" s="3056" t="s">
        <v>2081</v>
      </c>
      <c r="P1243" s="3010" t="str">
        <f>'Part VIII-Threshold Criteria'!P293</f>
        <v>Agree</v>
      </c>
      <c r="Q1243" s="3010">
        <f>'Part VIII-Threshold Criteria'!Q293</f>
        <v>0</v>
      </c>
    </row>
    <row r="1244" spans="1:17">
      <c r="A1244" s="3055"/>
      <c r="B1244" s="3008" t="s">
        <v>2084</v>
      </c>
      <c r="C1244" s="3076" t="s">
        <v>3125</v>
      </c>
      <c r="D1244" s="3077"/>
      <c r="E1244" s="3077"/>
      <c r="F1244" s="3077"/>
      <c r="G1244" s="3077"/>
      <c r="H1244" s="3077"/>
      <c r="I1244" s="3077"/>
      <c r="J1244" s="3077"/>
      <c r="K1244" s="3077"/>
      <c r="L1244" s="3077"/>
      <c r="M1244" s="3077"/>
      <c r="N1244" s="3077"/>
      <c r="O1244" s="3056" t="s">
        <v>2084</v>
      </c>
      <c r="P1244" s="3010" t="str">
        <f>'Part VIII-Threshold Criteria'!P294</f>
        <v>Agree</v>
      </c>
      <c r="Q1244" s="3010">
        <f>'Part VIII-Threshold Criteria'!Q294</f>
        <v>0</v>
      </c>
    </row>
    <row r="1245" spans="1:17">
      <c r="B1245" s="3045" t="s">
        <v>1959</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Applicant agrees to all of the above.</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1960</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2804</v>
      </c>
      <c r="C1250" s="3078"/>
      <c r="D1250" s="3079"/>
      <c r="E1250" s="3014"/>
      <c r="F1250" s="3014"/>
      <c r="G1250" s="3014"/>
      <c r="H1250" s="3014"/>
      <c r="I1250" s="3014"/>
      <c r="J1250" s="3014"/>
      <c r="K1250" s="3014"/>
      <c r="L1250" s="3014"/>
      <c r="M1250" s="3014"/>
      <c r="O1250" s="3007" t="s">
        <v>1961</v>
      </c>
      <c r="P1250" s="2911">
        <f>'Part VIII-Threshold Criteria'!P300</f>
        <v>0</v>
      </c>
      <c r="Q1250" s="2911"/>
    </row>
    <row r="1251" spans="1:17">
      <c r="B1251" s="3008" t="s">
        <v>2081</v>
      </c>
      <c r="C1251" s="3056" t="s">
        <v>1825</v>
      </c>
      <c r="D1251" s="3076" t="s">
        <v>4178</v>
      </c>
      <c r="E1251" s="3076"/>
      <c r="F1251" s="3076"/>
      <c r="G1251" s="3076"/>
      <c r="H1251" s="3076"/>
      <c r="I1251" s="3076"/>
      <c r="J1251" s="3076"/>
      <c r="K1251" s="3076"/>
      <c r="L1251" s="3076"/>
      <c r="M1251" s="3076"/>
      <c r="N1251" s="3076"/>
      <c r="O1251" s="3056" t="s">
        <v>2901</v>
      </c>
      <c r="P1251" s="3010" t="str">
        <f>'Part VIII-Threshold Criteria'!P301</f>
        <v>Yes</v>
      </c>
      <c r="Q1251" s="3010">
        <f>'Part VIII-Threshold Criteria'!Q301</f>
        <v>0</v>
      </c>
    </row>
    <row r="1252" spans="1:17">
      <c r="A1252" s="3055"/>
      <c r="B1252" s="3008"/>
      <c r="C1252" s="3056" t="s">
        <v>1826</v>
      </c>
      <c r="D1252" s="3076" t="s">
        <v>4080</v>
      </c>
      <c r="E1252" s="3076"/>
      <c r="F1252" s="3076"/>
      <c r="G1252" s="3076"/>
      <c r="H1252" s="3076"/>
      <c r="I1252" s="3076"/>
      <c r="J1252" s="3076"/>
      <c r="K1252" s="3076"/>
      <c r="L1252" s="3076"/>
      <c r="M1252" s="3076"/>
      <c r="N1252" s="3076"/>
      <c r="O1252" s="3056" t="s">
        <v>1826</v>
      </c>
      <c r="P1252" s="3010" t="str">
        <f>'Part VIII-Threshold Criteria'!P302</f>
        <v>Yes</v>
      </c>
      <c r="Q1252" s="3010">
        <f>'Part VIII-Threshold Criteria'!Q302</f>
        <v>0</v>
      </c>
    </row>
    <row r="1253" spans="1:17">
      <c r="A1253" s="521"/>
      <c r="B1253" s="3011"/>
      <c r="C1253" s="2981" t="s">
        <v>1827</v>
      </c>
      <c r="D1253" s="3080" t="s">
        <v>4078</v>
      </c>
      <c r="E1253" s="3080"/>
      <c r="F1253" s="3080"/>
      <c r="G1253" s="3080"/>
      <c r="H1253" s="3080"/>
      <c r="I1253" s="3080"/>
      <c r="J1253" s="3080"/>
      <c r="K1253" s="3080"/>
      <c r="L1253" s="3080"/>
      <c r="M1253" s="3080"/>
      <c r="N1253" s="3080"/>
      <c r="O1253" s="2981" t="s">
        <v>1827</v>
      </c>
      <c r="P1253" s="3010" t="str">
        <f>'Part VIII-Threshold Criteria'!P303</f>
        <v>Yes</v>
      </c>
      <c r="Q1253" s="3010">
        <f>'Part VIII-Threshold Criteria'!Q303</f>
        <v>0</v>
      </c>
    </row>
    <row r="1254" spans="1:17">
      <c r="A1254" s="521"/>
      <c r="B1254" s="3008" t="s">
        <v>2084</v>
      </c>
      <c r="C1254" s="3056" t="s">
        <v>1825</v>
      </c>
      <c r="D1254" s="3076" t="s">
        <v>2899</v>
      </c>
      <c r="E1254" s="3076"/>
      <c r="F1254" s="3076"/>
      <c r="G1254" s="3076"/>
      <c r="H1254" s="3076"/>
      <c r="I1254" s="3076"/>
      <c r="J1254" s="3076"/>
      <c r="K1254" s="3076"/>
      <c r="L1254" s="3076"/>
      <c r="M1254" s="3076"/>
      <c r="N1254" s="3076"/>
      <c r="O1254" s="2981" t="s">
        <v>2902</v>
      </c>
      <c r="P1254" s="3010" t="str">
        <f>'Part VIII-Threshold Criteria'!P304</f>
        <v>Yes</v>
      </c>
      <c r="Q1254" s="3010">
        <f>'Part VIII-Threshold Criteria'!Q304</f>
        <v>0</v>
      </c>
    </row>
    <row r="1255" spans="1:17">
      <c r="A1255" s="521"/>
      <c r="B1255" s="3008"/>
      <c r="C1255" s="3056" t="s">
        <v>1826</v>
      </c>
      <c r="D1255" s="3076" t="s">
        <v>2900</v>
      </c>
      <c r="E1255" s="3076"/>
      <c r="F1255" s="3076"/>
      <c r="G1255" s="3076"/>
      <c r="H1255" s="3076"/>
      <c r="I1255" s="3076"/>
      <c r="J1255" s="3076"/>
      <c r="K1255" s="3076"/>
      <c r="L1255" s="3076"/>
      <c r="M1255" s="3076"/>
      <c r="N1255" s="3076"/>
      <c r="O1255" s="2981" t="s">
        <v>3126</v>
      </c>
      <c r="P1255" s="3010" t="str">
        <f>'Part VIII-Threshold Criteria'!P305</f>
        <v>Yes</v>
      </c>
      <c r="Q1255" s="3010">
        <f>'Part VIII-Threshold Criteria'!Q305</f>
        <v>0</v>
      </c>
    </row>
    <row r="1256" spans="1:17">
      <c r="A1256" s="3055"/>
      <c r="B1256" s="3008" t="s">
        <v>789</v>
      </c>
      <c r="C1256" s="3056"/>
      <c r="D1256" s="3076" t="s">
        <v>4179</v>
      </c>
      <c r="E1256" s="3076"/>
      <c r="F1256" s="3076"/>
      <c r="G1256" s="3076"/>
      <c r="H1256" s="3076"/>
      <c r="I1256" s="3076"/>
      <c r="J1256" s="3076"/>
      <c r="K1256" s="3076"/>
      <c r="L1256" s="3076"/>
      <c r="M1256" s="3076"/>
      <c r="N1256" s="3076"/>
      <c r="O1256" s="3056" t="s">
        <v>789</v>
      </c>
      <c r="P1256" s="3010" t="str">
        <f>'Part VIII-Threshold Criteria'!P306</f>
        <v>Yes</v>
      </c>
      <c r="Q1256" s="3010">
        <f>'Part VIII-Threshold Criteria'!Q306</f>
        <v>0</v>
      </c>
    </row>
    <row r="1257" spans="1:17">
      <c r="B1257" s="3045" t="s">
        <v>1959</v>
      </c>
      <c r="D1257" s="3045"/>
      <c r="E1257" s="3045"/>
      <c r="F1257" s="3045"/>
      <c r="G1257" s="3045"/>
      <c r="H1257" s="3009"/>
      <c r="I1257" s="3006"/>
      <c r="J1257" s="3006"/>
      <c r="K1257" s="3006"/>
      <c r="L1257" s="2905"/>
      <c r="M1257" s="2905"/>
      <c r="N1257" s="2905"/>
      <c r="O1257" s="2905"/>
      <c r="P1257" s="2905"/>
      <c r="Q1257" s="2905"/>
    </row>
    <row r="1258" spans="1:17">
      <c r="A1258" s="2947" t="str">
        <f>'Part VIII-Threshold Criteria'!A308</f>
        <v>Applicant agrees to all of the above</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1960</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2805</v>
      </c>
      <c r="C1261" s="524"/>
      <c r="D1261" s="524"/>
      <c r="E1261" s="524"/>
      <c r="F1261" s="524"/>
      <c r="G1261" s="524"/>
      <c r="H1261" s="3014"/>
      <c r="I1261" s="3014"/>
      <c r="J1261" s="3014"/>
      <c r="K1261" s="3014"/>
      <c r="L1261" s="3014"/>
      <c r="M1261" s="3014"/>
      <c r="O1261" s="3007" t="s">
        <v>1961</v>
      </c>
      <c r="P1261" s="2911">
        <f>'Part VIII-Threshold Criteria'!P311</f>
        <v>0</v>
      </c>
      <c r="Q1261" s="2911"/>
    </row>
    <row r="1262" spans="1:17">
      <c r="B1262" s="505" t="s">
        <v>2361</v>
      </c>
      <c r="P1262" s="3010" t="str">
        <f>'Part VIII-Threshold Criteria'!P312</f>
        <v>Yes</v>
      </c>
      <c r="Q1262" s="3010">
        <f>'Part VIII-Threshold Criteria'!Q312</f>
        <v>0</v>
      </c>
    </row>
    <row r="1263" spans="1:17">
      <c r="B1263" s="3069" t="s">
        <v>2316</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2081</v>
      </c>
      <c r="C1264" s="3042" t="s">
        <v>4591</v>
      </c>
      <c r="D1264" s="3009"/>
      <c r="E1264" s="3009"/>
      <c r="F1264" s="3009"/>
      <c r="G1264" s="3009"/>
      <c r="H1264" s="3009"/>
      <c r="I1264" s="3009"/>
      <c r="J1264" s="3009"/>
      <c r="K1264" s="3009"/>
      <c r="L1264" s="3009"/>
      <c r="M1264" s="3009"/>
      <c r="N1264" s="3056"/>
    </row>
    <row r="1265" spans="1:17">
      <c r="A1265" s="3049"/>
      <c r="C1265" s="3076" t="s">
        <v>3266</v>
      </c>
      <c r="D1265" s="3076"/>
      <c r="E1265" s="3076"/>
      <c r="F1265" s="3076"/>
      <c r="G1265" s="3076"/>
      <c r="H1265" s="3076"/>
      <c r="I1265" s="3076"/>
      <c r="J1265" s="3076"/>
      <c r="K1265" s="3076"/>
      <c r="L1265" s="3076"/>
      <c r="M1265" s="3076"/>
      <c r="N1265" s="3076"/>
      <c r="O1265" s="3056" t="s">
        <v>2081</v>
      </c>
      <c r="P1265" s="3010" t="str">
        <f>'Part VIII-Threshold Criteria'!P315</f>
        <v>Yes</v>
      </c>
      <c r="Q1265" s="3010">
        <f>'Part VIII-Threshold Criteria'!Q315</f>
        <v>0</v>
      </c>
    </row>
    <row r="1266" spans="1:17">
      <c r="B1266" s="3008" t="s">
        <v>2084</v>
      </c>
      <c r="C1266" s="3050" t="s">
        <v>479</v>
      </c>
      <c r="D1266" s="3050"/>
      <c r="E1266" s="3050"/>
      <c r="F1266" s="3050"/>
      <c r="G1266" s="3050"/>
      <c r="H1266" s="3050"/>
      <c r="I1266" s="3050"/>
      <c r="J1266" s="3050"/>
      <c r="K1266" s="3050"/>
      <c r="L1266" s="3050"/>
      <c r="M1266" s="3050"/>
      <c r="O1266" s="3056" t="s">
        <v>2084</v>
      </c>
      <c r="P1266" s="2905"/>
      <c r="Q1266" s="2905"/>
    </row>
    <row r="1267" spans="1:17">
      <c r="A1267" s="3049"/>
      <c r="C1267" s="3058" t="s">
        <v>1825</v>
      </c>
      <c r="D1267" s="3046" t="s">
        <v>1183</v>
      </c>
      <c r="E1267" s="3055"/>
      <c r="F1267" s="3055"/>
      <c r="G1267" s="3081" t="str">
        <f>'Part VIII-Threshold Criteria'!G317</f>
        <v>Rehab of bldgs w/out existing brick/stone over 40% (&amp; ineligible for historic credits) will replace &amp; upgrade existing exterior finish surfaces on all wall faces w/brick or product w/40 yr warranty</v>
      </c>
      <c r="H1267" s="3082"/>
      <c r="I1267" s="3082"/>
      <c r="J1267" s="3082"/>
      <c r="K1267" s="3082"/>
      <c r="L1267" s="3082"/>
      <c r="M1267" s="3082"/>
      <c r="N1267" s="3082"/>
      <c r="O1267" s="3056" t="s">
        <v>1825</v>
      </c>
      <c r="P1267" s="3010" t="str">
        <f>'Part VIII-Threshold Criteria'!P317</f>
        <v>Yes</v>
      </c>
      <c r="Q1267" s="3010">
        <f>'Part VIII-Threshold Criteria'!Q317</f>
        <v>0</v>
      </c>
    </row>
    <row r="1268" spans="1:17" ht="12.75" customHeight="1">
      <c r="A1268" s="3049"/>
      <c r="C1268" s="3058" t="s">
        <v>1826</v>
      </c>
      <c r="D1268" s="2947" t="s">
        <v>1184</v>
      </c>
      <c r="E1268" s="2820"/>
      <c r="F1268" s="2820"/>
      <c r="G1268" s="3081" t="str">
        <f>'Part VIII-Threshold Criteria'!G318</f>
        <v>Upgraded roofing shingles, or roofing materials  (warranty 30 years or greater)</v>
      </c>
      <c r="H1268" s="3082"/>
      <c r="I1268" s="3082"/>
      <c r="J1268" s="3082"/>
      <c r="K1268" s="3082"/>
      <c r="L1268" s="3082"/>
      <c r="M1268" s="3082"/>
      <c r="N1268" s="3082"/>
      <c r="O1268" s="3056" t="s">
        <v>1826</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789</v>
      </c>
      <c r="C1270" s="3083" t="s">
        <v>4592</v>
      </c>
      <c r="D1270" s="3083"/>
      <c r="E1270" s="3083"/>
      <c r="F1270" s="3083"/>
      <c r="G1270" s="3083"/>
      <c r="H1270" s="3083"/>
      <c r="I1270" s="3083"/>
      <c r="J1270" s="3083"/>
      <c r="K1270" s="3083"/>
      <c r="L1270" s="3083"/>
      <c r="M1270" s="3083"/>
      <c r="N1270" s="3083"/>
      <c r="O1270" s="3060" t="s">
        <v>789</v>
      </c>
      <c r="P1270" s="2905"/>
      <c r="Q1270" s="2905"/>
    </row>
    <row r="1271" spans="1:17">
      <c r="A1271" s="3049"/>
      <c r="B1271" s="3055"/>
      <c r="C1271" s="3058" t="s">
        <v>1825</v>
      </c>
      <c r="D1271" s="2947">
        <f>'Part VIII-Threshold Criteria'!D321</f>
        <v>0</v>
      </c>
      <c r="E1271" s="2947"/>
      <c r="F1271" s="2947"/>
      <c r="G1271" s="2947"/>
      <c r="H1271" s="2947"/>
      <c r="I1271" s="2947"/>
      <c r="J1271" s="2947"/>
      <c r="K1271" s="2947"/>
      <c r="L1271" s="2947"/>
      <c r="M1271" s="2947"/>
      <c r="N1271" s="2947"/>
      <c r="O1271" s="3056" t="s">
        <v>1825</v>
      </c>
      <c r="P1271" s="3010">
        <f>'Part VIII-Threshold Criteria'!P321</f>
        <v>0</v>
      </c>
      <c r="Q1271" s="3010">
        <f>'Part VIII-Threshold Criteria'!Q321</f>
        <v>0</v>
      </c>
    </row>
    <row r="1272" spans="1:17">
      <c r="A1272" s="3049"/>
      <c r="B1272" s="3055"/>
      <c r="C1272" s="3058" t="s">
        <v>1826</v>
      </c>
      <c r="D1272" s="2947">
        <f>'Part VIII-Threshold Criteria'!D322</f>
        <v>0</v>
      </c>
      <c r="E1272" s="2947"/>
      <c r="F1272" s="2947"/>
      <c r="G1272" s="2947"/>
      <c r="H1272" s="2947"/>
      <c r="I1272" s="2947"/>
      <c r="J1272" s="2947"/>
      <c r="K1272" s="2947"/>
      <c r="L1272" s="2947"/>
      <c r="M1272" s="2947"/>
      <c r="N1272" s="2947"/>
      <c r="O1272" s="3056" t="s">
        <v>1826</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1959</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Applicant agrees to all of the above</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1960</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3276</v>
      </c>
      <c r="C1279" s="2884"/>
      <c r="D1279" s="3014"/>
      <c r="E1279" s="3014"/>
      <c r="F1279" s="3014"/>
      <c r="G1279" s="3014"/>
      <c r="H1279" s="3014"/>
      <c r="O1279" s="3007" t="s">
        <v>1961</v>
      </c>
      <c r="P1279" s="2911">
        <f>'Part VIII-Threshold Criteria'!P329</f>
        <v>0</v>
      </c>
      <c r="Q1279" s="2911"/>
    </row>
    <row r="1280" spans="1:17">
      <c r="B1280" s="505" t="s">
        <v>3277</v>
      </c>
      <c r="P1280" s="3010" t="str">
        <f>'Part VIII-Threshold Criteria'!P330</f>
        <v>No</v>
      </c>
      <c r="Q1280" s="3010">
        <f>'Part VIII-Threshold Criteria'!Q330</f>
        <v>0</v>
      </c>
    </row>
    <row r="1281" spans="1:17">
      <c r="B1281" s="505" t="s">
        <v>2460</v>
      </c>
      <c r="P1281" s="3010">
        <f>'Part VIII-Threshold Criteria'!P331</f>
        <v>0</v>
      </c>
      <c r="Q1281" s="3010">
        <f>'Part VIII-Threshold Criteria'!Q331</f>
        <v>0</v>
      </c>
    </row>
    <row r="1282" spans="1:17">
      <c r="B1282" s="505" t="s">
        <v>3278</v>
      </c>
      <c r="M1282" s="3084" t="str">
        <f>'Part VIII-Threshold Criteria'!M332</f>
        <v>&lt;&lt; Select Designation &gt;&gt;</v>
      </c>
      <c r="N1282" s="3084"/>
      <c r="O1282" s="3084"/>
    </row>
    <row r="1283" spans="1:17">
      <c r="B1283" s="3062" t="s">
        <v>2461</v>
      </c>
      <c r="M1283" s="3084" t="str">
        <f>'Part VIII-Threshold Criteria'!M333</f>
        <v>&lt;&lt; Select Designation &gt;&gt;</v>
      </c>
      <c r="N1283" s="3084"/>
      <c r="O1283" s="3084"/>
    </row>
    <row r="1284" spans="1:17">
      <c r="B1284" s="3045" t="s">
        <v>1959</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Applicant is submitting its qualifications for this develoment with this application, for the first time (no preapplication)</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1960</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2806</v>
      </c>
      <c r="C1289" s="524"/>
      <c r="D1289" s="3005"/>
      <c r="E1289" s="3014"/>
      <c r="F1289" s="3014"/>
      <c r="G1289" s="3014"/>
      <c r="H1289" s="3014"/>
      <c r="I1289" s="3014"/>
      <c r="J1289" s="3014"/>
      <c r="K1289" s="3014"/>
      <c r="L1289" s="3014"/>
      <c r="M1289" s="3014"/>
      <c r="O1289" s="3007" t="s">
        <v>1961</v>
      </c>
      <c r="P1289" s="2911">
        <f>'Part VIII-Threshold Criteria'!P339</f>
        <v>0</v>
      </c>
      <c r="Q1289" s="2911"/>
    </row>
    <row r="1290" spans="1:17">
      <c r="B1290" s="3008" t="s">
        <v>2081</v>
      </c>
      <c r="C1290" s="2947" t="s">
        <v>4180</v>
      </c>
      <c r="D1290" s="2947"/>
      <c r="E1290" s="2947"/>
      <c r="F1290" s="2947"/>
      <c r="G1290" s="2947"/>
      <c r="H1290" s="2947"/>
      <c r="I1290" s="2947"/>
      <c r="J1290" s="2947"/>
      <c r="K1290" s="2947"/>
      <c r="L1290" s="2947"/>
      <c r="M1290" s="2947"/>
      <c r="N1290" s="2947"/>
      <c r="O1290" s="3056" t="s">
        <v>2081</v>
      </c>
      <c r="P1290" s="3010">
        <f>'Part VIII-Threshold Criteria'!P340</f>
        <v>0</v>
      </c>
      <c r="Q1290" s="3010">
        <f>'Part VIII-Threshold Criteria'!Q340</f>
        <v>0</v>
      </c>
    </row>
    <row r="1291" spans="1:17">
      <c r="B1291" s="3008" t="s">
        <v>2084</v>
      </c>
      <c r="C1291" s="2947" t="s">
        <v>3302</v>
      </c>
      <c r="D1291" s="2947"/>
      <c r="E1291" s="2947"/>
      <c r="F1291" s="2947"/>
      <c r="G1291" s="2947"/>
      <c r="H1291" s="2947"/>
      <c r="I1291" s="2947"/>
      <c r="J1291" s="2947"/>
      <c r="K1291" s="2947"/>
      <c r="L1291" s="2947"/>
      <c r="M1291" s="2947"/>
      <c r="N1291" s="2947"/>
      <c r="O1291" s="3056" t="s">
        <v>2084</v>
      </c>
      <c r="P1291" s="3010" t="str">
        <f>'Part VIII-Threshold Criteria'!P341</f>
        <v>Yes</v>
      </c>
      <c r="Q1291" s="3010">
        <f>'Part VIII-Threshold Criteria'!Q341</f>
        <v>0</v>
      </c>
    </row>
    <row r="1292" spans="1:17">
      <c r="B1292" s="3008" t="s">
        <v>789</v>
      </c>
      <c r="C1292" s="3069" t="s">
        <v>3127</v>
      </c>
      <c r="D1292" s="3069"/>
      <c r="E1292" s="3069"/>
      <c r="F1292" s="3069"/>
      <c r="G1292" s="3069"/>
      <c r="H1292" s="3069"/>
      <c r="I1292" s="3069"/>
      <c r="J1292" s="3069"/>
      <c r="K1292" s="3069"/>
      <c r="L1292" s="3069"/>
      <c r="M1292" s="3069"/>
      <c r="O1292" s="3056" t="s">
        <v>789</v>
      </c>
      <c r="P1292" s="3010" t="str">
        <f>'Part VIII-Threshold Criteria'!P342</f>
        <v>Yes</v>
      </c>
      <c r="Q1292" s="3010">
        <f>'Part VIII-Threshold Criteria'!Q342</f>
        <v>0</v>
      </c>
    </row>
    <row r="1293" spans="1:17">
      <c r="B1293" s="3008" t="s">
        <v>2216</v>
      </c>
      <c r="C1293" s="2947" t="s">
        <v>4593</v>
      </c>
      <c r="D1293" s="2947"/>
      <c r="E1293" s="2947"/>
      <c r="F1293" s="2947"/>
      <c r="G1293" s="2947"/>
      <c r="H1293" s="2947"/>
      <c r="I1293" s="2947"/>
      <c r="J1293" s="2947"/>
      <c r="K1293" s="2947"/>
      <c r="L1293" s="2947"/>
      <c r="M1293" s="2947"/>
      <c r="N1293" s="2947"/>
      <c r="O1293" s="3056" t="s">
        <v>2216</v>
      </c>
      <c r="P1293" s="3010" t="str">
        <f>'Part VIII-Threshold Criteria'!P343</f>
        <v>Yes</v>
      </c>
      <c r="Q1293" s="3010">
        <f>'Part VIII-Threshold Criteria'!Q343</f>
        <v>0</v>
      </c>
    </row>
    <row r="1294" spans="1:17">
      <c r="B1294" s="3008" t="s">
        <v>1823</v>
      </c>
      <c r="C1294" s="2947" t="s">
        <v>4594</v>
      </c>
      <c r="D1294" s="2947"/>
      <c r="E1294" s="2947"/>
      <c r="F1294" s="2947"/>
      <c r="G1294" s="2947"/>
      <c r="H1294" s="2947"/>
      <c r="I1294" s="2947"/>
      <c r="J1294" s="2947"/>
      <c r="K1294" s="2947"/>
      <c r="L1294" s="2947"/>
      <c r="M1294" s="2947"/>
      <c r="N1294" s="2947"/>
      <c r="O1294" s="3056" t="s">
        <v>1823</v>
      </c>
      <c r="P1294" s="3010">
        <f>'Part VIII-Threshold Criteria'!P344</f>
        <v>0</v>
      </c>
      <c r="Q1294" s="3010">
        <f>'Part VIII-Threshold Criteria'!Q344</f>
        <v>0</v>
      </c>
    </row>
    <row r="1295" spans="1:17">
      <c r="B1295" s="3045" t="s">
        <v>1959</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All pertinent qualifications information is included in Tab 20.</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1960</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2834</v>
      </c>
      <c r="C1300" s="524"/>
      <c r="D1300" s="524"/>
      <c r="E1300" s="524"/>
      <c r="F1300" s="524"/>
      <c r="G1300" s="524"/>
      <c r="H1300" s="3014"/>
      <c r="I1300" s="3014"/>
      <c r="J1300" s="3014"/>
      <c r="K1300" s="3014"/>
      <c r="L1300" s="3014"/>
      <c r="M1300" s="3014"/>
      <c r="O1300" s="3007" t="s">
        <v>1961</v>
      </c>
      <c r="P1300" s="2911">
        <f>'Part VIII-Threshold Criteria'!P350</f>
        <v>0</v>
      </c>
      <c r="Q1300" s="2911"/>
    </row>
    <row r="1301" spans="1:17">
      <c r="B1301" s="3011" t="s">
        <v>2081</v>
      </c>
      <c r="C1301" s="522" t="s">
        <v>2830</v>
      </c>
      <c r="D1301" s="2899"/>
      <c r="E1301" s="2899"/>
      <c r="F1301" s="2899"/>
      <c r="G1301" s="2899"/>
      <c r="H1301" s="2899"/>
      <c r="I1301" s="521"/>
      <c r="J1301" s="2981" t="s">
        <v>2081</v>
      </c>
      <c r="K1301" s="3051">
        <f>'Part VIII-Threshold Criteria'!K351</f>
        <v>0</v>
      </c>
      <c r="L1301" s="3051"/>
      <c r="M1301" s="3051"/>
      <c r="N1301" s="3051"/>
      <c r="O1301" s="3051"/>
      <c r="P1301" s="3051"/>
      <c r="Q1301" s="3010">
        <f>'Part VIII-Threshold Criteria'!Q351</f>
        <v>0</v>
      </c>
    </row>
    <row r="1302" spans="1:17">
      <c r="B1302" s="3008" t="s">
        <v>2084</v>
      </c>
      <c r="C1302" s="2935" t="s">
        <v>2829</v>
      </c>
      <c r="D1302" s="2935"/>
      <c r="E1302" s="2935"/>
      <c r="F1302" s="2935"/>
      <c r="G1302" s="2935"/>
      <c r="H1302" s="2935"/>
      <c r="I1302" s="2935"/>
      <c r="J1302" s="2935"/>
      <c r="K1302" s="2935"/>
      <c r="L1302" s="2935"/>
      <c r="M1302" s="2935"/>
      <c r="N1302" s="2935"/>
      <c r="O1302" s="3056" t="s">
        <v>2084</v>
      </c>
      <c r="P1302" s="3010">
        <f>'Part VIII-Threshold Criteria'!P352</f>
        <v>0</v>
      </c>
      <c r="Q1302" s="3010">
        <f>'Part VIII-Threshold Criteria'!Q352</f>
        <v>0</v>
      </c>
    </row>
    <row r="1303" spans="1:17">
      <c r="B1303" s="3011" t="s">
        <v>789</v>
      </c>
      <c r="C1303" s="522" t="s">
        <v>2831</v>
      </c>
      <c r="D1303" s="522"/>
      <c r="E1303" s="522"/>
      <c r="F1303" s="522"/>
      <c r="G1303" s="522"/>
      <c r="H1303" s="522"/>
      <c r="I1303" s="522"/>
      <c r="J1303" s="522"/>
      <c r="K1303" s="522"/>
      <c r="L1303" s="3009"/>
      <c r="M1303" s="3009"/>
      <c r="O1303" s="2981" t="s">
        <v>789</v>
      </c>
      <c r="P1303" s="3010">
        <f>'Part VIII-Threshold Criteria'!P353</f>
        <v>0</v>
      </c>
      <c r="Q1303" s="3010">
        <f>'Part VIII-Threshold Criteria'!Q353</f>
        <v>0</v>
      </c>
    </row>
    <row r="1304" spans="1:17">
      <c r="B1304" s="3011" t="s">
        <v>2216</v>
      </c>
      <c r="C1304" s="522" t="s">
        <v>2832</v>
      </c>
      <c r="D1304" s="522"/>
      <c r="E1304" s="522"/>
      <c r="F1304" s="522"/>
      <c r="G1304" s="522"/>
      <c r="H1304" s="522"/>
      <c r="I1304" s="522"/>
      <c r="J1304" s="522"/>
      <c r="K1304" s="522"/>
      <c r="L1304" s="522"/>
      <c r="M1304" s="522"/>
      <c r="O1304" s="2981" t="s">
        <v>2216</v>
      </c>
      <c r="P1304" s="3010">
        <f>'Part VIII-Threshold Criteria'!P354</f>
        <v>0</v>
      </c>
      <c r="Q1304" s="3010">
        <f>'Part VIII-Threshold Criteria'!Q354</f>
        <v>0</v>
      </c>
    </row>
    <row r="1305" spans="1:17">
      <c r="A1305" s="3055"/>
      <c r="B1305" s="3008" t="s">
        <v>1823</v>
      </c>
      <c r="C1305" s="2947" t="s">
        <v>2835</v>
      </c>
      <c r="D1305" s="2947"/>
      <c r="E1305" s="2947"/>
      <c r="F1305" s="2947"/>
      <c r="G1305" s="2947"/>
      <c r="H1305" s="2947"/>
      <c r="I1305" s="2947"/>
      <c r="J1305" s="2947"/>
      <c r="K1305" s="2947"/>
      <c r="L1305" s="2947"/>
      <c r="M1305" s="2947"/>
      <c r="N1305" s="2947"/>
      <c r="O1305" s="3056" t="s">
        <v>1823</v>
      </c>
      <c r="P1305" s="3010">
        <f>'Part VIII-Threshold Criteria'!P355</f>
        <v>0</v>
      </c>
      <c r="Q1305" s="3010">
        <f>'Part VIII-Threshold Criteria'!Q355</f>
        <v>0</v>
      </c>
    </row>
    <row r="1306" spans="1:17">
      <c r="A1306" s="3055"/>
      <c r="B1306" s="3008" t="s">
        <v>1824</v>
      </c>
      <c r="C1306" s="2947" t="s">
        <v>2836</v>
      </c>
      <c r="D1306" s="2947"/>
      <c r="E1306" s="2947"/>
      <c r="F1306" s="2947"/>
      <c r="G1306" s="2947"/>
      <c r="H1306" s="2947"/>
      <c r="I1306" s="2947"/>
      <c r="J1306" s="2947"/>
      <c r="K1306" s="2947"/>
      <c r="L1306" s="2947"/>
      <c r="M1306" s="2947"/>
      <c r="N1306" s="2947"/>
      <c r="O1306" s="3056" t="s">
        <v>1824</v>
      </c>
      <c r="P1306" s="3010">
        <f>'Part VIII-Threshold Criteria'!P356</f>
        <v>0</v>
      </c>
      <c r="Q1306" s="3010">
        <f>'Part VIII-Threshold Criteria'!Q356</f>
        <v>0</v>
      </c>
    </row>
    <row r="1307" spans="1:17">
      <c r="B1307" s="3011" t="s">
        <v>2044</v>
      </c>
      <c r="C1307" s="522" t="s">
        <v>2833</v>
      </c>
      <c r="D1307" s="522"/>
      <c r="E1307" s="522"/>
      <c r="F1307" s="522"/>
      <c r="G1307" s="522"/>
      <c r="H1307" s="522"/>
      <c r="I1307" s="522"/>
      <c r="J1307" s="522"/>
      <c r="K1307" s="522"/>
      <c r="L1307" s="522"/>
      <c r="M1307" s="522"/>
      <c r="O1307" s="2981" t="s">
        <v>2044</v>
      </c>
      <c r="P1307" s="3010">
        <f>'Part VIII-Threshold Criteria'!P357</f>
        <v>0</v>
      </c>
      <c r="Q1307" s="3010">
        <f>'Part VIII-Threshold Criteria'!Q357</f>
        <v>0</v>
      </c>
    </row>
    <row r="1308" spans="1:17">
      <c r="B1308" s="3045" t="s">
        <v>1959</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This project is not sponsored by a nonprofit organization; thus we are not applying under the nonprofit setaside.</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1960</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2837</v>
      </c>
      <c r="C1313" s="524"/>
      <c r="D1313" s="524"/>
      <c r="E1313" s="524"/>
      <c r="F1313" s="524"/>
      <c r="G1313" s="524"/>
      <c r="H1313" s="3014"/>
      <c r="I1313" s="3014"/>
      <c r="J1313" s="3014"/>
      <c r="O1313" s="3007" t="s">
        <v>1961</v>
      </c>
      <c r="P1313" s="2911">
        <f>'Part VIII-Threshold Criteria'!P363</f>
        <v>0</v>
      </c>
      <c r="Q1313" s="2911"/>
    </row>
    <row r="1314" spans="1:17">
      <c r="B1314" s="3011" t="s">
        <v>2081</v>
      </c>
      <c r="C1314" s="522" t="s">
        <v>1084</v>
      </c>
      <c r="E1314" s="3051">
        <f>'Part VIII-Threshold Criteria'!E364</f>
        <v>0</v>
      </c>
      <c r="F1314" s="3051"/>
      <c r="G1314" s="3051"/>
      <c r="H1314" s="3051"/>
      <c r="I1314" s="3051"/>
      <c r="J1314" s="3018" t="s">
        <v>2811</v>
      </c>
      <c r="K1314" s="3018"/>
      <c r="L1314" s="3018"/>
      <c r="M1314" s="3051">
        <f>'Part VIII-Threshold Criteria'!M364</f>
        <v>0</v>
      </c>
      <c r="N1314" s="3051"/>
      <c r="O1314" s="3051"/>
      <c r="P1314" s="3051"/>
      <c r="Q1314" s="3051"/>
    </row>
    <row r="1315" spans="1:17">
      <c r="B1315" s="3011" t="s">
        <v>2084</v>
      </c>
      <c r="C1315" s="522" t="s">
        <v>4081</v>
      </c>
      <c r="D1315" s="522"/>
      <c r="E1315" s="522"/>
      <c r="F1315" s="522"/>
      <c r="G1315" s="522"/>
      <c r="H1315" s="522"/>
      <c r="I1315" s="522"/>
      <c r="J1315" s="522"/>
      <c r="K1315" s="522"/>
      <c r="L1315" s="3009"/>
      <c r="M1315" s="3009"/>
      <c r="O1315" s="2981" t="s">
        <v>2084</v>
      </c>
      <c r="P1315" s="3010">
        <f>'Part VIII-Threshold Criteria'!P365</f>
        <v>0</v>
      </c>
      <c r="Q1315" s="3010">
        <f>'Part VIII-Threshold Criteria'!Q365</f>
        <v>0</v>
      </c>
    </row>
    <row r="1316" spans="1:17">
      <c r="B1316" s="3008" t="s">
        <v>789</v>
      </c>
      <c r="C1316" s="2935" t="s">
        <v>4181</v>
      </c>
      <c r="D1316" s="2935"/>
      <c r="E1316" s="2935"/>
      <c r="F1316" s="2935"/>
      <c r="G1316" s="2935"/>
      <c r="H1316" s="2935"/>
      <c r="I1316" s="2935"/>
      <c r="J1316" s="2935"/>
      <c r="K1316" s="2935"/>
      <c r="L1316" s="2935"/>
      <c r="M1316" s="2935"/>
      <c r="N1316" s="2935"/>
      <c r="O1316" s="2981" t="s">
        <v>789</v>
      </c>
      <c r="P1316" s="3010">
        <f>'Part VIII-Threshold Criteria'!P366</f>
        <v>0</v>
      </c>
      <c r="Q1316" s="3010">
        <f>'Part VIII-Threshold Criteria'!Q366</f>
        <v>0</v>
      </c>
    </row>
    <row r="1317" spans="1:17">
      <c r="B1317" s="3011" t="s">
        <v>2216</v>
      </c>
      <c r="C1317" s="3009" t="s">
        <v>4182</v>
      </c>
      <c r="D1317" s="2936"/>
      <c r="E1317" s="3085">
        <f>'Part III-Sources of Funds'!H960</f>
        <v>0</v>
      </c>
      <c r="F1317" s="3085"/>
      <c r="G1317" s="2936"/>
      <c r="H1317" s="2936"/>
      <c r="I1317" s="2936"/>
      <c r="J1317" s="2936"/>
      <c r="K1317" s="2936"/>
      <c r="L1317" s="2936"/>
      <c r="M1317" s="2936"/>
      <c r="N1317" s="2936"/>
      <c r="O1317" s="2981" t="s">
        <v>2216</v>
      </c>
      <c r="P1317" s="3010">
        <f>'Part VIII-Threshold Criteria'!P367</f>
        <v>0</v>
      </c>
      <c r="Q1317" s="3010">
        <f>'Part VIII-Threshold Criteria'!Q367</f>
        <v>0</v>
      </c>
    </row>
    <row r="1318" spans="1:17">
      <c r="B1318" s="3045" t="s">
        <v>1959</v>
      </c>
      <c r="D1318" s="3045"/>
      <c r="E1318" s="3045"/>
      <c r="F1318" s="3045"/>
      <c r="G1318" s="3045"/>
      <c r="H1318" s="3009"/>
      <c r="I1318" s="3006"/>
      <c r="J1318" s="3006"/>
      <c r="K1318" s="3006"/>
      <c r="L1318" s="2905"/>
      <c r="M1318" s="2905"/>
      <c r="N1318" s="2905"/>
      <c r="O1318" s="2905"/>
      <c r="P1318" s="2905"/>
      <c r="Q1318" s="2905"/>
    </row>
    <row r="1319" spans="1:17">
      <c r="A1319" s="2947">
        <f>'Part VIII-Threshold Criteria'!A369</f>
        <v>0</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1960</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2807</v>
      </c>
      <c r="C1323" s="524"/>
      <c r="D1323" s="524"/>
      <c r="E1323" s="3014"/>
      <c r="G1323" s="3046" t="s">
        <v>739</v>
      </c>
      <c r="H1323" s="3014"/>
      <c r="I1323" s="3014"/>
      <c r="J1323" s="3014"/>
      <c r="K1323" s="3014"/>
      <c r="L1323" s="3014"/>
      <c r="M1323" s="3014"/>
      <c r="O1323" s="3007" t="s">
        <v>1961</v>
      </c>
      <c r="P1323" s="2911">
        <f>'Part VIII-Threshold Criteria'!P373</f>
        <v>0</v>
      </c>
      <c r="Q1323" s="2911"/>
    </row>
    <row r="1324" spans="1:17">
      <c r="A1324" s="3049"/>
      <c r="B1324" s="3011" t="s">
        <v>2081</v>
      </c>
      <c r="C1324" s="522" t="s">
        <v>2813</v>
      </c>
      <c r="D1324" s="3048"/>
      <c r="E1324" s="3048"/>
      <c r="H1324" s="3046"/>
      <c r="O1324" s="2981" t="s">
        <v>2081</v>
      </c>
      <c r="P1324" s="3010" t="str">
        <f>'Part VIII-Threshold Criteria'!P374</f>
        <v>Yes</v>
      </c>
      <c r="Q1324" s="3010">
        <f>'Part VIII-Threshold Criteria'!Q374</f>
        <v>0</v>
      </c>
    </row>
    <row r="1325" spans="1:17">
      <c r="A1325" s="3049"/>
      <c r="B1325" s="3011" t="s">
        <v>2084</v>
      </c>
      <c r="C1325" s="522" t="s">
        <v>2814</v>
      </c>
      <c r="D1325" s="3048"/>
      <c r="E1325" s="3048"/>
      <c r="O1325" s="2981" t="s">
        <v>2084</v>
      </c>
      <c r="P1325" s="3010">
        <f>'Part VIII-Threshold Criteria'!P375</f>
        <v>0</v>
      </c>
      <c r="Q1325" s="3010">
        <f>'Part VIII-Threshold Criteria'!Q375</f>
        <v>0</v>
      </c>
    </row>
    <row r="1326" spans="1:17">
      <c r="A1326" s="3049"/>
      <c r="B1326" s="3011" t="s">
        <v>789</v>
      </c>
      <c r="C1326" s="522" t="s">
        <v>2838</v>
      </c>
      <c r="D1326" s="3048"/>
      <c r="E1326" s="3048"/>
      <c r="O1326" s="2981" t="s">
        <v>789</v>
      </c>
      <c r="P1326" s="3010">
        <f>'Part VIII-Threshold Criteria'!P376</f>
        <v>0</v>
      </c>
      <c r="Q1326" s="3010">
        <f>'Part VIII-Threshold Criteria'!Q376</f>
        <v>0</v>
      </c>
    </row>
    <row r="1327" spans="1:17">
      <c r="A1327" s="3049"/>
      <c r="B1327" s="3011" t="s">
        <v>2216</v>
      </c>
      <c r="C1327" s="522" t="s">
        <v>2810</v>
      </c>
      <c r="E1327" s="3046"/>
      <c r="O1327" s="2981" t="s">
        <v>2216</v>
      </c>
      <c r="P1327" s="3010">
        <f>'Part VIII-Threshold Criteria'!P377</f>
        <v>0</v>
      </c>
      <c r="Q1327" s="3010">
        <f>'Part VIII-Threshold Criteria'!Q377</f>
        <v>0</v>
      </c>
    </row>
    <row r="1328" spans="1:17">
      <c r="B1328" s="3011" t="s">
        <v>1823</v>
      </c>
      <c r="C1328" s="522" t="s">
        <v>2180</v>
      </c>
      <c r="E1328" s="3046"/>
      <c r="G1328" s="2981" t="s">
        <v>1823</v>
      </c>
      <c r="H1328" s="2935">
        <f>'Part VIII-Threshold Criteria'!H378</f>
        <v>0</v>
      </c>
      <c r="I1328" s="2935"/>
      <c r="J1328" s="2935"/>
      <c r="K1328" s="2935"/>
      <c r="L1328" s="2935"/>
      <c r="M1328" s="2935"/>
      <c r="N1328" s="2935"/>
      <c r="O1328" s="2935"/>
      <c r="P1328" s="3010">
        <f>'Part VIII-Threshold Criteria'!P378</f>
        <v>0</v>
      </c>
      <c r="Q1328" s="3010">
        <f>'Part VIII-Threshold Criteria'!Q378</f>
        <v>0</v>
      </c>
    </row>
    <row r="1329" spans="1:17">
      <c r="B1329" s="3045" t="s">
        <v>1959</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Legal opinion for eligibility for acquisition credit included in Tab 23.</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1960</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2808</v>
      </c>
      <c r="C1334" s="524"/>
      <c r="D1334" s="524"/>
      <c r="E1334" s="524"/>
      <c r="F1334" s="524"/>
      <c r="G1334" s="524"/>
      <c r="H1334" s="3014"/>
      <c r="I1334" s="3014"/>
      <c r="J1334" s="3014"/>
      <c r="K1334" s="3014"/>
      <c r="L1334" s="3014"/>
      <c r="M1334" s="3014"/>
      <c r="O1334" s="3007" t="s">
        <v>1961</v>
      </c>
      <c r="P1334" s="2911">
        <f>'Part VIII-Threshold Criteria'!P384</f>
        <v>0</v>
      </c>
      <c r="Q1334" s="2911"/>
    </row>
    <row r="1335" spans="1:17">
      <c r="A1335" s="521"/>
      <c r="B1335" s="3011" t="s">
        <v>2081</v>
      </c>
      <c r="C1335" s="522" t="s">
        <v>792</v>
      </c>
      <c r="D1335" s="521"/>
      <c r="E1335" s="521"/>
      <c r="F1335" s="521"/>
      <c r="G1335" s="521"/>
      <c r="H1335" s="521"/>
      <c r="I1335" s="521"/>
      <c r="J1335" s="521"/>
      <c r="K1335" s="521"/>
      <c r="L1335" s="521"/>
      <c r="M1335" s="521"/>
      <c r="N1335" s="521"/>
      <c r="O1335" s="2981" t="s">
        <v>2081</v>
      </c>
      <c r="P1335" s="3010" t="str">
        <f>'Part VIII-Threshold Criteria'!P385</f>
        <v>Yes</v>
      </c>
      <c r="Q1335" s="3010">
        <f>'Part VIII-Threshold Criteria'!Q385</f>
        <v>0</v>
      </c>
    </row>
    <row r="1336" spans="1:17">
      <c r="A1336" s="521"/>
      <c r="B1336" s="3011" t="s">
        <v>2084</v>
      </c>
      <c r="C1336" s="522" t="s">
        <v>4187</v>
      </c>
      <c r="D1336" s="521"/>
      <c r="E1336" s="521"/>
      <c r="F1336" s="521"/>
      <c r="G1336" s="521"/>
      <c r="H1336" s="521"/>
      <c r="I1336" s="521"/>
      <c r="J1336" s="521"/>
      <c r="K1336" s="521"/>
      <c r="L1336" s="521"/>
      <c r="M1336" s="521"/>
      <c r="N1336" s="521"/>
      <c r="O1336" s="2981" t="s">
        <v>1520</v>
      </c>
      <c r="P1336" s="3010" t="str">
        <f>'Part VIII-Threshold Criteria'!P386</f>
        <v>Yes</v>
      </c>
      <c r="Q1336" s="3010">
        <f>'Part VIII-Threshold Criteria'!Q386</f>
        <v>0</v>
      </c>
    </row>
    <row r="1337" spans="1:17">
      <c r="A1337" s="521"/>
      <c r="B1337" s="3011"/>
      <c r="C1337" s="522" t="s">
        <v>1559</v>
      </c>
      <c r="D1337" s="522"/>
      <c r="E1337" s="522"/>
      <c r="F1337" s="522"/>
      <c r="G1337" s="522"/>
      <c r="H1337" s="522"/>
      <c r="I1337" s="522"/>
      <c r="J1337" s="522"/>
      <c r="K1337" s="522"/>
      <c r="L1337" s="522"/>
      <c r="M1337" s="522"/>
      <c r="N1337" s="521"/>
    </row>
    <row r="1338" spans="1:17">
      <c r="A1338" s="521"/>
      <c r="B1338" s="3011"/>
      <c r="C1338" s="522" t="s">
        <v>2306</v>
      </c>
      <c r="D1338" s="522" t="s">
        <v>4183</v>
      </c>
      <c r="E1338" s="522"/>
      <c r="F1338" s="522"/>
      <c r="G1338" s="522"/>
      <c r="H1338" s="522"/>
      <c r="I1338" s="522"/>
      <c r="J1338" s="522"/>
      <c r="K1338" s="522"/>
      <c r="L1338" s="522"/>
      <c r="M1338" s="522"/>
      <c r="N1338" s="521"/>
      <c r="O1338" s="2981" t="s">
        <v>1826</v>
      </c>
      <c r="P1338" s="3010">
        <f>'Part VIII-Threshold Criteria'!P388</f>
        <v>0</v>
      </c>
      <c r="Q1338" s="3010">
        <f>'Part VIII-Threshold Criteria'!Q388</f>
        <v>0</v>
      </c>
    </row>
    <row r="1339" spans="1:17">
      <c r="A1339" s="521"/>
      <c r="B1339" s="3011"/>
      <c r="C1339" s="522" t="s">
        <v>4186</v>
      </c>
      <c r="D1339" s="522"/>
      <c r="E1339" s="522"/>
      <c r="F1339" s="522"/>
      <c r="G1339" s="522"/>
      <c r="H1339" s="522"/>
      <c r="I1339" s="522"/>
      <c r="J1339" s="522"/>
      <c r="K1339" s="522"/>
      <c r="L1339" s="522"/>
      <c r="M1339" s="522"/>
      <c r="N1339" s="521"/>
      <c r="O1339" s="2981" t="s">
        <v>1827</v>
      </c>
      <c r="P1339" s="3010" t="str">
        <f>'Part VIII-Threshold Criteria'!P389</f>
        <v>No</v>
      </c>
      <c r="Q1339" s="3010">
        <f>'Part VIII-Threshold Criteria'!Q389</f>
        <v>0</v>
      </c>
    </row>
    <row r="1340" spans="1:17">
      <c r="A1340" s="521"/>
      <c r="B1340" s="3011" t="s">
        <v>789</v>
      </c>
      <c r="C1340" s="2935" t="s">
        <v>2305</v>
      </c>
      <c r="D1340" s="2935"/>
      <c r="E1340" s="2935"/>
      <c r="F1340" s="2935"/>
      <c r="G1340" s="2935"/>
      <c r="H1340" s="2935"/>
      <c r="I1340" s="2935"/>
      <c r="J1340" s="2935"/>
      <c r="K1340" s="2935"/>
      <c r="L1340" s="2935"/>
      <c r="M1340" s="2935"/>
      <c r="N1340" s="2935"/>
      <c r="O1340" s="2981" t="s">
        <v>789</v>
      </c>
      <c r="P1340" s="3010" t="str">
        <f>'Part VIII-Threshold Criteria'!P390</f>
        <v>Yes</v>
      </c>
      <c r="Q1340" s="3010">
        <f>'Part VIII-Threshold Criteria'!Q390</f>
        <v>0</v>
      </c>
    </row>
    <row r="1341" spans="1:17">
      <c r="A1341" s="521"/>
      <c r="B1341" s="3011" t="s">
        <v>2216</v>
      </c>
      <c r="C1341" s="3009" t="s">
        <v>3129</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2307</v>
      </c>
      <c r="D1342" s="522"/>
      <c r="E1342" s="521"/>
      <c r="F1342" s="3009"/>
      <c r="G1342" s="2896">
        <f>'Part VIII-Threshold Criteria'!G392</f>
        <v>0</v>
      </c>
      <c r="H1342" s="2896" t="str">
        <f>'Part VIII-Threshold Criteria'!H392</f>
        <v xml:space="preserve"> </v>
      </c>
      <c r="J1342" s="522" t="s">
        <v>2310</v>
      </c>
      <c r="K1342" s="3009"/>
      <c r="N1342" s="2896">
        <f>'Part VIII-Threshold Criteria'!N392</f>
        <v>0</v>
      </c>
      <c r="O1342" s="2896" t="str">
        <f>'Part VIII-Threshold Criteria'!O392</f>
        <v xml:space="preserve"> </v>
      </c>
    </row>
    <row r="1343" spans="1:17">
      <c r="A1343" s="521"/>
      <c r="B1343" s="3011"/>
      <c r="C1343" s="522" t="s">
        <v>2308</v>
      </c>
      <c r="D1343" s="522"/>
      <c r="E1343" s="521"/>
      <c r="F1343" s="3009"/>
      <c r="G1343" s="2896">
        <f>'Part VIII-Threshold Criteria'!G393</f>
        <v>37</v>
      </c>
      <c r="H1343" s="2896">
        <f>'Part VIII-Threshold Criteria'!H393</f>
        <v>0</v>
      </c>
      <c r="J1343" s="522" t="s">
        <v>2311</v>
      </c>
      <c r="K1343" s="3009"/>
      <c r="N1343" s="2896">
        <f>'Part VIII-Threshold Criteria'!N393</f>
        <v>0</v>
      </c>
      <c r="O1343" s="2896">
        <f>'Part VIII-Threshold Criteria'!O393</f>
        <v>0</v>
      </c>
    </row>
    <row r="1344" spans="1:17">
      <c r="A1344" s="521"/>
      <c r="B1344" s="3011"/>
      <c r="C1344" s="522" t="s">
        <v>2309</v>
      </c>
      <c r="D1344" s="522"/>
      <c r="E1344" s="521"/>
      <c r="F1344" s="3009"/>
      <c r="G1344" s="2896">
        <f>'Part VIII-Threshold Criteria'!G394</f>
        <v>12</v>
      </c>
      <c r="H1344" s="2896" t="str">
        <f>'Part VIII-Threshold Criteria'!H394</f>
        <v xml:space="preserve"> </v>
      </c>
      <c r="K1344" s="3009"/>
      <c r="L1344" s="3009"/>
      <c r="M1344" s="3009"/>
      <c r="N1344" s="521"/>
      <c r="O1344" s="2981"/>
    </row>
    <row r="1345" spans="1:18">
      <c r="A1345" s="521"/>
      <c r="B1345" s="3011" t="s">
        <v>1823</v>
      </c>
      <c r="C1345" s="3009" t="s">
        <v>2499</v>
      </c>
      <c r="D1345" s="3009"/>
      <c r="E1345" s="3009"/>
      <c r="F1345" s="3009"/>
      <c r="G1345" s="3009"/>
      <c r="J1345" s="521"/>
      <c r="K1345" s="3009"/>
      <c r="L1345" s="3009"/>
      <c r="M1345" s="3009"/>
      <c r="N1345" s="521"/>
      <c r="O1345" s="2981"/>
      <c r="P1345" s="2981"/>
      <c r="Q1345" s="2981"/>
    </row>
    <row r="1346" spans="1:18">
      <c r="A1346" s="521"/>
      <c r="B1346" s="3011"/>
      <c r="C1346" s="505" t="s">
        <v>2312</v>
      </c>
      <c r="D1346" s="3009"/>
      <c r="E1346" s="3009"/>
      <c r="F1346" s="3009"/>
      <c r="G1346" s="3010" t="str">
        <f>'Part VIII-Threshold Criteria'!G396</f>
        <v>Yes</v>
      </c>
      <c r="H1346" s="3010">
        <f>'Part VIII-Threshold Criteria'!H396</f>
        <v>0</v>
      </c>
      <c r="J1346" s="505" t="s">
        <v>1238</v>
      </c>
      <c r="K1346" s="3009"/>
      <c r="N1346" s="3010" t="str">
        <f>'Part VIII-Threshold Criteria'!N396</f>
        <v>Yes</v>
      </c>
      <c r="O1346" s="3010">
        <f>'Part VIII-Threshold Criteria'!O396</f>
        <v>0</v>
      </c>
    </row>
    <row r="1347" spans="1:18">
      <c r="A1347" s="521"/>
      <c r="B1347" s="3011"/>
      <c r="C1347" s="505" t="s">
        <v>1237</v>
      </c>
      <c r="D1347" s="3009"/>
      <c r="E1347" s="3009"/>
      <c r="F1347" s="3009"/>
      <c r="G1347" s="3010" t="str">
        <f>'Part VIII-Threshold Criteria'!G397</f>
        <v>Yes</v>
      </c>
      <c r="H1347" s="3010">
        <f>'Part VIII-Threshold Criteria'!H397</f>
        <v>0</v>
      </c>
      <c r="J1347" s="505" t="s">
        <v>2362</v>
      </c>
      <c r="N1347" s="3086">
        <f>'Part VIII-Threshold Criteria'!N397</f>
        <v>0</v>
      </c>
      <c r="O1347" s="3086"/>
      <c r="P1347" s="3086"/>
      <c r="Q1347" s="3086"/>
    </row>
    <row r="1348" spans="1:18">
      <c r="B1348" s="3045" t="s">
        <v>1959</v>
      </c>
      <c r="D1348" s="3045"/>
      <c r="E1348" s="3045"/>
      <c r="F1348" s="3045"/>
      <c r="G1348" s="3045"/>
      <c r="H1348" s="3009"/>
      <c r="I1348" s="3006"/>
      <c r="J1348" s="3006"/>
      <c r="K1348" s="3006"/>
      <c r="P1348" s="2905"/>
      <c r="Q1348" s="2905"/>
    </row>
    <row r="1349" spans="1:18">
      <c r="A1349" s="2947" t="str">
        <f>'Part VIII-Threshold Criteria'!A399</f>
        <v>A full relocation plan prepared by Custom Relocation Specialists, LLC, is included in Tab 24</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1960</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3130</v>
      </c>
      <c r="C1353" s="524"/>
      <c r="D1353" s="3005"/>
      <c r="E1353" s="3014"/>
      <c r="F1353" s="3014"/>
      <c r="G1353" s="3014"/>
      <c r="H1353" s="3014"/>
      <c r="O1353" s="3007" t="s">
        <v>1961</v>
      </c>
      <c r="P1353" s="2911">
        <f>'Part VIII-Threshold Criteria'!P403</f>
        <v>0</v>
      </c>
      <c r="Q1353" s="2911"/>
    </row>
    <row r="1354" spans="1:18">
      <c r="A1354" s="2884"/>
      <c r="B1354" s="3005" t="s">
        <v>3839</v>
      </c>
      <c r="C1354" s="524"/>
      <c r="D1354" s="3005"/>
      <c r="E1354" s="3014"/>
      <c r="F1354" s="3014"/>
      <c r="G1354" s="3014"/>
      <c r="H1354" s="3014"/>
      <c r="O1354" s="3007"/>
      <c r="P1354" s="3007"/>
      <c r="Q1354" s="3007"/>
      <c r="R1354" s="3007"/>
    </row>
    <row r="1355" spans="1:18">
      <c r="A1355" s="3055"/>
      <c r="B1355" s="3008" t="s">
        <v>2081</v>
      </c>
      <c r="C1355" s="3076" t="s">
        <v>3840</v>
      </c>
      <c r="D1355" s="3076"/>
      <c r="E1355" s="3076"/>
      <c r="F1355" s="3076"/>
      <c r="G1355" s="3076"/>
      <c r="H1355" s="3076"/>
      <c r="I1355" s="3076"/>
      <c r="J1355" s="3076"/>
      <c r="K1355" s="3076"/>
      <c r="L1355" s="3076"/>
      <c r="M1355" s="3076"/>
      <c r="N1355" s="3076"/>
      <c r="O1355" s="3056" t="s">
        <v>2081</v>
      </c>
      <c r="P1355" s="3010" t="str">
        <f>'Part VIII-Threshold Criteria'!P405</f>
        <v>Agree</v>
      </c>
      <c r="Q1355" s="3010">
        <f>'Part VIII-Threshold Criteria'!Q405</f>
        <v>0</v>
      </c>
    </row>
    <row r="1356" spans="1:18">
      <c r="A1356" s="3055"/>
      <c r="B1356" s="3008" t="s">
        <v>2084</v>
      </c>
      <c r="C1356" s="3076" t="s">
        <v>4184</v>
      </c>
      <c r="D1356" s="3076"/>
      <c r="E1356" s="3076"/>
      <c r="F1356" s="3076"/>
      <c r="G1356" s="3076"/>
      <c r="H1356" s="3076"/>
      <c r="I1356" s="3076"/>
      <c r="J1356" s="3076"/>
      <c r="K1356" s="3076"/>
      <c r="L1356" s="3076"/>
      <c r="M1356" s="3076"/>
      <c r="N1356" s="3076"/>
      <c r="O1356" s="3056" t="s">
        <v>2084</v>
      </c>
      <c r="P1356" s="3010" t="str">
        <f>'Part VIII-Threshold Criteria'!P406</f>
        <v>Agree</v>
      </c>
      <c r="Q1356" s="3010">
        <f>'Part VIII-Threshold Criteria'!Q406</f>
        <v>0</v>
      </c>
    </row>
    <row r="1357" spans="1:18">
      <c r="A1357" s="3055"/>
      <c r="B1357" s="3008" t="s">
        <v>789</v>
      </c>
      <c r="C1357" s="3076" t="s">
        <v>4185</v>
      </c>
      <c r="D1357" s="3076"/>
      <c r="E1357" s="3076"/>
      <c r="F1357" s="3076"/>
      <c r="G1357" s="3076"/>
      <c r="H1357" s="3076"/>
      <c r="I1357" s="3076"/>
      <c r="J1357" s="3076"/>
      <c r="K1357" s="3076"/>
      <c r="L1357" s="3076"/>
      <c r="M1357" s="3076"/>
      <c r="N1357" s="3076"/>
      <c r="O1357" s="3056" t="s">
        <v>789</v>
      </c>
      <c r="P1357" s="3010" t="str">
        <f>'Part VIII-Threshold Criteria'!P407</f>
        <v>Agree</v>
      </c>
      <c r="Q1357" s="3010">
        <f>'Part VIII-Threshold Criteria'!Q407</f>
        <v>0</v>
      </c>
    </row>
    <row r="1358" spans="1:18">
      <c r="A1358" s="3055"/>
      <c r="B1358" s="3008" t="s">
        <v>2216</v>
      </c>
      <c r="C1358" s="3076" t="s">
        <v>3841</v>
      </c>
      <c r="D1358" s="3076"/>
      <c r="E1358" s="3076"/>
      <c r="F1358" s="3076"/>
      <c r="G1358" s="3076"/>
      <c r="H1358" s="3076"/>
      <c r="I1358" s="3076"/>
      <c r="J1358" s="3076"/>
      <c r="K1358" s="3076"/>
      <c r="L1358" s="3076"/>
      <c r="M1358" s="3076"/>
      <c r="N1358" s="3076"/>
      <c r="O1358" s="3056" t="s">
        <v>2216</v>
      </c>
      <c r="P1358" s="3010" t="str">
        <f>'Part VIII-Threshold Criteria'!P408</f>
        <v>Agree</v>
      </c>
      <c r="Q1358" s="3010">
        <f>'Part VIII-Threshold Criteria'!Q408</f>
        <v>0</v>
      </c>
    </row>
    <row r="1359" spans="1:18">
      <c r="A1359" s="3055"/>
      <c r="B1359" s="3008" t="s">
        <v>1823</v>
      </c>
      <c r="C1359" s="3076" t="s">
        <v>3842</v>
      </c>
      <c r="D1359" s="3076"/>
      <c r="E1359" s="3076"/>
      <c r="F1359" s="3076"/>
      <c r="G1359" s="3076"/>
      <c r="H1359" s="3076"/>
      <c r="I1359" s="3076"/>
      <c r="J1359" s="3076"/>
      <c r="K1359" s="3076"/>
      <c r="L1359" s="3076"/>
      <c r="M1359" s="3076"/>
      <c r="N1359" s="3076"/>
      <c r="O1359" s="3056" t="s">
        <v>1823</v>
      </c>
      <c r="P1359" s="3010" t="str">
        <f>'Part VIII-Threshold Criteria'!P409</f>
        <v>Agree</v>
      </c>
      <c r="Q1359" s="3010">
        <f>'Part VIII-Threshold Criteria'!Q409</f>
        <v>0</v>
      </c>
    </row>
    <row r="1360" spans="1:18">
      <c r="A1360" s="3055"/>
      <c r="B1360" s="3008" t="s">
        <v>1824</v>
      </c>
      <c r="C1360" s="3076" t="s">
        <v>3843</v>
      </c>
      <c r="D1360" s="3076"/>
      <c r="E1360" s="3076"/>
      <c r="F1360" s="3076"/>
      <c r="G1360" s="3076"/>
      <c r="H1360" s="3076"/>
      <c r="I1360" s="3076"/>
      <c r="J1360" s="3076"/>
      <c r="K1360" s="3076"/>
      <c r="L1360" s="3076"/>
      <c r="M1360" s="3076"/>
      <c r="N1360" s="3076"/>
      <c r="O1360" s="3056" t="s">
        <v>1824</v>
      </c>
      <c r="P1360" s="3010" t="str">
        <f>'Part VIII-Threshold Criteria'!P410</f>
        <v>Agree</v>
      </c>
      <c r="Q1360" s="3010">
        <f>'Part VIII-Threshold Criteria'!Q410</f>
        <v>0</v>
      </c>
    </row>
    <row r="1361" spans="1:17">
      <c r="A1361" s="3055"/>
      <c r="B1361" s="3008" t="s">
        <v>2044</v>
      </c>
      <c r="C1361" s="3076" t="s">
        <v>4188</v>
      </c>
      <c r="D1361" s="3076"/>
      <c r="E1361" s="3076"/>
      <c r="F1361" s="3076"/>
      <c r="G1361" s="3076"/>
      <c r="H1361" s="3076"/>
      <c r="I1361" s="3076"/>
      <c r="J1361" s="3076"/>
      <c r="K1361" s="3076"/>
      <c r="L1361" s="3076"/>
      <c r="M1361" s="3076"/>
      <c r="N1361" s="3076"/>
      <c r="O1361" s="3056" t="s">
        <v>2044</v>
      </c>
      <c r="P1361" s="3010" t="str">
        <f>'Part VIII-Threshold Criteria'!P411</f>
        <v>Agree</v>
      </c>
      <c r="Q1361" s="3010">
        <f>'Part VIII-Threshold Criteria'!Q411</f>
        <v>0</v>
      </c>
    </row>
    <row r="1362" spans="1:17">
      <c r="B1362" s="3045" t="s">
        <v>1959</v>
      </c>
      <c r="D1362" s="3045"/>
      <c r="E1362" s="3045"/>
      <c r="F1362" s="3045"/>
      <c r="G1362" s="3045"/>
      <c r="H1362" s="3009"/>
      <c r="I1362" s="3006"/>
      <c r="J1362" s="3006"/>
      <c r="K1362" s="3006"/>
      <c r="L1362" s="2905"/>
      <c r="M1362" s="2905"/>
      <c r="N1362" s="2905"/>
      <c r="O1362" s="2905"/>
      <c r="P1362" s="2905"/>
      <c r="Q1362" s="2905"/>
    </row>
    <row r="1363" spans="1:17">
      <c r="A1363" s="2947" t="str">
        <f>'Part VIII-Threshold Criteria'!A413</f>
        <v>Applicant agrees to all of the above.</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1960</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2809</v>
      </c>
      <c r="C1367" s="524"/>
      <c r="D1367" s="3005"/>
      <c r="E1367" s="3014"/>
      <c r="F1367" s="3014"/>
      <c r="G1367" s="3014"/>
      <c r="H1367" s="3014"/>
      <c r="I1367" s="3014"/>
      <c r="J1367" s="3014"/>
      <c r="K1367" s="3014"/>
      <c r="L1367" s="3014"/>
      <c r="M1367" s="3014"/>
      <c r="O1367" s="3007" t="s">
        <v>1961</v>
      </c>
      <c r="P1367" s="2911">
        <f>'Part VIII-Threshold Criteria'!P417</f>
        <v>0</v>
      </c>
      <c r="Q1367" s="2911"/>
    </row>
    <row r="1368" spans="1:17">
      <c r="A1368" s="2884"/>
      <c r="B1368" s="3045" t="s">
        <v>1959</v>
      </c>
      <c r="D1368" s="3045"/>
      <c r="E1368" s="3045"/>
      <c r="F1368" s="3045"/>
      <c r="G1368" s="3045"/>
      <c r="H1368" s="3009"/>
      <c r="I1368" s="3006"/>
      <c r="J1368" s="3006"/>
      <c r="K1368" s="3006"/>
      <c r="L1368" s="2905"/>
      <c r="M1368" s="2905"/>
      <c r="N1368" s="2905"/>
      <c r="O1368" s="2905"/>
      <c r="P1368" s="2905"/>
      <c r="Q1368" s="2905"/>
    </row>
    <row r="1369" spans="1:17">
      <c r="A1369" s="2947" t="str">
        <f>'Part VIII-Threshold Criteria'!A419</f>
        <v>At just over $10,000 per unit in the amount of annual federal tax credit authority being requested, we submit that this request represents an efficient use of DCA's resources.</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1960</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2015-056 Lakeview Apartments,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4189</v>
      </c>
      <c r="B1376" s="2938"/>
      <c r="C1376" s="2938"/>
      <c r="D1376" s="2938"/>
      <c r="E1376" s="2938"/>
      <c r="F1376" s="2938"/>
      <c r="G1376" s="2938"/>
      <c r="H1376" s="2938"/>
      <c r="I1376" s="2938"/>
      <c r="J1376" s="2938"/>
      <c r="K1376" s="2938"/>
      <c r="L1376" s="2938"/>
      <c r="M1376" s="3088" t="s">
        <v>2325</v>
      </c>
      <c r="N1376" s="2893"/>
      <c r="O1376" s="2902" t="s">
        <v>2324</v>
      </c>
      <c r="P1376" s="2889" t="s">
        <v>268</v>
      </c>
    </row>
    <row r="1377" spans="1:17" ht="14.25">
      <c r="A1377" s="2938"/>
      <c r="B1377" s="2938"/>
      <c r="C1377" s="2938"/>
      <c r="D1377" s="2938"/>
      <c r="E1377" s="2938"/>
      <c r="F1377" s="2938"/>
      <c r="G1377" s="2938"/>
      <c r="H1377" s="2938"/>
      <c r="I1377" s="2938"/>
      <c r="J1377" s="2938"/>
      <c r="K1377" s="2938"/>
      <c r="L1377" s="2938"/>
      <c r="M1377" s="3088" t="s">
        <v>95</v>
      </c>
      <c r="N1377" s="524"/>
      <c r="O1377" s="2902" t="s">
        <v>2325</v>
      </c>
      <c r="P1377" s="2889" t="s">
        <v>2325</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1285</v>
      </c>
      <c r="M1379" s="3091">
        <f>M1746</f>
        <v>92</v>
      </c>
      <c r="N1379" s="2969"/>
      <c r="O1379" s="3091">
        <f>O1746</f>
        <v>51</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2085</v>
      </c>
      <c r="B1381" s="3093" t="s">
        <v>3090</v>
      </c>
      <c r="C1381" s="524"/>
      <c r="D1381" s="524"/>
      <c r="E1381" s="524"/>
      <c r="F1381" s="524"/>
      <c r="G1381" s="521"/>
      <c r="H1381" s="2972" t="s">
        <v>4595</v>
      </c>
      <c r="I1381" s="521"/>
      <c r="J1381" s="521"/>
      <c r="K1381" s="521"/>
      <c r="L1381" s="521"/>
      <c r="M1381" s="2902">
        <v>10</v>
      </c>
      <c r="N1381" s="3094"/>
      <c r="O1381" s="3091">
        <f>'Part IX A-Scoring Criteria'!O8</f>
        <v>10</v>
      </c>
      <c r="P1381" s="3091">
        <f>'Part IX A-Scoring Criteria'!P8</f>
        <v>10</v>
      </c>
      <c r="Q1381" s="2902" t="s">
        <v>458</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2081</v>
      </c>
      <c r="B1383" s="2912" t="s">
        <v>1962</v>
      </c>
      <c r="C1383" s="521"/>
      <c r="D1383" s="525"/>
      <c r="E1383" s="525"/>
      <c r="F1383" s="3006" t="s">
        <v>2711</v>
      </c>
      <c r="G1383" s="3009">
        <f>F1389</f>
        <v>0</v>
      </c>
      <c r="H1383" s="2696" t="s">
        <v>3267</v>
      </c>
      <c r="I1383" s="521"/>
      <c r="J1383" s="521"/>
      <c r="K1383" s="521"/>
      <c r="L1383" s="521"/>
      <c r="M1383" s="2893"/>
      <c r="N1383" s="2981" t="s">
        <v>2081</v>
      </c>
      <c r="O1383" s="3091">
        <f>'Part IX A-Scoring Criteria'!O10</f>
        <v>0</v>
      </c>
      <c r="P1383" s="3091">
        <f>'Part IX A-Scoring Criteria'!P10</f>
        <v>0</v>
      </c>
      <c r="Q1383" s="521"/>
    </row>
    <row r="1384" spans="1:17" ht="15">
      <c r="A1384" s="3059"/>
      <c r="B1384" s="525" t="s">
        <v>2214</v>
      </c>
      <c r="C1384" s="3095"/>
      <c r="D1384" s="525"/>
      <c r="E1384" s="525"/>
      <c r="F1384" s="3006" t="s">
        <v>2711</v>
      </c>
      <c r="G1384" s="3009">
        <f>P1389</f>
        <v>0</v>
      </c>
      <c r="H1384" s="2696" t="s">
        <v>3037</v>
      </c>
      <c r="I1384" s="3095"/>
      <c r="J1384" s="2972"/>
      <c r="K1384" s="3095"/>
      <c r="L1384" s="3095"/>
      <c r="M1384" s="2893">
        <v>1</v>
      </c>
      <c r="N1384" s="2981"/>
      <c r="O1384" s="3091">
        <f>'Part IX A-Scoring Criteria'!O11</f>
        <v>0</v>
      </c>
      <c r="P1384" s="3091">
        <f>'Part IX A-Scoring Criteria'!P11</f>
        <v>0</v>
      </c>
      <c r="Q1384" s="3095"/>
    </row>
    <row r="1385" spans="1:17">
      <c r="A1385" s="3059" t="s">
        <v>2084</v>
      </c>
      <c r="B1385" s="2912" t="s">
        <v>766</v>
      </c>
      <c r="C1385" s="521"/>
      <c r="D1385" s="525"/>
      <c r="E1385" s="525"/>
      <c r="F1385" s="3006" t="s">
        <v>2711</v>
      </c>
      <c r="G1385" s="3009">
        <f>K1389</f>
        <v>0</v>
      </c>
      <c r="H1385" s="2696" t="s">
        <v>4596</v>
      </c>
      <c r="I1385" s="521"/>
      <c r="J1385" s="2972"/>
      <c r="K1385" s="521"/>
      <c r="L1385" s="521"/>
      <c r="M1385" s="2893"/>
      <c r="N1385" s="2981" t="s">
        <v>2084</v>
      </c>
      <c r="O1385" s="3091">
        <f>'Part IX A-Scoring Criteria'!O12</f>
        <v>0</v>
      </c>
      <c r="P1385" s="3091">
        <f>'Part IX A-Scoring Criteria'!P12</f>
        <v>0</v>
      </c>
      <c r="Q1385" s="2902"/>
    </row>
    <row r="1386" spans="1:17" ht="15">
      <c r="A1386" s="2972" t="s">
        <v>267</v>
      </c>
      <c r="B1386" s="521"/>
      <c r="C1386" s="521"/>
      <c r="D1386" s="525"/>
      <c r="E1386" s="525"/>
      <c r="F1386" s="525"/>
      <c r="G1386" s="525"/>
      <c r="H1386" s="522"/>
      <c r="I1386" s="522"/>
      <c r="J1386" s="522"/>
      <c r="K1386" s="522"/>
      <c r="L1386" s="3095"/>
      <c r="M1386" s="2893"/>
      <c r="N1386" s="2887"/>
      <c r="O1386" s="3091"/>
      <c r="P1386" s="2889"/>
      <c r="Q1386" s="521"/>
    </row>
    <row r="1387" spans="1:17" ht="15.75">
      <c r="A1387" s="2947" t="str">
        <f>'Part IX A-Scoring Criteria'!A14</f>
        <v>The application is complete and organized in accordance with the QAP application instructions.</v>
      </c>
      <c r="B1387" s="2947"/>
      <c r="C1387" s="2947"/>
      <c r="D1387" s="2947"/>
      <c r="E1387" s="2947"/>
      <c r="F1387" s="2947"/>
      <c r="G1387" s="2947"/>
      <c r="H1387" s="2947"/>
      <c r="I1387" s="2947"/>
      <c r="J1387" s="2947"/>
      <c r="K1387" s="2947"/>
      <c r="L1387" s="2947"/>
      <c r="M1387" s="2947"/>
      <c r="N1387" s="2947"/>
      <c r="O1387" s="2947"/>
      <c r="P1387" s="2947"/>
      <c r="Q1387" s="3096" t="s">
        <v>1314</v>
      </c>
    </row>
    <row r="1388" spans="1:17">
      <c r="A1388" s="2972" t="s">
        <v>1960</v>
      </c>
      <c r="B1388" s="521"/>
      <c r="C1388" s="521"/>
      <c r="D1388" s="521"/>
      <c r="E1388" s="521"/>
      <c r="F1388" s="3006" t="s">
        <v>1801</v>
      </c>
      <c r="G1388" s="521"/>
      <c r="H1388" s="521"/>
      <c r="I1388" s="521"/>
      <c r="J1388" s="521"/>
      <c r="K1388" s="3006" t="s">
        <v>1801</v>
      </c>
      <c r="L1388" s="521"/>
      <c r="M1388" s="521"/>
      <c r="N1388" s="521"/>
      <c r="O1388" s="521"/>
      <c r="P1388" s="2981" t="s">
        <v>1801</v>
      </c>
      <c r="Q1388" s="521"/>
    </row>
    <row r="1389" spans="1:17">
      <c r="A1389" s="3051" t="s">
        <v>2521</v>
      </c>
      <c r="B1389" s="3051"/>
      <c r="C1389" s="3051"/>
      <c r="D1389" s="3051"/>
      <c r="E1389" s="2981" t="s">
        <v>532</v>
      </c>
      <c r="F1389" s="2902">
        <f>SUM(F1390:F1401)</f>
        <v>0</v>
      </c>
      <c r="G1389" s="3051" t="s">
        <v>3844</v>
      </c>
      <c r="H1389" s="3051"/>
      <c r="I1389" s="3051"/>
      <c r="J1389" s="2981" t="s">
        <v>532</v>
      </c>
      <c r="K1389" s="2902">
        <f>SUM(K1390:K1401)</f>
        <v>0</v>
      </c>
      <c r="L1389" s="3042" t="s">
        <v>4597</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1821</v>
      </c>
      <c r="L1390" s="2779">
        <f>'Part IX A-Scoring Criteria'!L17</f>
        <v>1</v>
      </c>
      <c r="M1390" s="2779"/>
      <c r="N1390" s="2779"/>
      <c r="O1390" s="2779"/>
      <c r="P1390" s="2909">
        <f>'Part IX A-Scoring Criteria'!P17</f>
        <v>0</v>
      </c>
      <c r="Q1390" s="3096" t="s">
        <v>1314</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3310</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3310</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2087</v>
      </c>
      <c r="B1403" s="3098" t="s">
        <v>1065</v>
      </c>
      <c r="C1403" s="3095"/>
      <c r="D1403" s="3095"/>
      <c r="E1403" s="522"/>
      <c r="F1403" s="3095"/>
      <c r="G1403" s="2965"/>
      <c r="H1403" s="522"/>
      <c r="I1403" s="3099" t="s">
        <v>4246</v>
      </c>
      <c r="J1403" s="3095"/>
      <c r="K1403" s="3095"/>
      <c r="L1403" s="3095"/>
      <c r="M1403" s="2902">
        <v>3</v>
      </c>
      <c r="N1403" s="2893"/>
      <c r="O1403" s="3091">
        <f>'Part IX A-Scoring Criteria'!O30</f>
        <v>2</v>
      </c>
      <c r="P1403" s="3091">
        <f>'Part IX A-Scoring Criteria'!P30</f>
        <v>0</v>
      </c>
      <c r="Q1403" s="2902" t="s">
        <v>458</v>
      </c>
    </row>
    <row r="1404" spans="1:17" ht="15">
      <c r="A1404" s="3100" t="s">
        <v>2081</v>
      </c>
      <c r="B1404" s="3101" t="s">
        <v>2753</v>
      </c>
      <c r="C1404" s="3095"/>
      <c r="D1404" s="3095"/>
      <c r="E1404" s="522"/>
      <c r="F1404" s="3095"/>
      <c r="G1404" s="2965"/>
      <c r="H1404" s="522"/>
      <c r="I1404" s="3102" t="s">
        <v>3849</v>
      </c>
      <c r="J1404" s="3102"/>
      <c r="K1404" s="3095"/>
      <c r="L1404" s="3095"/>
      <c r="M1404" s="2902"/>
      <c r="N1404" s="2893"/>
      <c r="O1404" s="2893"/>
      <c r="P1404" s="2893"/>
      <c r="Q1404" s="2893"/>
    </row>
    <row r="1405" spans="1:17" ht="15">
      <c r="A1405" s="3103"/>
      <c r="B1405" s="3046" t="s">
        <v>3847</v>
      </c>
      <c r="C1405" s="3104"/>
      <c r="D1405" s="3104"/>
      <c r="E1405" s="3105"/>
      <c r="F1405" s="3103"/>
      <c r="G1405" s="3103"/>
      <c r="H1405" s="3103"/>
      <c r="I1405" s="3102"/>
      <c r="J1405" s="3102"/>
      <c r="K1405" s="3075" t="s">
        <v>3846</v>
      </c>
      <c r="L1405" s="3075"/>
      <c r="M1405" s="2893"/>
      <c r="N1405" s="2957"/>
      <c r="O1405" s="3103"/>
      <c r="P1405" s="3103"/>
      <c r="Q1405" s="3103"/>
    </row>
    <row r="1406" spans="1:17" ht="15">
      <c r="A1406" s="3100"/>
      <c r="B1406" s="3046" t="s">
        <v>3848</v>
      </c>
      <c r="C1406" s="3104"/>
      <c r="D1406" s="3103"/>
      <c r="E1406" s="3106" t="s">
        <v>2085</v>
      </c>
      <c r="F1406" s="3107">
        <v>0.15</v>
      </c>
      <c r="G1406" s="3046" t="s">
        <v>3845</v>
      </c>
      <c r="H1406" s="3103"/>
      <c r="I1406" s="3108">
        <f>'Part IX A-Scoring Criteria'!I33</f>
        <v>21</v>
      </c>
      <c r="J1406" s="3108">
        <f>'Part IX A-Scoring Criteria'!J33</f>
        <v>0</v>
      </c>
      <c r="K1406" s="3109">
        <f>'Part IX A-Scoring Criteria'!K33</f>
        <v>0.21875</v>
      </c>
      <c r="L1406" s="3109">
        <f>'Part IX A-Scoring Criteria'!L33</f>
        <v>0</v>
      </c>
      <c r="M1406" s="2893">
        <v>1</v>
      </c>
      <c r="N1406" s="2957"/>
      <c r="O1406" s="3110"/>
      <c r="P1406" s="3111"/>
      <c r="Q1406" s="3103"/>
    </row>
    <row r="1407" spans="1:17" ht="15">
      <c r="A1407" s="3010" t="s">
        <v>1419</v>
      </c>
      <c r="B1407" s="3104"/>
      <c r="C1407" s="3104"/>
      <c r="D1407" s="3103"/>
      <c r="E1407" s="3106" t="s">
        <v>2087</v>
      </c>
      <c r="F1407" s="3107">
        <v>0.2</v>
      </c>
      <c r="G1407" s="3046" t="s">
        <v>3845</v>
      </c>
      <c r="H1407" s="3060"/>
      <c r="I1407" s="3108">
        <f>'Part IX A-Scoring Criteria'!I34</f>
        <v>21</v>
      </c>
      <c r="J1407" s="3108">
        <f>'Part IX A-Scoring Criteria'!J34</f>
        <v>0</v>
      </c>
      <c r="K1407" s="3109">
        <f>'Part IX A-Scoring Criteria'!K34</f>
        <v>0.21875</v>
      </c>
      <c r="L1407" s="3109">
        <f>'Part IX A-Scoring Criteria'!L34</f>
        <v>0</v>
      </c>
      <c r="M1407" s="2893">
        <v>2</v>
      </c>
      <c r="N1407" s="2957"/>
      <c r="O1407" s="3112" t="s">
        <v>2841</v>
      </c>
      <c r="P1407" s="3112"/>
      <c r="Q1407" s="3103"/>
    </row>
    <row r="1408" spans="1:17" ht="15">
      <c r="A1408" s="3100" t="s">
        <v>2084</v>
      </c>
      <c r="B1408" s="3101" t="s">
        <v>4598</v>
      </c>
      <c r="C1408" s="3103"/>
      <c r="D1408" s="3103"/>
      <c r="E1408" s="3071"/>
      <c r="F1408" s="3103"/>
      <c r="G1408" s="3103"/>
      <c r="H1408" s="3060" t="s">
        <v>2754</v>
      </c>
      <c r="I1408" s="3108">
        <f>'Part IX A-Scoring Criteria'!I35</f>
        <v>0</v>
      </c>
      <c r="J1408" s="3108">
        <f>'Part IX A-Scoring Criteria'!J35</f>
        <v>0</v>
      </c>
      <c r="K1408" s="3109">
        <f>'Part IX A-Scoring Criteria'!K35</f>
        <v>0</v>
      </c>
      <c r="L1408" s="3109">
        <f>'Part IX A-Scoring Criteria'!L35</f>
        <v>0</v>
      </c>
      <c r="M1408" s="2893">
        <v>3</v>
      </c>
      <c r="N1408" s="2957"/>
      <c r="O1408" s="3113">
        <v>0.15</v>
      </c>
      <c r="P1408" s="3113"/>
      <c r="Q1408" s="3103"/>
    </row>
    <row r="1409" spans="1:17" ht="15">
      <c r="A1409" s="521"/>
      <c r="B1409" s="2972" t="s">
        <v>267</v>
      </c>
      <c r="C1409" s="521"/>
      <c r="D1409" s="525"/>
      <c r="E1409" s="525"/>
      <c r="F1409" s="525"/>
      <c r="G1409" s="525"/>
      <c r="H1409" s="522"/>
      <c r="I1409" s="522"/>
      <c r="J1409" s="522"/>
      <c r="K1409" s="522"/>
      <c r="L1409" s="3095"/>
      <c r="M1409" s="2893"/>
      <c r="N1409" s="2887"/>
      <c r="O1409" s="3091"/>
      <c r="P1409" s="2889"/>
      <c r="Q1409" s="3095"/>
    </row>
    <row r="1410" spans="1:17" ht="15.75">
      <c r="A1410" s="2947" t="str">
        <f>'Part IX A-Scoring Criteria'!A37</f>
        <v>21 of the units will be set aside for residents making no more than 50% of Area Median Income.  In addition, 100% of the units will be subject to the existing HAP contract, documented in Tab 1.</v>
      </c>
      <c r="B1410" s="2947"/>
      <c r="C1410" s="2947"/>
      <c r="D1410" s="2947"/>
      <c r="E1410" s="2947"/>
      <c r="F1410" s="2947"/>
      <c r="G1410" s="2947"/>
      <c r="H1410" s="2947"/>
      <c r="I1410" s="2947"/>
      <c r="J1410" s="2947"/>
      <c r="K1410" s="2947"/>
      <c r="L1410" s="2947"/>
      <c r="M1410" s="2947"/>
      <c r="N1410" s="2947"/>
      <c r="O1410" s="2947"/>
      <c r="P1410" s="2947"/>
      <c r="Q1410" s="3096" t="s">
        <v>1314</v>
      </c>
    </row>
    <row r="1411" spans="1:17" ht="15">
      <c r="A1411" s="521"/>
      <c r="B1411" s="2972" t="s">
        <v>1960</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1314</v>
      </c>
    </row>
    <row r="1413" spans="1:17">
      <c r="N1413" s="2887"/>
      <c r="O1413" s="2889"/>
      <c r="P1413" s="2889"/>
    </row>
    <row r="1414" spans="1:17" ht="15">
      <c r="A1414" s="3092" t="s">
        <v>2661</v>
      </c>
      <c r="B1414" s="3093" t="s">
        <v>1968</v>
      </c>
      <c r="C1414" s="3095"/>
      <c r="D1414" s="3116"/>
      <c r="E1414" s="3095"/>
      <c r="F1414" s="3095"/>
      <c r="G1414" s="3095"/>
      <c r="H1414" s="3095"/>
      <c r="I1414" s="3095"/>
      <c r="J1414" s="2872" t="s">
        <v>626</v>
      </c>
      <c r="K1414" s="2872"/>
      <c r="L1414" s="2872"/>
      <c r="M1414" s="2902">
        <v>13</v>
      </c>
      <c r="N1414" s="2981"/>
      <c r="O1414" s="3091">
        <f>'Part IX A-Scoring Criteria'!O41</f>
        <v>13</v>
      </c>
      <c r="P1414" s="3091">
        <f>'Part IX A-Scoring Criteria'!P41</f>
        <v>0</v>
      </c>
      <c r="Q1414" s="2902" t="s">
        <v>458</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2081</v>
      </c>
      <c r="B1416" s="2912" t="s">
        <v>1969</v>
      </c>
      <c r="C1416" s="524"/>
      <c r="D1416" s="524"/>
      <c r="E1416" s="2696" t="s">
        <v>2890</v>
      </c>
      <c r="F1416" s="2694"/>
      <c r="G1416" s="2694"/>
      <c r="H1416" s="3095"/>
      <c r="I1416" s="3095"/>
      <c r="J1416" s="2872"/>
      <c r="K1416" s="2872"/>
      <c r="L1416" s="2872"/>
      <c r="M1416" s="2893">
        <v>12</v>
      </c>
      <c r="N1416" s="3117" t="s">
        <v>2081</v>
      </c>
      <c r="O1416" s="2902">
        <f>'Part IX A-Scoring Criteria'!O43</f>
        <v>12</v>
      </c>
      <c r="P1416" s="2902">
        <f>'Part IX A-Scoring Criteria'!P43</f>
        <v>0</v>
      </c>
      <c r="Q1416" s="2950" t="s">
        <v>2876</v>
      </c>
    </row>
    <row r="1417" spans="1:17" ht="15">
      <c r="A1417" s="3059" t="s">
        <v>2084</v>
      </c>
      <c r="B1417" s="2912" t="s">
        <v>3965</v>
      </c>
      <c r="C1417" s="524"/>
      <c r="D1417" s="524"/>
      <c r="E1417" s="3095"/>
      <c r="F1417" s="2696" t="s">
        <v>3987</v>
      </c>
      <c r="G1417" s="3095"/>
      <c r="H1417" s="2694"/>
      <c r="I1417" s="2696" t="s">
        <v>3988</v>
      </c>
      <c r="J1417" s="3095"/>
      <c r="K1417" s="3095"/>
      <c r="L1417" s="3070" t="s">
        <v>3967</v>
      </c>
      <c r="M1417" s="2893">
        <v>1</v>
      </c>
      <c r="N1417" s="2981" t="s">
        <v>2084</v>
      </c>
      <c r="O1417" s="2902">
        <f>'Part IX A-Scoring Criteria'!O44</f>
        <v>1</v>
      </c>
      <c r="P1417" s="2902">
        <f>'Part IX A-Scoring Criteria'!P44</f>
        <v>0</v>
      </c>
      <c r="Q1417" s="2950" t="s">
        <v>2876</v>
      </c>
    </row>
    <row r="1418" spans="1:17" ht="13.5">
      <c r="A1418" s="3059"/>
      <c r="B1418" s="2929" t="s">
        <v>3966</v>
      </c>
      <c r="C1418" s="2929"/>
      <c r="D1418" s="2929"/>
      <c r="E1418" s="2929"/>
      <c r="F1418" s="2796" t="str">
        <f>'Part IX A-Scoring Criteria'!F45</f>
        <v>Traditional town square</v>
      </c>
      <c r="G1418" s="2796"/>
      <c r="H1418" s="2796"/>
      <c r="I1418" s="2796" t="str">
        <f>'Part IX A-Scoring Criteria'!I45</f>
        <v>Fort Valley Town Square</v>
      </c>
      <c r="J1418" s="2796"/>
      <c r="K1418" s="2796"/>
      <c r="L1418" s="3118">
        <f>'Part IX A-Scoring Criteria'!L45</f>
        <v>0.9</v>
      </c>
      <c r="M1418" s="2893"/>
      <c r="N1418" s="3117"/>
      <c r="O1418" s="3117"/>
      <c r="P1418" s="3117"/>
      <c r="Q1418" s="2950"/>
    </row>
    <row r="1419" spans="1:17" ht="13.5">
      <c r="A1419" s="3059"/>
      <c r="B1419" s="2929"/>
      <c r="C1419" s="2929"/>
      <c r="D1419" s="2929"/>
      <c r="E1419" s="2929"/>
      <c r="F1419" s="2796" t="str">
        <f>'Part IX A-Scoring Criteria'!F46</f>
        <v>Restaurants</v>
      </c>
      <c r="G1419" s="2796"/>
      <c r="H1419" s="2796"/>
      <c r="I1419" s="2796" t="str">
        <f>'Part IX A-Scoring Criteria'!I46</f>
        <v>Main Street Grill</v>
      </c>
      <c r="J1419" s="2796"/>
      <c r="K1419" s="2796"/>
      <c r="L1419" s="3118">
        <f>'Part IX A-Scoring Criteria'!L46</f>
        <v>0.8</v>
      </c>
      <c r="M1419" s="2893"/>
      <c r="N1419" s="3117"/>
      <c r="O1419" s="3117"/>
      <c r="P1419" s="3117"/>
      <c r="Q1419" s="2950"/>
    </row>
    <row r="1420" spans="1:17" ht="13.5">
      <c r="A1420" s="3059"/>
      <c r="B1420" s="2929"/>
      <c r="C1420" s="2929"/>
      <c r="D1420" s="2929"/>
      <c r="E1420" s="2929"/>
      <c r="F1420" s="2796" t="str">
        <f>'Part IX A-Scoring Criteria'!F47</f>
        <v>Federally insured banking institutions</v>
      </c>
      <c r="G1420" s="2796"/>
      <c r="H1420" s="2796"/>
      <c r="I1420" s="2796" t="str">
        <f>'Part IX A-Scoring Criteria'!I47</f>
        <v>Sunmark Community Bank</v>
      </c>
      <c r="J1420" s="2796"/>
      <c r="K1420" s="2796"/>
      <c r="L1420" s="3118">
        <f>'Part IX A-Scoring Criteria'!L47</f>
        <v>0.8</v>
      </c>
      <c r="M1420" s="2893"/>
      <c r="N1420" s="3117"/>
      <c r="O1420" s="3117"/>
      <c r="P1420" s="3117"/>
      <c r="Q1420" s="2950"/>
    </row>
    <row r="1421" spans="1:17" ht="16.5">
      <c r="A1421" s="3059" t="s">
        <v>789</v>
      </c>
      <c r="B1421" s="2912" t="s">
        <v>1970</v>
      </c>
      <c r="C1421" s="3095"/>
      <c r="D1421" s="3116"/>
      <c r="E1421" s="2696" t="s">
        <v>442</v>
      </c>
      <c r="F1421" s="3119"/>
      <c r="G1421" s="3119"/>
      <c r="H1421" s="3119"/>
      <c r="I1421" s="3095"/>
      <c r="J1421" s="3095"/>
      <c r="K1421" s="3095"/>
      <c r="L1421" s="3095"/>
      <c r="M1421" s="3006" t="s">
        <v>1298</v>
      </c>
      <c r="N1421" s="2981" t="s">
        <v>789</v>
      </c>
      <c r="O1421" s="2902">
        <f>'Part IX A-Scoring Criteria'!O48</f>
        <v>0</v>
      </c>
      <c r="P1421" s="2902">
        <f>'Part IX A-Scoring Criteria'!P48</f>
        <v>0</v>
      </c>
      <c r="Q1421" s="2950" t="s">
        <v>2876</v>
      </c>
    </row>
    <row r="1422" spans="1:17" ht="15">
      <c r="A1422" s="521"/>
      <c r="B1422" s="2972" t="s">
        <v>267</v>
      </c>
      <c r="C1422" s="521"/>
      <c r="D1422" s="525"/>
      <c r="E1422" s="525"/>
      <c r="F1422" s="525"/>
      <c r="G1422" s="525"/>
      <c r="H1422" s="522"/>
      <c r="I1422" s="522"/>
      <c r="J1422" s="522"/>
      <c r="K1422" s="522"/>
      <c r="L1422" s="3095"/>
      <c r="M1422" s="2893"/>
      <c r="N1422" s="2887"/>
      <c r="O1422" s="3091"/>
      <c r="P1422" s="2889"/>
      <c r="Q1422" s="3095"/>
    </row>
    <row r="1423" spans="1:17" ht="15.75">
      <c r="A1423" s="2947" t="str">
        <f>'Part IX A-Scoring Criteria'!A50</f>
        <v>Documentation of desirable neighborhood amenities and characteristics are included in Tab 25.</v>
      </c>
      <c r="B1423" s="2947"/>
      <c r="C1423" s="2947"/>
      <c r="D1423" s="2947"/>
      <c r="E1423" s="2947"/>
      <c r="F1423" s="2947"/>
      <c r="G1423" s="2947"/>
      <c r="H1423" s="2947"/>
      <c r="I1423" s="2947"/>
      <c r="J1423" s="2947"/>
      <c r="K1423" s="2947"/>
      <c r="L1423" s="2947"/>
      <c r="M1423" s="2947"/>
      <c r="N1423" s="2947"/>
      <c r="O1423" s="2947"/>
      <c r="P1423" s="2947"/>
      <c r="Q1423" s="3096" t="s">
        <v>1314</v>
      </c>
    </row>
    <row r="1424" spans="1:17" ht="15">
      <c r="A1424" s="521"/>
      <c r="B1424" s="2972" t="s">
        <v>1960</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1314</v>
      </c>
    </row>
    <row r="1426" spans="1:17">
      <c r="M1426" s="521"/>
      <c r="N1426" s="2893"/>
      <c r="O1426" s="2902"/>
      <c r="P1426" s="2902"/>
    </row>
    <row r="1427" spans="1:17" ht="15">
      <c r="A1427" s="3092" t="s">
        <v>1283</v>
      </c>
      <c r="B1427" s="3093" t="s">
        <v>2767</v>
      </c>
      <c r="C1427" s="3095"/>
      <c r="D1427" s="3116"/>
      <c r="E1427" s="3095"/>
      <c r="F1427" s="3095"/>
      <c r="G1427" s="3095"/>
      <c r="H1427" s="3099" t="s">
        <v>2825</v>
      </c>
      <c r="I1427" s="2972" t="s">
        <v>1976</v>
      </c>
      <c r="J1427" s="525"/>
      <c r="K1427" s="525"/>
      <c r="L1427" s="3095"/>
      <c r="M1427" s="2902">
        <v>5</v>
      </c>
      <c r="N1427" s="2981"/>
      <c r="O1427" s="3091">
        <f>'Part IX A-Scoring Criteria'!O54</f>
        <v>2</v>
      </c>
      <c r="P1427" s="3091">
        <f>'Part IX A-Scoring Criteria'!P54</f>
        <v>0</v>
      </c>
      <c r="Q1427" s="2902" t="s">
        <v>458</v>
      </c>
    </row>
    <row r="1428" spans="1:17" ht="15">
      <c r="A1428" s="3120" t="s">
        <v>3091</v>
      </c>
      <c r="B1428" s="3093"/>
      <c r="C1428" s="3095"/>
      <c r="D1428" s="3116"/>
      <c r="E1428" s="3095"/>
      <c r="F1428" s="3095"/>
      <c r="G1428" s="3095"/>
      <c r="H1428" s="2912" t="s">
        <v>3100</v>
      </c>
      <c r="I1428" s="3121"/>
      <c r="J1428" s="2912" t="str">
        <f>'Part I-Project Information'!$H$90</f>
        <v>Rural</v>
      </c>
      <c r="K1428" s="3095"/>
      <c r="M1428" s="2902"/>
      <c r="N1428" s="2902"/>
      <c r="O1428" s="2902"/>
      <c r="P1428" s="2902"/>
      <c r="Q1428" s="2902"/>
    </row>
    <row r="1429" spans="1:17">
      <c r="A1429" s="3049" t="s">
        <v>2081</v>
      </c>
      <c r="B1429" s="2892" t="s">
        <v>4599</v>
      </c>
      <c r="C1429" s="2892"/>
      <c r="D1429" s="2892"/>
      <c r="E1429" s="2892"/>
      <c r="F1429" s="2892"/>
      <c r="G1429" s="2892"/>
      <c r="H1429" s="2892"/>
      <c r="I1429" s="2929" t="s">
        <v>4600</v>
      </c>
      <c r="J1429" s="2929"/>
      <c r="K1429" s="2929"/>
      <c r="L1429" s="2929"/>
      <c r="M1429" s="3122">
        <v>5</v>
      </c>
      <c r="N1429" s="3123" t="s">
        <v>2081</v>
      </c>
      <c r="O1429" s="3124">
        <f>'Part IX A-Scoring Criteria'!O56</f>
        <v>0</v>
      </c>
      <c r="P1429" s="3124">
        <f>'Part IX A-Scoring Criteria'!P56</f>
        <v>0</v>
      </c>
      <c r="Q1429" s="3125" t="str">
        <f>IF(OR($O1429=$M1429,$O1429=0,$O1429=""),"","* * Check Score! * *")</f>
        <v/>
      </c>
    </row>
    <row r="1430" spans="1:17">
      <c r="A1430" s="3049" t="s">
        <v>2084</v>
      </c>
      <c r="B1430" s="3126" t="s">
        <v>4601</v>
      </c>
      <c r="C1430" s="3126"/>
      <c r="D1430" s="3126"/>
      <c r="E1430" s="3126"/>
      <c r="F1430" s="3126"/>
      <c r="G1430" s="3126"/>
      <c r="H1430" s="3126"/>
      <c r="I1430" s="2788" t="str">
        <f>'Part IX A-Scoring Criteria'!I57</f>
        <v>Enter transit agency name</v>
      </c>
      <c r="J1430" s="2788"/>
      <c r="K1430" s="2788"/>
      <c r="L1430" s="3127" t="str">
        <f>'Part IX A-Scoring Criteria'!L57</f>
        <v>Enter Agency phone</v>
      </c>
      <c r="M1430" s="3122">
        <v>4</v>
      </c>
      <c r="N1430" s="3056" t="s">
        <v>2084</v>
      </c>
      <c r="O1430" s="3124">
        <f>'Part IX A-Scoring Criteria'!O57</f>
        <v>0</v>
      </c>
      <c r="P1430" s="3124">
        <f>'Part IX A-Scoring Criteria'!P57</f>
        <v>0</v>
      </c>
      <c r="Q1430" s="3125" t="str">
        <f>IF(OR($O1430=$M1430,$O1430=0,$O1430=""),"","* * Check Score! * *")</f>
        <v/>
      </c>
    </row>
    <row r="1431" spans="1:17">
      <c r="A1431" s="3059" t="s">
        <v>789</v>
      </c>
      <c r="B1431" s="525" t="s">
        <v>4602</v>
      </c>
      <c r="C1431" s="3126"/>
      <c r="D1431" s="3126"/>
      <c r="E1431" s="3126"/>
      <c r="F1431" s="3126"/>
      <c r="G1431" s="3126"/>
      <c r="H1431" s="3126"/>
      <c r="I1431" s="2779" t="str">
        <f>'Part IX A-Scoring Criteria'!I58</f>
        <v>Enter specific URL/webpage showing established schedule from transit agency website</v>
      </c>
      <c r="J1431" s="2779"/>
      <c r="K1431" s="2779"/>
      <c r="L1431" s="2779"/>
      <c r="M1431" s="3122">
        <v>3</v>
      </c>
      <c r="N1431" s="3117" t="s">
        <v>789</v>
      </c>
      <c r="O1431" s="3124">
        <f>'Part IX A-Scoring Criteria'!O58</f>
        <v>0</v>
      </c>
      <c r="P1431" s="3124">
        <f>'Part IX A-Scoring Criteria'!P58</f>
        <v>0</v>
      </c>
      <c r="Q1431" s="3125" t="str">
        <f>IF(OR($O1431=$M1431,$O1431=0,$O1431=""),"","* * Check Score! * *")</f>
        <v/>
      </c>
    </row>
    <row r="1432" spans="1:17" ht="15">
      <c r="A1432" s="3059" t="s">
        <v>2216</v>
      </c>
      <c r="B1432" s="525" t="s">
        <v>4603</v>
      </c>
      <c r="C1432" s="3095"/>
      <c r="D1432" s="3095"/>
      <c r="E1432" s="3116"/>
      <c r="F1432" s="3095"/>
      <c r="G1432" s="3095"/>
      <c r="H1432" s="3095"/>
      <c r="I1432" s="2779"/>
      <c r="J1432" s="2779"/>
      <c r="K1432" s="2779"/>
      <c r="L1432" s="2779"/>
      <c r="M1432" s="2893">
        <v>2</v>
      </c>
      <c r="N1432" s="3117" t="s">
        <v>2216</v>
      </c>
      <c r="O1432" s="3124">
        <f>'Part IX A-Scoring Criteria'!O59</f>
        <v>0</v>
      </c>
      <c r="P1432" s="3124">
        <f>'Part IX A-Scoring Criteria'!P59</f>
        <v>0</v>
      </c>
      <c r="Q1432" s="3128" t="str">
        <f>IF(OR($O1432=$M1432,$O1432=0,$O1432=""),"","* * Check Score! * *")</f>
        <v/>
      </c>
    </row>
    <row r="1433" spans="1:17" ht="15">
      <c r="A1433" s="3059" t="s">
        <v>1823</v>
      </c>
      <c r="B1433" s="3126" t="s">
        <v>4604</v>
      </c>
      <c r="C1433" s="3095"/>
      <c r="D1433" s="3095"/>
      <c r="E1433" s="3116"/>
      <c r="F1433" s="3095"/>
      <c r="G1433" s="3095"/>
      <c r="H1433" s="3095"/>
      <c r="I1433" s="2779" t="str">
        <f>'Part IX A-Scoring Criteria'!I60</f>
        <v>Enter specific URL/webpage showing established routes from transit agency website (if different)</v>
      </c>
      <c r="J1433" s="2779"/>
      <c r="K1433" s="2779"/>
      <c r="L1433" s="2779"/>
      <c r="M1433" s="2893">
        <v>1</v>
      </c>
      <c r="N1433" s="3117" t="s">
        <v>1823</v>
      </c>
      <c r="O1433" s="3124">
        <f>'Part IX A-Scoring Criteria'!O60</f>
        <v>0</v>
      </c>
      <c r="P1433" s="3124">
        <f>'Part IX A-Scoring Criteria'!P60</f>
        <v>0</v>
      </c>
      <c r="Q1433" s="3128" t="str">
        <f>IF(OR($O1433=$M1433,$O1433=0,$O1433=""),"","* * Check Score! * *")</f>
        <v/>
      </c>
    </row>
    <row r="1434" spans="1:17" ht="15">
      <c r="A1434" s="3120" t="s">
        <v>3093</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1824</v>
      </c>
      <c r="B1435" s="2912" t="s">
        <v>4605</v>
      </c>
      <c r="C1435" s="2912"/>
      <c r="D1435" s="2912"/>
      <c r="E1435" s="2912"/>
      <c r="F1435" s="2912"/>
      <c r="G1435" s="2912"/>
      <c r="H1435" s="2912"/>
      <c r="I1435" s="2912"/>
      <c r="J1435" s="2912"/>
      <c r="K1435" s="2912"/>
      <c r="L1435" s="2912"/>
      <c r="M1435" s="2893">
        <v>2</v>
      </c>
      <c r="N1435" s="3117" t="s">
        <v>1824</v>
      </c>
      <c r="O1435" s="3124">
        <f>'Part IX A-Scoring Criteria'!O62</f>
        <v>2</v>
      </c>
      <c r="P1435" s="3124">
        <f>'Part IX A-Scoring Criteria'!P62</f>
        <v>0</v>
      </c>
      <c r="Q1435" s="3128" t="str">
        <f>IF(OR($O1435=$M1435,$O1435=0,$O1435=""),"","* * Check Score! * *")</f>
        <v/>
      </c>
    </row>
    <row r="1436" spans="1:17" ht="15">
      <c r="A1436" s="522" t="s">
        <v>4376</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267</v>
      </c>
      <c r="C1437" s="521"/>
      <c r="D1437" s="525"/>
      <c r="E1437" s="525"/>
      <c r="F1437" s="525"/>
      <c r="G1437" s="525"/>
      <c r="H1437" s="522"/>
      <c r="I1437" s="522"/>
      <c r="J1437" s="522"/>
      <c r="K1437" s="522"/>
      <c r="L1437" s="3129"/>
      <c r="M1437" s="2893"/>
      <c r="N1437" s="2893"/>
      <c r="O1437" s="3091"/>
      <c r="P1437" s="2902"/>
      <c r="Q1437" s="3129"/>
    </row>
    <row r="1438" spans="1:17" ht="15.75">
      <c r="A1438" s="2947" t="str">
        <f>'Part IX A-Scoring Criteria'!A65</f>
        <v>Rural Pool:  as we are eligible, Peach County operates an on-call transit service onsite.  Please see letter from Peach County Transit in Tab 26</v>
      </c>
      <c r="B1438" s="2947"/>
      <c r="C1438" s="2947"/>
      <c r="D1438" s="2947"/>
      <c r="E1438" s="2947"/>
      <c r="F1438" s="2947"/>
      <c r="G1438" s="2947"/>
      <c r="H1438" s="2947"/>
      <c r="I1438" s="2947"/>
      <c r="J1438" s="2947"/>
      <c r="K1438" s="2947"/>
      <c r="L1438" s="2947"/>
      <c r="M1438" s="2947"/>
      <c r="N1438" s="2947"/>
      <c r="O1438" s="2947"/>
      <c r="P1438" s="2947"/>
      <c r="Q1438" s="3096" t="s">
        <v>1314</v>
      </c>
    </row>
    <row r="1439" spans="1:17" ht="15">
      <c r="A1439" s="521"/>
      <c r="B1439" s="2972" t="s">
        <v>1960</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1314</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1284</v>
      </c>
      <c r="B1442" s="3093" t="s">
        <v>2768</v>
      </c>
      <c r="C1442" s="3095"/>
      <c r="D1442" s="3116"/>
      <c r="E1442" s="522" t="s">
        <v>1451</v>
      </c>
      <c r="F1442" s="3095"/>
      <c r="G1442" s="3095"/>
      <c r="H1442" s="3095"/>
      <c r="I1442" s="2972" t="s">
        <v>1976</v>
      </c>
      <c r="J1442" s="3095"/>
      <c r="K1442" s="3095"/>
      <c r="L1442" s="3095"/>
      <c r="M1442" s="2902">
        <v>2</v>
      </c>
      <c r="N1442" s="3131" t="str">
        <f>IF(OR($O1442=$M1442,$O1442=0,$O1442=""),"","***")</f>
        <v/>
      </c>
      <c r="O1442" s="2902">
        <f>'Part IX A-Scoring Criteria'!O69</f>
        <v>0</v>
      </c>
      <c r="P1442" s="2902">
        <f>'Part IX A-Scoring Criteria'!P69</f>
        <v>0</v>
      </c>
      <c r="Q1442" s="2902" t="s">
        <v>458</v>
      </c>
    </row>
    <row r="1443" spans="1:17" ht="15">
      <c r="A1443" s="3049" t="s">
        <v>2081</v>
      </c>
      <c r="B1443" s="566" t="s">
        <v>2755</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2084</v>
      </c>
      <c r="B1444" s="566" t="s">
        <v>3989</v>
      </c>
      <c r="C1444" s="3095"/>
      <c r="D1444" s="3116"/>
      <c r="E1444" s="522"/>
      <c r="F1444" s="3095"/>
      <c r="G1444" s="3095"/>
      <c r="H1444" s="3095"/>
      <c r="I1444" s="3095"/>
      <c r="K1444" s="2963">
        <f>'Part IX A-Scoring Criteria'!K71</f>
        <v>0</v>
      </c>
      <c r="L1444" s="2963"/>
      <c r="M1444" s="2963"/>
      <c r="N1444" s="3095"/>
      <c r="O1444" s="3070" t="s">
        <v>2636</v>
      </c>
      <c r="P1444" s="3070" t="s">
        <v>2636</v>
      </c>
      <c r="Q1444" s="2902"/>
    </row>
    <row r="1445" spans="1:17" ht="15">
      <c r="A1445" s="3059" t="s">
        <v>789</v>
      </c>
      <c r="B1445" s="566" t="s">
        <v>4196</v>
      </c>
      <c r="C1445" s="3095"/>
      <c r="D1445" s="3116"/>
      <c r="E1445" s="522"/>
      <c r="F1445" s="3095"/>
      <c r="G1445" s="3095"/>
      <c r="H1445" s="3095"/>
      <c r="I1445" s="3095"/>
      <c r="J1445" s="3095"/>
      <c r="K1445" s="3095"/>
      <c r="L1445" s="3095"/>
      <c r="M1445" s="3095"/>
      <c r="N1445" s="3117" t="s">
        <v>789</v>
      </c>
      <c r="O1445" s="3124">
        <f>'Part IX A-Scoring Criteria'!O72</f>
        <v>0</v>
      </c>
      <c r="P1445" s="3124">
        <f>'Part IX A-Scoring Criteria'!P72</f>
        <v>0</v>
      </c>
      <c r="Q1445" s="2902"/>
    </row>
    <row r="1446" spans="1:17" ht="15">
      <c r="A1446" s="521"/>
      <c r="B1446" s="2972" t="s">
        <v>267</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The site is not located in a Brownfield.</v>
      </c>
      <c r="B1447" s="2947"/>
      <c r="C1447" s="2947"/>
      <c r="D1447" s="2947"/>
      <c r="E1447" s="2947"/>
      <c r="F1447" s="2947"/>
      <c r="G1447" s="2947"/>
      <c r="H1447" s="2947"/>
      <c r="I1447" s="2947"/>
      <c r="J1447" s="2947"/>
      <c r="K1447" s="2947"/>
      <c r="L1447" s="2947"/>
      <c r="M1447" s="2947"/>
      <c r="N1447" s="2947"/>
      <c r="O1447" s="2947"/>
      <c r="P1447" s="2947"/>
      <c r="Q1447" s="3096" t="s">
        <v>1314</v>
      </c>
    </row>
    <row r="1448" spans="1:17" ht="15">
      <c r="A1448" s="521"/>
      <c r="B1448" s="2972" t="s">
        <v>1960</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1314</v>
      </c>
    </row>
    <row r="1450" spans="1:17">
      <c r="N1450" s="2887"/>
      <c r="O1450" s="2889"/>
      <c r="P1450" s="2889"/>
    </row>
    <row r="1451" spans="1:17" ht="15">
      <c r="A1451" s="3092" t="s">
        <v>1978</v>
      </c>
      <c r="B1451" s="3093" t="s">
        <v>223</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458</v>
      </c>
    </row>
    <row r="1452" spans="1:17" ht="15">
      <c r="A1452" s="3092"/>
      <c r="B1452" s="3009" t="s">
        <v>4606</v>
      </c>
      <c r="C1452" s="3095"/>
      <c r="D1452" s="3095"/>
      <c r="E1452" s="3095"/>
      <c r="F1452" s="3095"/>
      <c r="G1452" s="3095"/>
      <c r="H1452" s="3095"/>
      <c r="I1452" s="2873" t="str">
        <f>'Part IX A-Scoring Criteria'!I79</f>
        <v>Earth Craft House Multifamily</v>
      </c>
      <c r="J1452" s="2873"/>
      <c r="K1452" s="2873"/>
      <c r="L1452" s="3095"/>
      <c r="M1452" s="2902"/>
      <c r="N1452" s="3131"/>
      <c r="O1452" s="2893"/>
      <c r="P1452" s="2893"/>
      <c r="Q1452" s="2902"/>
    </row>
    <row r="1453" spans="1:17" ht="15">
      <c r="A1453" s="3092"/>
      <c r="B1453" s="3005" t="s">
        <v>3100</v>
      </c>
      <c r="C1453" s="3095"/>
      <c r="D1453" s="3095"/>
      <c r="E1453" s="3095"/>
      <c r="F1453" s="3095"/>
      <c r="G1453" s="3116"/>
      <c r="H1453" s="3116"/>
      <c r="I1453" s="3005" t="str">
        <f>'Part I-Project Information'!$H$90</f>
        <v>Rural</v>
      </c>
      <c r="J1453" s="3095"/>
      <c r="L1453" s="3095"/>
      <c r="M1453" s="2902"/>
      <c r="N1453" s="3131"/>
      <c r="O1453" s="2893"/>
      <c r="P1453" s="2893"/>
      <c r="Q1453" s="2902"/>
    </row>
    <row r="1454" spans="1:17">
      <c r="A1454" s="3059" t="s">
        <v>2081</v>
      </c>
      <c r="B1454" s="2912" t="s">
        <v>2437</v>
      </c>
      <c r="D1454" s="521"/>
      <c r="M1454" s="2893">
        <v>3</v>
      </c>
      <c r="O1454" s="3070" t="s">
        <v>2636</v>
      </c>
      <c r="P1454" s="3070" t="s">
        <v>2636</v>
      </c>
    </row>
    <row r="1455" spans="1:17" ht="15">
      <c r="A1455" s="3095"/>
      <c r="B1455" s="3132" t="s">
        <v>2847</v>
      </c>
      <c r="C1455" s="3095"/>
      <c r="D1455" s="3116"/>
      <c r="E1455" s="3095"/>
      <c r="F1455" s="3095"/>
      <c r="G1455" s="3095"/>
      <c r="H1455" s="3095"/>
      <c r="I1455" s="3095"/>
      <c r="J1455" s="3095"/>
      <c r="K1455" s="3095"/>
      <c r="L1455" s="3095"/>
      <c r="M1455" s="2902"/>
      <c r="N1455" s="3117" t="s">
        <v>2081</v>
      </c>
      <c r="O1455" s="3124" t="str">
        <f>'Part IX A-Scoring Criteria'!O82</f>
        <v>No</v>
      </c>
      <c r="P1455" s="3124">
        <f>'Part IX A-Scoring Criteria'!P82</f>
        <v>0</v>
      </c>
      <c r="Q1455" s="2902"/>
    </row>
    <row r="1456" spans="1:17">
      <c r="B1456" s="3133" t="s">
        <v>2085</v>
      </c>
      <c r="C1456" s="3062" t="s">
        <v>2756</v>
      </c>
    </row>
    <row r="1457" spans="1:17">
      <c r="A1457" s="3134" t="str">
        <f>IF(AND(O1457="",$I$79="Earth Craft Communities"), "X","")</f>
        <v/>
      </c>
      <c r="B1457" s="3056"/>
      <c r="C1457" s="2947" t="s">
        <v>2758</v>
      </c>
      <c r="D1457" s="2947"/>
      <c r="E1457" s="2947"/>
      <c r="F1457" s="2947"/>
      <c r="G1457" s="2947"/>
      <c r="H1457" s="2947"/>
      <c r="I1457" s="2947"/>
      <c r="J1457" s="2947"/>
      <c r="K1457" s="2947"/>
      <c r="L1457" s="2947"/>
      <c r="M1457" s="2924" t="str">
        <f>IF(AND($I$103="Stable Communities &lt; 10%",O1457=""), "X","")</f>
        <v/>
      </c>
      <c r="N1457" s="3135" t="s">
        <v>2085</v>
      </c>
      <c r="O1457" s="3124">
        <f>'Part IX A-Scoring Criteria'!O84</f>
        <v>0</v>
      </c>
      <c r="P1457" s="3124">
        <f>'Part IX A-Scoring Criteria'!P84</f>
        <v>0</v>
      </c>
    </row>
    <row r="1458" spans="1:17">
      <c r="B1458" s="3133" t="s">
        <v>2087</v>
      </c>
      <c r="C1458" s="3062" t="s">
        <v>2757</v>
      </c>
      <c r="M1458" s="2926"/>
      <c r="O1458" s="3070" t="s">
        <v>2636</v>
      </c>
      <c r="P1458" s="3070" t="s">
        <v>2636</v>
      </c>
    </row>
    <row r="1459" spans="1:17">
      <c r="A1459" s="3134" t="str">
        <f>IF(AND(O1459="",$I$79="LEED-ND"), "X","")</f>
        <v/>
      </c>
      <c r="B1459" s="3056"/>
      <c r="C1459" s="2947" t="s">
        <v>2906</v>
      </c>
      <c r="D1459" s="2947"/>
      <c r="E1459" s="2947"/>
      <c r="F1459" s="2947"/>
      <c r="G1459" s="2947"/>
      <c r="H1459" s="2947"/>
      <c r="I1459" s="2947"/>
      <c r="J1459" s="2947"/>
      <c r="K1459" s="2947"/>
      <c r="L1459" s="2947"/>
      <c r="M1459" s="2924" t="str">
        <f>IF(AND($I$103="Stable Communities &lt; 10%",O1459=""), "X","")</f>
        <v/>
      </c>
      <c r="N1459" s="3135" t="s">
        <v>2087</v>
      </c>
      <c r="O1459" s="3124">
        <f>'Part IX A-Scoring Criteria'!O86</f>
        <v>0</v>
      </c>
      <c r="P1459" s="3124">
        <f>'Part IX A-Scoring Criteria'!P86</f>
        <v>0</v>
      </c>
    </row>
    <row r="1460" spans="1:17">
      <c r="A1460" s="3059" t="s">
        <v>2084</v>
      </c>
      <c r="B1460" s="2912" t="s">
        <v>323</v>
      </c>
      <c r="D1460" s="521"/>
      <c r="E1460" s="521"/>
      <c r="F1460" s="521"/>
      <c r="M1460" s="2893">
        <v>2</v>
      </c>
      <c r="N1460" s="3117" t="s">
        <v>2084</v>
      </c>
      <c r="O1460" s="3070" t="s">
        <v>2636</v>
      </c>
      <c r="P1460" s="3070" t="s">
        <v>2636</v>
      </c>
    </row>
    <row r="1461" spans="1:17" ht="15">
      <c r="A1461" s="2889" t="str">
        <f>IF(AND(O1461="",OR($I$79="Earth Craft House Single Family",$I$79="Earth Craft House Multifamily",$I$79="Earth Craft House Renovation",$I$79="EF Green Communities",$I$79="LEED for Homes",$I$79="NAHB Natl Green Bdlg Stds",$I$79="EnergyStar v3")), "X","")</f>
        <v/>
      </c>
      <c r="B1461" s="3135" t="s">
        <v>2085</v>
      </c>
      <c r="C1461" s="3069" t="s">
        <v>2910</v>
      </c>
      <c r="D1461" s="3116"/>
      <c r="E1461" s="3095"/>
      <c r="F1461" s="3095"/>
      <c r="G1461" s="3095"/>
      <c r="H1461" s="3095"/>
      <c r="I1461" s="3095"/>
      <c r="J1461" s="3095"/>
      <c r="K1461" s="3095"/>
      <c r="L1461" s="3095"/>
      <c r="M1461" s="2902"/>
      <c r="N1461" s="3135" t="s">
        <v>2085</v>
      </c>
      <c r="O1461" s="3124" t="str">
        <f>'Part IX A-Scoring Criteria'!O88</f>
        <v>Yes</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2087</v>
      </c>
      <c r="C1462" s="3069" t="s">
        <v>2907</v>
      </c>
      <c r="D1462" s="3116"/>
      <c r="E1462" s="3095"/>
      <c r="F1462" s="3095"/>
      <c r="G1462" s="3095"/>
      <c r="H1462" s="3095"/>
      <c r="I1462" s="3095"/>
      <c r="J1462" s="3095"/>
      <c r="K1462" s="3095"/>
      <c r="L1462" s="3095"/>
      <c r="M1462" s="2902"/>
      <c r="N1462" s="3135" t="s">
        <v>2087</v>
      </c>
      <c r="O1462" s="3124" t="str">
        <f>'Part IX A-Scoring Criteria'!O89</f>
        <v>Yes</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2661</v>
      </c>
      <c r="C1463" s="3069" t="s">
        <v>2908</v>
      </c>
      <c r="D1463" s="3116"/>
      <c r="E1463" s="3095"/>
      <c r="F1463" s="3095"/>
      <c r="G1463" s="3095"/>
      <c r="H1463" s="3095"/>
      <c r="I1463" s="3095"/>
      <c r="J1463" s="3095"/>
      <c r="K1463" s="3095"/>
      <c r="L1463" s="3095"/>
      <c r="M1463" s="2902"/>
      <c r="N1463" s="3135" t="s">
        <v>2661</v>
      </c>
      <c r="O1463" s="3124" t="str">
        <f>'Part IX A-Scoring Criteria'!O90</f>
        <v>Yes</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1283</v>
      </c>
      <c r="C1464" s="3069" t="s">
        <v>2909</v>
      </c>
      <c r="D1464" s="3116"/>
      <c r="E1464" s="3095"/>
      <c r="F1464" s="3095"/>
      <c r="G1464" s="3095"/>
      <c r="H1464" s="3095"/>
      <c r="I1464" s="3095"/>
      <c r="J1464" s="3095"/>
      <c r="K1464" s="3095"/>
      <c r="L1464" s="3095"/>
      <c r="M1464" s="2902"/>
      <c r="N1464" s="3135" t="s">
        <v>1283</v>
      </c>
      <c r="O1464" s="3124" t="str">
        <f>'Part IX A-Scoring Criteria'!O91</f>
        <v>Yes</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789</v>
      </c>
      <c r="B1466" s="2912" t="s">
        <v>3850</v>
      </c>
      <c r="D1466" s="521"/>
      <c r="E1466" s="521"/>
      <c r="I1466" s="2963" t="s">
        <v>4059</v>
      </c>
      <c r="J1466" s="2963"/>
      <c r="K1466" s="2963"/>
      <c r="L1466" s="2963"/>
      <c r="M1466" s="2893">
        <v>1</v>
      </c>
      <c r="N1466" s="3117" t="s">
        <v>789</v>
      </c>
      <c r="O1466" s="2902">
        <f>'Part IX A-Scoring Criteria'!O93</f>
        <v>1</v>
      </c>
      <c r="P1466" s="2902">
        <f>'Part IX A-Scoring Criteria'!P93</f>
        <v>0</v>
      </c>
      <c r="Q1466" s="2950" t="s">
        <v>2876</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2085</v>
      </c>
      <c r="C1467" s="3138" t="s">
        <v>4382</v>
      </c>
      <c r="D1467" s="3139"/>
      <c r="M1467" s="3141"/>
      <c r="N1467" s="3137" t="s">
        <v>2085</v>
      </c>
      <c r="O1467" s="3124" t="str">
        <f>'Part IX A-Scoring Criteria'!O94</f>
        <v>Yes</v>
      </c>
      <c r="P1467" s="3124">
        <f>'Part IX A-Scoring Criteria'!P94</f>
        <v>0</v>
      </c>
      <c r="Q1467" s="3141"/>
    </row>
    <row r="1468" spans="1:17" s="3144" customFormat="1" ht="11.45" customHeight="1">
      <c r="A1468" s="3142"/>
      <c r="B1468" s="3137" t="s">
        <v>2087</v>
      </c>
      <c r="C1468" s="3143" t="s">
        <v>4381</v>
      </c>
      <c r="D1468" s="3143"/>
      <c r="H1468" s="3145" t="s">
        <v>2087</v>
      </c>
      <c r="I1468" s="3009" t="str">
        <f>'Part IX A-Scoring Criteria'!I95</f>
        <v>Jared Lombard</v>
      </c>
      <c r="J1468" s="3065"/>
      <c r="K1468" s="3009"/>
      <c r="L1468" s="3065"/>
    </row>
    <row r="1469" spans="1:17" s="3144" customFormat="1" ht="11.45" customHeight="1">
      <c r="A1469" s="3142"/>
      <c r="B1469" s="3137" t="s">
        <v>2661</v>
      </c>
      <c r="C1469" s="3143" t="s">
        <v>4044</v>
      </c>
      <c r="D1469" s="3143"/>
      <c r="H1469" s="3145" t="s">
        <v>2661</v>
      </c>
      <c r="I1469" s="3009" t="str">
        <f>'Part IX A-Scoring Criteria'!I96</f>
        <v>NCI Charrette Management and Facilitation</v>
      </c>
      <c r="J1469" s="522"/>
      <c r="K1469" s="522"/>
      <c r="L1469" s="522"/>
      <c r="M1469" s="3143"/>
      <c r="N1469" s="3143"/>
      <c r="O1469" s="3143"/>
      <c r="P1469" s="3143"/>
    </row>
    <row r="1470" spans="1:17" ht="15">
      <c r="A1470" s="521"/>
      <c r="B1470" s="2972" t="s">
        <v>267</v>
      </c>
      <c r="C1470" s="521"/>
      <c r="D1470" s="525"/>
      <c r="E1470" s="525"/>
      <c r="F1470" s="525"/>
      <c r="G1470" s="525"/>
      <c r="H1470" s="3129"/>
      <c r="I1470" s="3129"/>
      <c r="J1470" s="3129"/>
      <c r="K1470" s="522"/>
      <c r="L1470" s="3129"/>
      <c r="M1470" s="2893"/>
      <c r="N1470" s="2893"/>
      <c r="O1470" s="3091"/>
      <c r="P1470" s="2902"/>
      <c r="Q1470" s="3129"/>
    </row>
    <row r="1471" spans="1:17" ht="15.75">
      <c r="A1471" s="2947" t="str">
        <f>'Part IX A-Scoring Criteria'!A98</f>
        <v>Applicant's preliminary Earthcraft Multifamily score sheet is included in Tab 28.</v>
      </c>
      <c r="B1471" s="2947"/>
      <c r="C1471" s="2947"/>
      <c r="D1471" s="2947"/>
      <c r="E1471" s="2947"/>
      <c r="F1471" s="2947"/>
      <c r="G1471" s="2947"/>
      <c r="H1471" s="2947"/>
      <c r="I1471" s="2947"/>
      <c r="J1471" s="2947"/>
      <c r="K1471" s="2947"/>
      <c r="L1471" s="2947"/>
      <c r="M1471" s="2947"/>
      <c r="N1471" s="2947"/>
      <c r="O1471" s="2947"/>
      <c r="P1471" s="2947"/>
      <c r="Q1471" s="3096" t="s">
        <v>1314</v>
      </c>
    </row>
    <row r="1472" spans="1:17" ht="15">
      <c r="A1472" s="521"/>
      <c r="B1472" s="2972" t="s">
        <v>1960</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1314</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526</v>
      </c>
      <c r="B1475" s="3093" t="s">
        <v>3092</v>
      </c>
      <c r="C1475" s="3129"/>
      <c r="D1475" s="3099"/>
      <c r="E1475" s="3099"/>
      <c r="F1475" s="3129"/>
      <c r="G1475" s="3129"/>
      <c r="H1475" s="522" t="s">
        <v>4368</v>
      </c>
      <c r="I1475" s="3129"/>
      <c r="J1475" s="3129"/>
      <c r="K1475" s="3129"/>
      <c r="L1475" s="3129"/>
      <c r="M1475" s="2902">
        <v>4</v>
      </c>
      <c r="N1475" s="2893"/>
      <c r="O1475" s="3091">
        <f>'Part IX A-Scoring Criteria'!O102</f>
        <v>0</v>
      </c>
      <c r="P1475" s="2902">
        <f>'Part IX A-Scoring Criteria'!P102</f>
        <v>0</v>
      </c>
      <c r="Q1475" s="2902" t="s">
        <v>458</v>
      </c>
    </row>
    <row r="1476" spans="1:17">
      <c r="A1476" s="3059"/>
      <c r="B1476" s="2912" t="s">
        <v>3100</v>
      </c>
      <c r="C1476" s="2894"/>
      <c r="D1476" s="2894"/>
      <c r="E1476" s="2912" t="str">
        <f>'Part I-Project Information'!$H$90</f>
        <v>Rural</v>
      </c>
      <c r="M1476" s="2893"/>
      <c r="O1476" s="3070" t="s">
        <v>2636</v>
      </c>
      <c r="P1476" s="3070" t="s">
        <v>2636</v>
      </c>
    </row>
    <row r="1477" spans="1:17">
      <c r="A1477" s="2889" t="str">
        <f>IF($I$103="Stable Communities &lt; 5%", "*","")</f>
        <v/>
      </c>
      <c r="B1477" s="3133" t="s">
        <v>2085</v>
      </c>
      <c r="C1477" s="505" t="s">
        <v>2839</v>
      </c>
      <c r="M1477" s="2887"/>
      <c r="O1477" s="3124">
        <f>'Part IX A-Scoring Criteria'!O104</f>
        <v>0</v>
      </c>
      <c r="P1477" s="3124">
        <f>'Part IX A-Scoring Criteria'!P104</f>
        <v>0</v>
      </c>
    </row>
    <row r="1478" spans="1:17">
      <c r="B1478" s="3133" t="s">
        <v>2087</v>
      </c>
      <c r="C1478" s="505" t="s">
        <v>2925</v>
      </c>
      <c r="D1478" s="3146">
        <f>'Part IX A-Scoring Criteria'!D105</f>
        <v>0</v>
      </c>
      <c r="E1478" s="505" t="s">
        <v>2926</v>
      </c>
      <c r="G1478" s="505" t="s">
        <v>2506</v>
      </c>
      <c r="I1478" s="522" t="s">
        <v>2924</v>
      </c>
      <c r="J1478" s="3147">
        <f>'Part IX A-Scoring Criteria'!J105</f>
        <v>0</v>
      </c>
      <c r="K1478" s="524" t="str">
        <f>IF(J1478&gt;D1478,"CHECK ACTUAL PERCENT!!!","")</f>
        <v/>
      </c>
      <c r="M1478" s="2902"/>
      <c r="N1478" s="3060"/>
      <c r="O1478" s="2889"/>
      <c r="P1478" s="2889"/>
    </row>
    <row r="1479" spans="1:17">
      <c r="B1479" s="3133" t="s">
        <v>2661</v>
      </c>
      <c r="C1479" s="505" t="s">
        <v>2507</v>
      </c>
      <c r="G1479" s="505" t="s">
        <v>2508</v>
      </c>
      <c r="I1479" s="3132" t="s">
        <v>2915</v>
      </c>
      <c r="J1479" s="3132">
        <f>'Part IX A-Scoring Criteria'!J106</f>
        <v>0</v>
      </c>
      <c r="M1479" s="2902"/>
      <c r="N1479" s="2887"/>
      <c r="O1479" s="2889"/>
      <c r="P1479" s="2889"/>
    </row>
    <row r="1480" spans="1:17">
      <c r="B1480" s="3133" t="s">
        <v>1283</v>
      </c>
      <c r="C1480" s="505" t="s">
        <v>4061</v>
      </c>
      <c r="E1480" s="505" t="s">
        <v>4064</v>
      </c>
      <c r="H1480" s="505"/>
      <c r="I1480" s="522"/>
      <c r="J1480" s="3148">
        <f>'Part IX A-Scoring Criteria'!J107</f>
        <v>0</v>
      </c>
      <c r="K1480" s="3070" t="s">
        <v>4065</v>
      </c>
      <c r="M1480" s="2902"/>
      <c r="N1480" s="2887"/>
      <c r="O1480" s="2889"/>
      <c r="P1480" s="2889"/>
    </row>
    <row r="1481" spans="1:17">
      <c r="B1481" s="3133"/>
      <c r="C1481" s="505"/>
      <c r="E1481" s="505" t="s">
        <v>4062</v>
      </c>
      <c r="H1481" s="505"/>
      <c r="I1481" s="522"/>
      <c r="J1481" s="3148">
        <f>'Part IX A-Scoring Criteria'!J108</f>
        <v>0</v>
      </c>
      <c r="K1481" s="3070" t="str">
        <f>IF($J$108&gt;J1481,"Yes", "No")</f>
        <v>No</v>
      </c>
      <c r="M1481" s="2902"/>
      <c r="N1481" s="2887"/>
      <c r="O1481" s="2889"/>
      <c r="P1481" s="2889"/>
    </row>
    <row r="1482" spans="1:17">
      <c r="B1482" s="3133"/>
      <c r="C1482" s="505"/>
      <c r="E1482" s="505" t="s">
        <v>4063</v>
      </c>
      <c r="H1482" s="505"/>
      <c r="I1482" s="522"/>
      <c r="J1482" s="3148">
        <f>'Part IX A-Scoring Criteria'!J109</f>
        <v>0</v>
      </c>
      <c r="K1482" s="3070" t="str">
        <f>IF($J$108&gt;J1482,"Yes", "No")</f>
        <v>No</v>
      </c>
      <c r="M1482" s="2902"/>
      <c r="N1482" s="2887"/>
      <c r="O1482" s="2889"/>
      <c r="P1482" s="2889"/>
    </row>
    <row r="1483" spans="1:17" ht="15">
      <c r="A1483" s="521"/>
      <c r="B1483" s="2972" t="s">
        <v>267</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This section is not applicable to this application</v>
      </c>
      <c r="B1484" s="2947"/>
      <c r="C1484" s="2947"/>
      <c r="D1484" s="2947"/>
      <c r="E1484" s="2947"/>
      <c r="F1484" s="2947"/>
      <c r="G1484" s="2947"/>
      <c r="H1484" s="2947"/>
      <c r="I1484" s="2947"/>
      <c r="J1484" s="2947"/>
      <c r="K1484" s="2947"/>
      <c r="L1484" s="2947"/>
      <c r="M1484" s="2947"/>
      <c r="N1484" s="2947"/>
      <c r="O1484" s="2947"/>
      <c r="P1484" s="2947"/>
      <c r="Q1484" s="3096" t="s">
        <v>1314</v>
      </c>
    </row>
    <row r="1485" spans="1:17" ht="15">
      <c r="A1485" s="521"/>
      <c r="B1485" s="2972" t="s">
        <v>1960</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1314</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527</v>
      </c>
      <c r="B1488" s="3093" t="s">
        <v>3851</v>
      </c>
      <c r="C1488" s="3129"/>
      <c r="D1488" s="3099"/>
      <c r="E1488" s="3099"/>
      <c r="F1488" s="3129"/>
      <c r="G1488" s="3129"/>
      <c r="H1488" s="3006"/>
      <c r="I1488" s="3129"/>
      <c r="J1488" s="2790" t="str">
        <f>'Part IX A-Scoring Criteria'!J115</f>
        <v>QCT &amp; Local Govt Adptd Revital Plan</v>
      </c>
      <c r="K1488" s="2790"/>
      <c r="L1488" s="2790"/>
      <c r="M1488" s="2902">
        <v>3</v>
      </c>
      <c r="N1488" s="2893"/>
      <c r="O1488" s="3091">
        <f>'Part IX A-Scoring Criteria'!O115</f>
        <v>2</v>
      </c>
      <c r="P1488" s="2902">
        <f>'Part IX A-Scoring Criteria'!P115</f>
        <v>0</v>
      </c>
      <c r="Q1488" s="2902" t="s">
        <v>458</v>
      </c>
    </row>
    <row r="1489" spans="1:17">
      <c r="A1489" s="3011"/>
      <c r="B1489" s="3132"/>
      <c r="D1489" s="3070"/>
      <c r="E1489" s="3132"/>
      <c r="G1489" s="3149"/>
      <c r="H1489" s="3132"/>
      <c r="I1489" s="3009"/>
      <c r="K1489" s="3009"/>
    </row>
    <row r="1490" spans="1:17">
      <c r="B1490" s="3042" t="s">
        <v>4046</v>
      </c>
      <c r="E1490" s="521"/>
      <c r="G1490" s="2929" t="str">
        <f>'Part IX A-Scoring Criteria'!G117</f>
        <v>City does not keep this online</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3309</v>
      </c>
      <c r="C1492" s="3095"/>
      <c r="D1492" s="521"/>
      <c r="E1492" s="3095"/>
      <c r="F1492" s="3095"/>
      <c r="G1492" s="3095"/>
      <c r="H1492" s="3095"/>
      <c r="I1492" s="3095"/>
      <c r="J1492" s="3095"/>
      <c r="K1492" s="3095"/>
      <c r="L1492" s="3095"/>
      <c r="M1492" s="3095"/>
      <c r="N1492" s="2981"/>
      <c r="O1492" s="3124" t="str">
        <f>'Part IX A-Scoring Criteria'!O119</f>
        <v>Yes</v>
      </c>
      <c r="P1492" s="3124">
        <f>'Part IX A-Scoring Criteria'!P119</f>
        <v>0</v>
      </c>
      <c r="Q1492" s="3095"/>
    </row>
    <row r="1493" spans="1:17">
      <c r="A1493" s="3011"/>
      <c r="B1493" s="3132"/>
      <c r="D1493" s="3070"/>
      <c r="E1493" s="3132"/>
      <c r="G1493" s="3149"/>
      <c r="H1493" s="3132"/>
      <c r="I1493" s="3009"/>
      <c r="K1493" s="3009"/>
    </row>
    <row r="1494" spans="1:17" ht="15">
      <c r="A1494" s="2902"/>
      <c r="B1494" s="3042" t="s">
        <v>4607</v>
      </c>
      <c r="C1494" s="3095"/>
      <c r="D1494" s="3095"/>
      <c r="E1494" s="3009"/>
      <c r="F1494" s="3095"/>
      <c r="G1494" s="3095"/>
      <c r="H1494" s="3095"/>
      <c r="I1494" s="3095"/>
      <c r="J1494" s="3095"/>
      <c r="K1494" s="3095"/>
      <c r="L1494" s="3095"/>
      <c r="M1494" s="3095"/>
      <c r="N1494" s="3095"/>
      <c r="O1494" s="3070" t="s">
        <v>2636</v>
      </c>
      <c r="P1494" s="3070" t="s">
        <v>2636</v>
      </c>
      <c r="Q1494" s="3095"/>
    </row>
    <row r="1495" spans="1:17" ht="15">
      <c r="A1495" s="2889"/>
      <c r="B1495" s="2981" t="s">
        <v>2556</v>
      </c>
      <c r="C1495" s="505" t="s">
        <v>4066</v>
      </c>
      <c r="D1495" s="3129"/>
      <c r="E1495" s="3009"/>
      <c r="F1495" s="3095"/>
      <c r="G1495" s="505" t="s">
        <v>4067</v>
      </c>
      <c r="H1495" s="3095"/>
      <c r="I1495" s="3095"/>
      <c r="J1495" s="3095"/>
      <c r="K1495" s="3095"/>
      <c r="L1495" s="3150">
        <f>'Part IX A-Scoring Criteria'!L122</f>
        <v>39191</v>
      </c>
      <c r="M1495" s="2889"/>
      <c r="N1495" s="2981" t="s">
        <v>2556</v>
      </c>
      <c r="O1495" s="3124" t="str">
        <f>'Part IX A-Scoring Criteria'!O122</f>
        <v>Yes</v>
      </c>
      <c r="P1495" s="3124">
        <f>'Part IX A-Scoring Criteria'!P122</f>
        <v>0</v>
      </c>
      <c r="Q1495" s="3095"/>
    </row>
    <row r="1496" spans="1:17" ht="15">
      <c r="A1496" s="2889"/>
      <c r="B1496" s="2981" t="s">
        <v>2557</v>
      </c>
      <c r="C1496" s="3132" t="s">
        <v>3142</v>
      </c>
      <c r="D1496" s="3129"/>
      <c r="E1496" s="3009"/>
      <c r="F1496" s="3095"/>
      <c r="G1496" s="505" t="s">
        <v>3860</v>
      </c>
      <c r="H1496" s="3095"/>
      <c r="I1496" s="3095"/>
      <c r="J1496" s="3095"/>
      <c r="K1496" s="3095"/>
      <c r="L1496" s="3150">
        <f>'Part IX A-Scoring Criteria'!L123</f>
        <v>39173</v>
      </c>
      <c r="M1496" s="3095"/>
      <c r="N1496" s="2981" t="s">
        <v>2557</v>
      </c>
      <c r="O1496" s="3124" t="str">
        <f>'Part IX A-Scoring Criteria'!O123</f>
        <v>Yes</v>
      </c>
      <c r="P1496" s="3124">
        <f>'Part IX A-Scoring Criteria'!P123</f>
        <v>0</v>
      </c>
      <c r="Q1496" s="3095"/>
    </row>
    <row r="1497" spans="1:17" ht="15">
      <c r="A1497" s="2889"/>
      <c r="B1497" s="2981"/>
      <c r="C1497" s="3132"/>
      <c r="D1497" s="3129"/>
      <c r="E1497" s="3009"/>
      <c r="F1497" s="3095"/>
      <c r="G1497" s="505" t="s">
        <v>3307</v>
      </c>
      <c r="H1497" s="3095"/>
      <c r="I1497" s="3095"/>
      <c r="J1497" s="3095"/>
      <c r="K1497" s="3095"/>
      <c r="L1497" s="3151" t="str">
        <f>'Part IX A-Scoring Criteria'!L124</f>
        <v>The Leader-Tribune</v>
      </c>
      <c r="M1497" s="3151"/>
      <c r="N1497" s="3095"/>
      <c r="O1497" s="3095"/>
      <c r="P1497" s="3095"/>
      <c r="Q1497" s="3095"/>
    </row>
    <row r="1498" spans="1:17" ht="15">
      <c r="A1498" s="2889"/>
      <c r="B1498" s="2981"/>
      <c r="C1498" s="3132"/>
      <c r="D1498" s="3129"/>
      <c r="E1498" s="3009"/>
      <c r="F1498" s="3095"/>
      <c r="G1498" s="505" t="s">
        <v>3139</v>
      </c>
      <c r="H1498" s="3095"/>
      <c r="I1498" s="3095"/>
      <c r="J1498" s="3095"/>
      <c r="K1498" s="2950"/>
      <c r="L1498" s="3151" t="str">
        <f>'Part IX A-Scoring Criteria'!L125</f>
        <v>Published local govt public mtg</v>
      </c>
      <c r="M1498" s="3151"/>
      <c r="N1498" s="3095"/>
      <c r="O1498" s="3095"/>
      <c r="P1498" s="3095"/>
      <c r="Q1498" s="3095"/>
    </row>
    <row r="1499" spans="1:17" ht="15">
      <c r="A1499" s="2889"/>
      <c r="B1499" s="2981"/>
      <c r="C1499" s="3132"/>
      <c r="D1499" s="3129"/>
      <c r="E1499" s="3009"/>
      <c r="F1499" s="3095"/>
      <c r="G1499" s="505" t="s">
        <v>3140</v>
      </c>
      <c r="H1499" s="3095"/>
      <c r="I1499" s="3095"/>
      <c r="J1499" s="3095"/>
      <c r="K1499" s="2950"/>
      <c r="L1499" s="3152">
        <f>'Part IX A-Scoring Criteria'!L126</f>
        <v>39191</v>
      </c>
      <c r="M1499" s="3152"/>
      <c r="N1499" s="3095"/>
      <c r="O1499" s="3095"/>
      <c r="P1499" s="3095"/>
      <c r="Q1499" s="3095"/>
    </row>
    <row r="1500" spans="1:17" ht="15">
      <c r="A1500" s="2889"/>
      <c r="B1500" s="2981"/>
      <c r="C1500" s="3132"/>
      <c r="D1500" s="3129"/>
      <c r="E1500" s="3009"/>
      <c r="F1500" s="3095"/>
      <c r="G1500" s="505" t="s">
        <v>3139</v>
      </c>
      <c r="H1500" s="3095"/>
      <c r="I1500" s="3095"/>
      <c r="J1500" s="3095"/>
      <c r="K1500" s="2950"/>
      <c r="L1500" s="3151" t="str">
        <f>'Part IX A-Scoring Criteria'!L127</f>
        <v>&lt;&lt;Select event type&gt;&gt;</v>
      </c>
      <c r="M1500" s="3151"/>
      <c r="N1500" s="3095"/>
      <c r="O1500" s="3095"/>
      <c r="P1500" s="3095"/>
      <c r="Q1500" s="3095"/>
    </row>
    <row r="1501" spans="1:17" ht="15">
      <c r="A1501" s="2889"/>
      <c r="B1501" s="2981"/>
      <c r="C1501" s="3132"/>
      <c r="D1501" s="3129"/>
      <c r="E1501" s="3009"/>
      <c r="F1501" s="3095"/>
      <c r="G1501" s="505" t="s">
        <v>3140</v>
      </c>
      <c r="H1501" s="3095"/>
      <c r="I1501" s="3095"/>
      <c r="J1501" s="3095"/>
      <c r="K1501" s="2950"/>
      <c r="L1501" s="3152">
        <f>'Part IX A-Scoring Criteria'!L128</f>
        <v>0</v>
      </c>
      <c r="M1501" s="3152"/>
      <c r="N1501" s="3095"/>
      <c r="O1501" s="3095"/>
      <c r="P1501" s="3095"/>
      <c r="Q1501" s="3095"/>
    </row>
    <row r="1502" spans="1:17" ht="13.5">
      <c r="B1502" s="2981" t="s">
        <v>2558</v>
      </c>
      <c r="C1502" s="3132" t="s">
        <v>3143</v>
      </c>
      <c r="D1502" s="505"/>
      <c r="G1502" s="505" t="s">
        <v>3308</v>
      </c>
      <c r="L1502" s="3152" t="str">
        <f>'Part IX A-Scoring Criteria'!L129</f>
        <v>8 years, 2 months</v>
      </c>
      <c r="M1502" s="3152"/>
      <c r="N1502" s="2981" t="s">
        <v>2558</v>
      </c>
      <c r="O1502" s="3124" t="str">
        <f>'Part IX A-Scoring Criteria'!O129</f>
        <v>Yes</v>
      </c>
      <c r="P1502" s="3124">
        <f>'Part IX A-Scoring Criteria'!P129</f>
        <v>0</v>
      </c>
    </row>
    <row r="1503" spans="1:17" ht="13.5">
      <c r="B1503" s="2981"/>
      <c r="C1503" s="3132"/>
      <c r="D1503" s="505"/>
      <c r="G1503" s="505" t="s">
        <v>4608</v>
      </c>
      <c r="L1503" s="3152" t="str">
        <f>'Part IX A-Scoring Criteria'!L130</f>
        <v>Ongoing</v>
      </c>
      <c r="M1503" s="3152"/>
    </row>
    <row r="1504" spans="1:17" ht="13.5">
      <c r="B1504" s="2981" t="s">
        <v>2559</v>
      </c>
      <c r="C1504" s="522" t="s">
        <v>3144</v>
      </c>
      <c r="D1504" s="505"/>
      <c r="G1504" s="2950"/>
      <c r="K1504" s="3009"/>
      <c r="L1504" s="3153">
        <f>'Part IX A-Scoring Criteria'!L131</f>
        <v>2</v>
      </c>
      <c r="M1504" s="2889"/>
      <c r="N1504" s="2981" t="s">
        <v>2559</v>
      </c>
      <c r="O1504" s="3124" t="str">
        <f>'Part IX A-Scoring Criteria'!O131</f>
        <v>Yes</v>
      </c>
      <c r="P1504" s="3124">
        <f>'Part IX A-Scoring Criteria'!P131</f>
        <v>0</v>
      </c>
    </row>
    <row r="1505" spans="1:17">
      <c r="B1505" s="2981" t="s">
        <v>2560</v>
      </c>
      <c r="C1505" s="522" t="s">
        <v>3145</v>
      </c>
      <c r="K1505" s="3009"/>
      <c r="L1505" s="3153">
        <f>'Part IX A-Scoring Criteria'!L132</f>
        <v>2</v>
      </c>
      <c r="M1505" s="2889"/>
      <c r="N1505" s="2981" t="s">
        <v>2560</v>
      </c>
      <c r="O1505" s="3124" t="str">
        <f>'Part IX A-Scoring Criteria'!O132</f>
        <v>Yes</v>
      </c>
      <c r="P1505" s="3124">
        <f>'Part IX A-Scoring Criteria'!P132</f>
        <v>0</v>
      </c>
    </row>
    <row r="1506" spans="1:17">
      <c r="B1506" s="2981" t="s">
        <v>3866</v>
      </c>
      <c r="C1506" s="522" t="s">
        <v>3854</v>
      </c>
      <c r="K1506" s="3009"/>
      <c r="L1506" s="3153">
        <f>'Part IX A-Scoring Criteria'!L133</f>
        <v>3</v>
      </c>
      <c r="M1506" s="2889"/>
      <c r="N1506" s="2981" t="s">
        <v>3866</v>
      </c>
      <c r="O1506" s="3124" t="str">
        <f>'Part IX A-Scoring Criteria'!O133</f>
        <v>Yes</v>
      </c>
      <c r="P1506" s="3124">
        <f>'Part IX A-Scoring Criteria'!P133</f>
        <v>0</v>
      </c>
    </row>
    <row r="1507" spans="1:17">
      <c r="B1507" s="2981" t="s">
        <v>3867</v>
      </c>
      <c r="C1507" s="522" t="s">
        <v>3852</v>
      </c>
      <c r="K1507" s="3009"/>
      <c r="L1507" s="3153">
        <f>'Part IX A-Scoring Criteria'!L134</f>
        <v>4</v>
      </c>
      <c r="M1507" s="2889"/>
      <c r="N1507" s="2981" t="s">
        <v>3867</v>
      </c>
      <c r="O1507" s="3124" t="str">
        <f>'Part IX A-Scoring Criteria'!O134</f>
        <v>Yes</v>
      </c>
      <c r="P1507" s="3124">
        <f>'Part IX A-Scoring Criteria'!P134</f>
        <v>0</v>
      </c>
    </row>
    <row r="1508" spans="1:17">
      <c r="B1508" s="2981" t="s">
        <v>2577</v>
      </c>
      <c r="C1508" s="522" t="s">
        <v>3146</v>
      </c>
      <c r="K1508" s="3009"/>
      <c r="L1508" s="3153">
        <f>'Part IX A-Scoring Criteria'!L135</f>
        <v>3</v>
      </c>
      <c r="M1508" s="2889"/>
      <c r="N1508" s="2981" t="s">
        <v>2577</v>
      </c>
      <c r="O1508" s="3124" t="str">
        <f>'Part IX A-Scoring Criteria'!O135</f>
        <v>Yes</v>
      </c>
      <c r="P1508" s="3124">
        <f>'Part IX A-Scoring Criteria'!P135</f>
        <v>0</v>
      </c>
    </row>
    <row r="1509" spans="1:17">
      <c r="B1509" s="2981" t="s">
        <v>2578</v>
      </c>
      <c r="C1509" s="522" t="s">
        <v>3147</v>
      </c>
      <c r="D1509" s="505"/>
      <c r="K1509" s="3009"/>
      <c r="L1509" s="3153">
        <f>'Part IX A-Scoring Criteria'!L136</f>
        <v>4</v>
      </c>
      <c r="M1509" s="2889"/>
      <c r="N1509" s="2981" t="s">
        <v>2578</v>
      </c>
      <c r="O1509" s="3124" t="str">
        <f>'Part IX A-Scoring Criteria'!O136</f>
        <v>Yes</v>
      </c>
      <c r="P1509" s="3124">
        <f>'Part IX A-Scoring Criteria'!P136</f>
        <v>0</v>
      </c>
    </row>
    <row r="1510" spans="1:17">
      <c r="B1510" s="2981" t="s">
        <v>2579</v>
      </c>
      <c r="C1510" s="522" t="s">
        <v>3868</v>
      </c>
      <c r="K1510" s="3009"/>
      <c r="M1510" s="2889"/>
      <c r="N1510" s="2981" t="s">
        <v>2579</v>
      </c>
      <c r="O1510" s="3124" t="str">
        <f>'Part IX A-Scoring Criteria'!O137</f>
        <v>Yes</v>
      </c>
      <c r="P1510" s="3124">
        <f>'Part IX A-Scoring Criteria'!P137</f>
        <v>0</v>
      </c>
    </row>
    <row r="1511" spans="1:17">
      <c r="B1511" s="2981"/>
      <c r="C1511" s="522"/>
      <c r="K1511" s="3009"/>
      <c r="M1511" s="2889"/>
      <c r="N1511" s="2889"/>
      <c r="O1511" s="2889"/>
      <c r="P1511" s="2889"/>
    </row>
    <row r="1512" spans="1:17">
      <c r="A1512" s="3059" t="s">
        <v>2081</v>
      </c>
      <c r="B1512" s="2912" t="s">
        <v>3853</v>
      </c>
      <c r="G1512" s="3132" t="s">
        <v>4045</v>
      </c>
      <c r="K1512" s="3009"/>
      <c r="L1512" s="3153" t="str">
        <f>'Part IX A-Scoring Criteria'!L139</f>
        <v>3</v>
      </c>
      <c r="M1512" s="2893">
        <v>2</v>
      </c>
      <c r="N1512" s="2981" t="s">
        <v>2081</v>
      </c>
      <c r="O1512" s="3124" t="str">
        <f>'Part IX A-Scoring Criteria'!O139</f>
        <v>Yes</v>
      </c>
      <c r="P1512" s="3124">
        <f>'Part IX A-Scoring Criteria'!P139</f>
        <v>0</v>
      </c>
    </row>
    <row r="1513" spans="1:17">
      <c r="A1513" s="3011"/>
      <c r="G1513" s="3132" t="s">
        <v>3857</v>
      </c>
      <c r="L1513" s="3154" t="str">
        <f>'Part IX A-Scoring Criteria'!L140</f>
        <v>404.00</v>
      </c>
    </row>
    <row r="1514" spans="1:17">
      <c r="A1514" s="3011"/>
      <c r="B1514" s="3132"/>
      <c r="D1514" s="3070"/>
      <c r="G1514" s="3132" t="s">
        <v>3862</v>
      </c>
      <c r="K1514" s="3009"/>
      <c r="L1514" s="3155" t="str">
        <f>'Part IX A-Scoring Criteria'!L141</f>
        <v>Yes</v>
      </c>
    </row>
    <row r="1515" spans="1:17">
      <c r="A1515" s="3011"/>
      <c r="B1515" s="3132"/>
      <c r="D1515" s="3070"/>
      <c r="E1515" s="3132"/>
      <c r="G1515" s="3009" t="s">
        <v>3855</v>
      </c>
      <c r="K1515" s="3009"/>
      <c r="L1515" s="3156">
        <f>'Part IV-Uses of Funds'!H1523</f>
        <v>0</v>
      </c>
    </row>
    <row r="1516" spans="1:17">
      <c r="A1516" s="3059" t="s">
        <v>2084</v>
      </c>
      <c r="B1516" s="2912" t="s">
        <v>3856</v>
      </c>
      <c r="D1516" s="521"/>
      <c r="M1516" s="2887">
        <v>1</v>
      </c>
      <c r="N1516" s="2981" t="s">
        <v>2084</v>
      </c>
      <c r="O1516" s="3124">
        <f>'Part IX A-Scoring Criteria'!O143</f>
        <v>0</v>
      </c>
      <c r="P1516" s="3124">
        <f>'Part IX A-Scoring Criteria'!P143</f>
        <v>0</v>
      </c>
    </row>
    <row r="1517" spans="1:17" ht="13.5">
      <c r="A1517" s="3011"/>
      <c r="B1517" s="505" t="s">
        <v>3861</v>
      </c>
      <c r="Q1517" s="2950"/>
    </row>
    <row r="1518" spans="1:17">
      <c r="A1518" s="3059" t="s">
        <v>789</v>
      </c>
      <c r="B1518" s="2912" t="s">
        <v>3104</v>
      </c>
      <c r="C1518" s="2912"/>
      <c r="D1518" s="521"/>
      <c r="M1518" s="2893"/>
      <c r="N1518" s="2981" t="s">
        <v>789</v>
      </c>
      <c r="O1518" s="3006"/>
      <c r="P1518" s="3006"/>
    </row>
    <row r="1519" spans="1:17">
      <c r="B1519" s="3157" t="s">
        <v>2085</v>
      </c>
      <c r="C1519" s="2947" t="s">
        <v>4609</v>
      </c>
      <c r="D1519" s="2947"/>
      <c r="E1519" s="2947"/>
      <c r="F1519" s="2947"/>
      <c r="G1519" s="2947"/>
      <c r="H1519" s="2947"/>
      <c r="I1519" s="2947"/>
      <c r="J1519" s="2947"/>
      <c r="K1519" s="2947"/>
      <c r="L1519" s="2947"/>
      <c r="M1519" s="3122">
        <v>1</v>
      </c>
      <c r="N1519" s="3123" t="s">
        <v>2085</v>
      </c>
      <c r="O1519" s="3124">
        <f>'Part IX A-Scoring Criteria'!O146</f>
        <v>0</v>
      </c>
      <c r="P1519" s="3124">
        <f>'Part IX A-Scoring Criteria'!P146</f>
        <v>0</v>
      </c>
    </row>
    <row r="1520" spans="1:17">
      <c r="B1520" s="3157" t="s">
        <v>2087</v>
      </c>
      <c r="C1520" s="2947" t="s">
        <v>4610</v>
      </c>
      <c r="D1520" s="2947"/>
      <c r="E1520" s="2947"/>
      <c r="F1520" s="2947"/>
      <c r="G1520" s="2947"/>
      <c r="H1520" s="2947"/>
      <c r="I1520" s="2947"/>
      <c r="J1520" s="2947"/>
      <c r="K1520" s="2947"/>
      <c r="L1520" s="2947"/>
      <c r="M1520" s="2893">
        <v>2</v>
      </c>
      <c r="N1520" s="3117" t="s">
        <v>2087</v>
      </c>
      <c r="O1520" s="3124">
        <f>'Part IX A-Scoring Criteria'!O147</f>
        <v>0</v>
      </c>
      <c r="P1520" s="3124">
        <f>'Part IX A-Scoring Criteria'!P147</f>
        <v>0</v>
      </c>
    </row>
    <row r="1521" spans="1:17" ht="13.5">
      <c r="A1521" s="3059" t="s">
        <v>2216</v>
      </c>
      <c r="B1521" s="2912" t="s">
        <v>3103</v>
      </c>
      <c r="D1521" s="521"/>
      <c r="G1521" s="3158" t="s">
        <v>4239</v>
      </c>
      <c r="H1521" s="3158"/>
      <c r="I1521" s="3158"/>
      <c r="J1521" s="3158"/>
      <c r="K1521" s="3158"/>
      <c r="M1521" s="2887">
        <v>1</v>
      </c>
      <c r="O1521" s="3070"/>
      <c r="P1521" s="3070"/>
    </row>
    <row r="1522" spans="1:17" ht="13.5">
      <c r="B1522" s="505" t="s">
        <v>3105</v>
      </c>
      <c r="I1522" s="522" t="s">
        <v>4229</v>
      </c>
      <c r="J1522" s="2963" t="str">
        <f>'Part I-Project Information'!$J$29</f>
        <v>Peach</v>
      </c>
      <c r="K1522" s="2963"/>
      <c r="N1522" s="2981" t="s">
        <v>2216</v>
      </c>
      <c r="O1522" s="3124">
        <f>'Part IX A-Scoring Criteria'!O149</f>
        <v>0</v>
      </c>
      <c r="P1522" s="3124">
        <f>'Part IX A-Scoring Criteria'!P149</f>
        <v>0</v>
      </c>
      <c r="Q1522" s="2950"/>
    </row>
    <row r="1523" spans="1:17" ht="15">
      <c r="A1523" s="521"/>
      <c r="B1523" s="2972" t="s">
        <v>267</v>
      </c>
      <c r="C1523" s="521"/>
      <c r="D1523" s="525"/>
      <c r="E1523" s="525"/>
      <c r="F1523" s="525"/>
      <c r="G1523" s="525"/>
      <c r="H1523" s="522"/>
      <c r="I1523" s="522" t="s">
        <v>4230</v>
      </c>
      <c r="J1523" s="3159" t="str">
        <f>'Part I-Project Information'!$O$28</f>
        <v>404.00</v>
      </c>
      <c r="K1523" s="3159"/>
      <c r="L1523" s="3095"/>
      <c r="M1523" s="2893"/>
      <c r="N1523" s="2887"/>
      <c r="O1523" s="3091"/>
      <c r="P1523" s="2889"/>
      <c r="Q1523" s="3095"/>
    </row>
    <row r="1524" spans="1:17" ht="15.75">
      <c r="A1524" s="2947" t="str">
        <f>'Part IX A-Scoring Criteria'!A151</f>
        <v>Redevelopment Plan and documentation as to its adoption and status are included in Tab 30</v>
      </c>
      <c r="B1524" s="2947"/>
      <c r="C1524" s="2947"/>
      <c r="D1524" s="2947"/>
      <c r="E1524" s="2947"/>
      <c r="F1524" s="2947"/>
      <c r="G1524" s="2947"/>
      <c r="H1524" s="2947"/>
      <c r="I1524" s="2947"/>
      <c r="J1524" s="2947"/>
      <c r="K1524" s="2947"/>
      <c r="L1524" s="2947"/>
      <c r="M1524" s="2947"/>
      <c r="N1524" s="2947"/>
      <c r="O1524" s="2947"/>
      <c r="P1524" s="2947"/>
      <c r="Q1524" s="3096" t="s">
        <v>1314</v>
      </c>
    </row>
    <row r="1525" spans="1:17" ht="15">
      <c r="A1525" s="521"/>
      <c r="B1525" s="2972" t="s">
        <v>1960</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1314</v>
      </c>
    </row>
    <row r="1527" spans="1:17">
      <c r="N1527" s="2887"/>
      <c r="O1527" s="2889"/>
      <c r="P1527" s="2889"/>
    </row>
    <row r="1528" spans="1:17" ht="15">
      <c r="A1528" s="3092" t="s">
        <v>225</v>
      </c>
      <c r="B1528" s="3093" t="s">
        <v>2580</v>
      </c>
      <c r="C1528" s="3095"/>
      <c r="D1528" s="3116"/>
      <c r="E1528" s="3116"/>
      <c r="F1528" s="3116"/>
      <c r="G1528" s="3095"/>
      <c r="H1528" s="3160" t="s">
        <v>3899</v>
      </c>
      <c r="I1528" s="3095"/>
      <c r="J1528" s="3095"/>
      <c r="K1528" s="525"/>
      <c r="L1528" s="3095"/>
      <c r="M1528" s="2902">
        <v>4</v>
      </c>
      <c r="N1528" s="2893"/>
      <c r="O1528" s="3091">
        <f>'Part IX A-Scoring Criteria'!O155</f>
        <v>0</v>
      </c>
      <c r="P1528" s="3091">
        <f>'Part IX A-Scoring Criteria'!P155</f>
        <v>0</v>
      </c>
      <c r="Q1528" s="2902" t="s">
        <v>458</v>
      </c>
    </row>
    <row r="1529" spans="1:17">
      <c r="A1529" s="3011"/>
      <c r="B1529" s="3132"/>
      <c r="D1529" s="3070"/>
      <c r="E1529" s="3132"/>
      <c r="G1529" s="3149"/>
      <c r="H1529" s="2912" t="s">
        <v>3100</v>
      </c>
      <c r="I1529" s="2894"/>
      <c r="J1529" s="3161" t="str">
        <f>'Part I-Project Information'!$H$90</f>
        <v>Rural</v>
      </c>
      <c r="K1529" s="3161"/>
    </row>
    <row r="1530" spans="1:17" ht="13.5">
      <c r="A1530" s="2905" t="s">
        <v>2081</v>
      </c>
      <c r="B1530" s="2912" t="s">
        <v>2340</v>
      </c>
      <c r="D1530" s="521"/>
      <c r="E1530" s="521"/>
      <c r="F1530" s="521"/>
      <c r="G1530" s="926" t="str">
        <f>IF(AND(O1530&lt;0,L1540&lt;0),"Select either A or B but not both!&gt;","")</f>
        <v/>
      </c>
      <c r="M1530" s="2893">
        <v>4</v>
      </c>
      <c r="N1530" s="2981" t="s">
        <v>2081</v>
      </c>
      <c r="O1530" s="2902">
        <f>'Part IX A-Scoring Criteria'!O157</f>
        <v>0</v>
      </c>
      <c r="P1530" s="2902">
        <f>'Part IX A-Scoring Criteria'!P157</f>
        <v>0</v>
      </c>
      <c r="Q1530" s="2950" t="s">
        <v>2876</v>
      </c>
    </row>
    <row r="1531" spans="1:17">
      <c r="A1531" s="505"/>
      <c r="B1531" s="3123" t="s">
        <v>2085</v>
      </c>
      <c r="C1531" s="2947" t="s">
        <v>4611</v>
      </c>
      <c r="D1531" s="2820"/>
      <c r="E1531" s="2820"/>
      <c r="F1531" s="2820"/>
      <c r="G1531" s="2820"/>
      <c r="H1531" s="2820"/>
      <c r="I1531" s="2820"/>
      <c r="J1531" s="2820"/>
      <c r="K1531" s="2820"/>
      <c r="L1531" s="2820"/>
      <c r="M1531" s="3122"/>
      <c r="N1531" s="3123" t="s">
        <v>2085</v>
      </c>
      <c r="O1531" s="3124">
        <f>'Part IX A-Scoring Criteria'!O158</f>
        <v>0</v>
      </c>
      <c r="P1531" s="3124">
        <f>'Part IX A-Scoring Criteria'!P158</f>
        <v>0</v>
      </c>
      <c r="Q1531" s="505"/>
    </row>
    <row r="1532" spans="1:17">
      <c r="A1532" s="505"/>
      <c r="B1532" s="3117"/>
      <c r="C1532" s="522" t="s">
        <v>1008</v>
      </c>
      <c r="D1532" s="505"/>
      <c r="E1532" s="505"/>
      <c r="F1532" s="505"/>
      <c r="G1532" s="505"/>
      <c r="H1532" s="3132" t="s">
        <v>2711</v>
      </c>
      <c r="I1532" s="505"/>
      <c r="J1532" s="3084">
        <f>'Part IX A-Scoring Criteria'!J159</f>
        <v>0</v>
      </c>
      <c r="K1532" s="3084"/>
      <c r="L1532" s="505"/>
      <c r="M1532" s="505"/>
      <c r="N1532" s="505"/>
      <c r="O1532" s="505"/>
      <c r="P1532" s="505"/>
      <c r="Q1532" s="505"/>
    </row>
    <row r="1533" spans="1:17">
      <c r="A1533" s="505"/>
      <c r="B1533" s="3117"/>
      <c r="C1533" s="522"/>
      <c r="D1533" s="505"/>
      <c r="E1533" s="505"/>
      <c r="F1533" s="505"/>
      <c r="G1533" s="505"/>
      <c r="H1533" s="3132" t="s">
        <v>2410</v>
      </c>
      <c r="I1533" s="505"/>
      <c r="J1533" s="3162">
        <f>'Part IX A-Scoring Criteria'!J160</f>
        <v>0</v>
      </c>
      <c r="K1533" s="3162"/>
      <c r="L1533" s="3162"/>
      <c r="M1533" s="505"/>
      <c r="N1533" s="505"/>
      <c r="O1533" s="505"/>
      <c r="P1533" s="505"/>
      <c r="Q1533" s="505"/>
    </row>
    <row r="1534" spans="1:17">
      <c r="A1534" s="522"/>
      <c r="B1534" s="3117" t="s">
        <v>2087</v>
      </c>
      <c r="C1534" s="522" t="s">
        <v>1009</v>
      </c>
      <c r="D1534" s="522"/>
      <c r="E1534" s="522"/>
      <c r="F1534" s="522"/>
      <c r="G1534" s="522"/>
      <c r="H1534" s="522"/>
      <c r="I1534" s="522"/>
      <c r="J1534" s="522"/>
      <c r="K1534" s="522"/>
      <c r="L1534" s="522"/>
      <c r="M1534" s="2893"/>
      <c r="N1534" s="3117" t="s">
        <v>2087</v>
      </c>
      <c r="O1534" s="3124">
        <f>'Part IX A-Scoring Criteria'!O161</f>
        <v>0</v>
      </c>
      <c r="P1534" s="3124">
        <f>'Part IX A-Scoring Criteria'!P161</f>
        <v>0</v>
      </c>
      <c r="Q1534" s="522"/>
    </row>
    <row r="1535" spans="1:17">
      <c r="A1535" s="522"/>
      <c r="B1535" s="3117" t="s">
        <v>2661</v>
      </c>
      <c r="C1535" s="522" t="s">
        <v>1010</v>
      </c>
      <c r="D1535" s="522"/>
      <c r="E1535" s="522"/>
      <c r="F1535" s="522"/>
      <c r="G1535" s="522"/>
      <c r="H1535" s="522"/>
      <c r="I1535" s="522"/>
      <c r="J1535" s="522"/>
      <c r="K1535" s="522"/>
      <c r="L1535" s="522"/>
      <c r="M1535" s="2893"/>
      <c r="N1535" s="3117" t="s">
        <v>2661</v>
      </c>
      <c r="O1535" s="3124">
        <f>'Part IX A-Scoring Criteria'!O162</f>
        <v>0</v>
      </c>
      <c r="P1535" s="3124">
        <f>'Part IX A-Scoring Criteria'!P162</f>
        <v>0</v>
      </c>
      <c r="Q1535" s="522"/>
    </row>
    <row r="1536" spans="1:17">
      <c r="A1536" s="3011"/>
      <c r="B1536" s="3117" t="s">
        <v>1283</v>
      </c>
      <c r="C1536" s="522" t="s">
        <v>1011</v>
      </c>
      <c r="D1536" s="522"/>
      <c r="E1536" s="522"/>
      <c r="F1536" s="522"/>
      <c r="G1536" s="522"/>
      <c r="H1536" s="522"/>
      <c r="I1536" s="522"/>
      <c r="J1536" s="522"/>
      <c r="K1536" s="522"/>
      <c r="L1536" s="522"/>
      <c r="M1536" s="2893"/>
      <c r="N1536" s="3117" t="s">
        <v>1283</v>
      </c>
      <c r="O1536" s="3124">
        <f>'Part IX A-Scoring Criteria'!O163</f>
        <v>0</v>
      </c>
      <c r="P1536" s="3124">
        <f>'Part IX A-Scoring Criteria'!P163</f>
        <v>0</v>
      </c>
      <c r="Q1536" s="522"/>
    </row>
    <row r="1537" spans="1:17">
      <c r="A1537" s="2905" t="s">
        <v>2084</v>
      </c>
      <c r="B1537" s="2912" t="s">
        <v>2341</v>
      </c>
      <c r="C1537" s="521"/>
      <c r="D1537" s="521"/>
      <c r="E1537" s="521"/>
      <c r="F1537" s="521"/>
      <c r="G1537" s="521"/>
      <c r="H1537" s="3160" t="s">
        <v>3914</v>
      </c>
      <c r="I1537" s="521"/>
      <c r="J1537" s="521"/>
      <c r="K1537" s="521"/>
      <c r="L1537" s="521"/>
      <c r="M1537" s="2893">
        <v>4</v>
      </c>
      <c r="N1537" s="2981" t="s">
        <v>2084</v>
      </c>
      <c r="O1537" s="3091">
        <f>'Part IX A-Scoring Criteria'!O164</f>
        <v>0</v>
      </c>
      <c r="P1537" s="3091">
        <f>'Part IX A-Scoring Criteria'!P164</f>
        <v>0</v>
      </c>
      <c r="Q1537" s="521"/>
    </row>
    <row r="1538" spans="1:17">
      <c r="A1538" s="521"/>
      <c r="B1538" s="3133" t="s">
        <v>2085</v>
      </c>
      <c r="C1538" s="3005" t="s">
        <v>4612</v>
      </c>
      <c r="D1538" s="521"/>
      <c r="E1538" s="521"/>
      <c r="F1538" s="521"/>
      <c r="G1538" s="521"/>
      <c r="H1538" s="521"/>
      <c r="I1538" s="521"/>
      <c r="J1538" s="521"/>
      <c r="K1538" s="521"/>
      <c r="L1538" s="521"/>
      <c r="M1538" s="2893">
        <v>4</v>
      </c>
      <c r="N1538" s="3006">
        <v>1</v>
      </c>
      <c r="O1538" s="3091">
        <f>'Part IX A-Scoring Criteria'!O165</f>
        <v>0</v>
      </c>
      <c r="P1538" s="3091">
        <f>'Part IX A-Scoring Criteria'!P165</f>
        <v>0</v>
      </c>
      <c r="Q1538" s="521"/>
    </row>
    <row r="1539" spans="1:17">
      <c r="A1539" s="521"/>
      <c r="B1539" s="3133"/>
      <c r="C1539" s="522" t="s">
        <v>3903</v>
      </c>
      <c r="D1539" s="522" t="s">
        <v>3902</v>
      </c>
      <c r="E1539" s="521"/>
      <c r="F1539" s="521"/>
      <c r="G1539" s="521"/>
      <c r="H1539" s="521"/>
      <c r="I1539" s="521"/>
      <c r="J1539" s="521"/>
      <c r="K1539" s="521"/>
      <c r="L1539" s="521"/>
      <c r="M1539" s="2893"/>
      <c r="N1539" s="2893"/>
      <c r="O1539" s="2902"/>
      <c r="P1539" s="2902"/>
      <c r="Q1539" s="521"/>
    </row>
    <row r="1540" spans="1:17">
      <c r="A1540" s="521"/>
      <c r="B1540" s="521"/>
      <c r="C1540" s="3117" t="s">
        <v>3906</v>
      </c>
      <c r="D1540" s="3009" t="s">
        <v>3900</v>
      </c>
      <c r="E1540" s="521"/>
      <c r="F1540" s="521"/>
      <c r="G1540" s="3009"/>
      <c r="H1540" s="3009"/>
      <c r="I1540" s="3009"/>
      <c r="J1540" s="3009"/>
      <c r="K1540" s="521"/>
      <c r="L1540" s="521"/>
      <c r="M1540" s="2893">
        <v>3</v>
      </c>
      <c r="N1540" s="3006" t="s">
        <v>3907</v>
      </c>
      <c r="O1540" s="2902">
        <f>'Part IX A-Scoring Criteria'!O167</f>
        <v>0</v>
      </c>
      <c r="P1540" s="2902">
        <f>'Part IX A-Scoring Criteria'!P167</f>
        <v>0</v>
      </c>
      <c r="Q1540" s="2696" t="s">
        <v>2876</v>
      </c>
    </row>
    <row r="1541" spans="1:17">
      <c r="A1541" s="521"/>
      <c r="B1541" s="521"/>
      <c r="C1541" s="2981" t="s">
        <v>235</v>
      </c>
      <c r="D1541" s="3009" t="s">
        <v>3901</v>
      </c>
      <c r="E1541" s="521"/>
      <c r="F1541" s="521"/>
      <c r="G1541" s="3009"/>
      <c r="H1541" s="3009"/>
      <c r="I1541" s="521"/>
      <c r="J1541" s="521"/>
      <c r="K1541" s="521"/>
      <c r="L1541" s="521"/>
      <c r="M1541" s="2893">
        <v>1</v>
      </c>
      <c r="N1541" s="522" t="s">
        <v>3908</v>
      </c>
      <c r="O1541" s="2902">
        <f>'Part IX A-Scoring Criteria'!O168</f>
        <v>0</v>
      </c>
      <c r="P1541" s="2902">
        <f>'Part IX A-Scoring Criteria'!P168</f>
        <v>0</v>
      </c>
      <c r="Q1541" s="2696" t="s">
        <v>2876</v>
      </c>
    </row>
    <row r="1542" spans="1:17">
      <c r="A1542" s="3011"/>
      <c r="B1542" s="3132"/>
      <c r="D1542" s="3070"/>
      <c r="E1542" s="3132"/>
      <c r="G1542" s="3149"/>
      <c r="H1542" s="3009" t="s">
        <v>3875</v>
      </c>
      <c r="J1542" s="2963" t="str">
        <f>'Part I-Project Information'!$F$28</f>
        <v>Fort Valley</v>
      </c>
      <c r="K1542" s="2963"/>
    </row>
    <row r="1543" spans="1:17">
      <c r="C1543" s="3069" t="s">
        <v>3904</v>
      </c>
      <c r="D1543" s="2947" t="s">
        <v>3905</v>
      </c>
      <c r="E1543" s="2947"/>
      <c r="F1543" s="2947"/>
      <c r="G1543" s="2947"/>
      <c r="H1543" s="2947"/>
      <c r="I1543" s="2947"/>
      <c r="J1543" s="2947"/>
      <c r="K1543" s="2947"/>
      <c r="L1543" s="2947"/>
      <c r="M1543" s="2893">
        <v>3</v>
      </c>
      <c r="N1543" s="2981" t="s">
        <v>2557</v>
      </c>
      <c r="O1543" s="2902">
        <f>'Part IX A-Scoring Criteria'!O170</f>
        <v>0</v>
      </c>
      <c r="P1543" s="2902">
        <f>'Part IX A-Scoring Criteria'!P170</f>
        <v>0</v>
      </c>
      <c r="Q1543" s="2696" t="s">
        <v>2876</v>
      </c>
    </row>
    <row r="1544" spans="1:17" ht="15">
      <c r="C1544" s="3009"/>
      <c r="D1544" s="2947"/>
      <c r="E1544" s="2947"/>
      <c r="F1544" s="2947"/>
      <c r="G1544" s="2947"/>
      <c r="H1544" s="2947"/>
      <c r="I1544" s="2947"/>
      <c r="J1544" s="2947"/>
      <c r="K1544" s="2947"/>
      <c r="L1544" s="2947"/>
      <c r="N1544" s="522"/>
      <c r="O1544" s="3129"/>
      <c r="P1544" s="3129"/>
    </row>
    <row r="1545" spans="1:17">
      <c r="A1545" s="3010" t="s">
        <v>1419</v>
      </c>
      <c r="B1545" s="3157" t="s">
        <v>2087</v>
      </c>
      <c r="C1545" s="3062" t="s">
        <v>4613</v>
      </c>
      <c r="D1545" s="521"/>
      <c r="E1545" s="521"/>
      <c r="F1545" s="521"/>
      <c r="G1545" s="3009"/>
      <c r="H1545" s="3160" t="s">
        <v>3913</v>
      </c>
      <c r="I1545" s="3009"/>
      <c r="M1545" s="2887">
        <v>2</v>
      </c>
      <c r="N1545" s="3070">
        <v>2</v>
      </c>
      <c r="O1545" s="3091">
        <f>'Part IX A-Scoring Criteria'!O172</f>
        <v>0</v>
      </c>
      <c r="P1545" s="3091">
        <f>'Part IX A-Scoring Criteria'!P172</f>
        <v>0</v>
      </c>
    </row>
    <row r="1546" spans="1:17">
      <c r="A1546" s="3010"/>
      <c r="B1546" s="3157"/>
      <c r="C1546" s="3046" t="s">
        <v>3915</v>
      </c>
      <c r="D1546" s="2947" t="s">
        <v>3909</v>
      </c>
      <c r="E1546" s="2947"/>
      <c r="F1546" s="2947"/>
      <c r="G1546" s="2947"/>
      <c r="H1546" s="2947"/>
      <c r="I1546" s="2947"/>
      <c r="J1546" s="2947"/>
      <c r="K1546" s="2947"/>
      <c r="L1546" s="2947"/>
      <c r="M1546" s="2887"/>
      <c r="N1546" s="3056" t="s">
        <v>2556</v>
      </c>
      <c r="O1546" s="2902">
        <f>'Part IX A-Scoring Criteria'!O173</f>
        <v>0</v>
      </c>
      <c r="P1546" s="2902">
        <f>'Part IX A-Scoring Criteria'!P173</f>
        <v>0</v>
      </c>
      <c r="Q1546" s="2696" t="s">
        <v>2876</v>
      </c>
    </row>
    <row r="1547" spans="1:17">
      <c r="B1547" s="3157"/>
      <c r="C1547" s="3132" t="s">
        <v>3916</v>
      </c>
      <c r="D1547" s="2947"/>
      <c r="E1547" s="2947"/>
      <c r="F1547" s="2947"/>
      <c r="G1547" s="2947"/>
      <c r="H1547" s="2947"/>
      <c r="I1547" s="2947"/>
      <c r="J1547" s="2947"/>
      <c r="K1547" s="2947"/>
      <c r="L1547" s="2947"/>
      <c r="N1547" s="2887"/>
      <c r="O1547" s="2889"/>
      <c r="P1547" s="2889"/>
    </row>
    <row r="1548" spans="1:17">
      <c r="B1548" s="2885" t="s">
        <v>3797</v>
      </c>
      <c r="C1548" s="3009" t="s">
        <v>3904</v>
      </c>
      <c r="D1548" s="505" t="s">
        <v>3910</v>
      </c>
      <c r="E1548" s="521"/>
      <c r="H1548" s="3009"/>
      <c r="I1548" s="3009"/>
      <c r="J1548" s="3009"/>
      <c r="N1548" s="3056" t="s">
        <v>2557</v>
      </c>
      <c r="O1548" s="2902">
        <f>'Part IX A-Scoring Criteria'!O175</f>
        <v>0</v>
      </c>
      <c r="P1548" s="2902">
        <f>'Part IX A-Scoring Criteria'!P175</f>
        <v>0</v>
      </c>
      <c r="Q1548" s="2696" t="s">
        <v>2876</v>
      </c>
    </row>
    <row r="1549" spans="1:17" ht="15">
      <c r="A1549" s="521"/>
      <c r="B1549" s="2972" t="s">
        <v>267</v>
      </c>
      <c r="C1549" s="521"/>
      <c r="D1549" s="525"/>
      <c r="E1549" s="525"/>
      <c r="F1549" s="525"/>
      <c r="G1549" s="525"/>
      <c r="H1549" s="522"/>
      <c r="I1549" s="522"/>
      <c r="J1549" s="522"/>
      <c r="K1549" s="522"/>
      <c r="L1549" s="3095"/>
      <c r="M1549" s="2893"/>
      <c r="N1549" s="2887"/>
      <c r="O1549" s="3091"/>
      <c r="P1549" s="2889"/>
      <c r="Q1549" s="3095"/>
    </row>
    <row r="1550" spans="1:17" ht="15.75">
      <c r="A1550" s="2947" t="str">
        <f>'Part IX A-Scoring Criteria'!A177</f>
        <v>There was a tax credit development funded in Fort Valley in 2013.</v>
      </c>
      <c r="B1550" s="2947"/>
      <c r="C1550" s="2947"/>
      <c r="D1550" s="2947"/>
      <c r="E1550" s="2947"/>
      <c r="F1550" s="2947"/>
      <c r="G1550" s="2947"/>
      <c r="H1550" s="2947"/>
      <c r="I1550" s="2947"/>
      <c r="J1550" s="2947"/>
      <c r="K1550" s="2947"/>
      <c r="L1550" s="2947"/>
      <c r="M1550" s="2947"/>
      <c r="N1550" s="2947"/>
      <c r="O1550" s="2947"/>
      <c r="P1550" s="2947"/>
      <c r="Q1550" s="3096" t="s">
        <v>1314</v>
      </c>
    </row>
    <row r="1551" spans="1:17" ht="15">
      <c r="A1551" s="521"/>
      <c r="B1551" s="2972" t="s">
        <v>1960</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1314</v>
      </c>
    </row>
    <row r="1553" spans="1:17">
      <c r="N1553" s="2887"/>
      <c r="O1553" s="2889"/>
      <c r="P1553" s="2889"/>
    </row>
    <row r="1554" spans="1:17" ht="15">
      <c r="A1554" s="3092" t="s">
        <v>226</v>
      </c>
      <c r="B1554" s="3093" t="s">
        <v>3887</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458</v>
      </c>
    </row>
    <row r="1555" spans="1:17">
      <c r="B1555" s="505" t="s">
        <v>1750</v>
      </c>
      <c r="M1555" s="2926"/>
      <c r="P1555" s="3070" t="s">
        <v>2636</v>
      </c>
    </row>
    <row r="1556" spans="1:17">
      <c r="A1556" s="3049" t="s">
        <v>2081</v>
      </c>
      <c r="B1556" s="2947" t="s">
        <v>2766</v>
      </c>
      <c r="C1556" s="2947"/>
      <c r="D1556" s="2947"/>
      <c r="E1556" s="2947"/>
      <c r="F1556" s="2947"/>
      <c r="G1556" s="2947"/>
      <c r="H1556" s="2947"/>
      <c r="I1556" s="2947"/>
      <c r="J1556" s="2947"/>
      <c r="K1556" s="2947"/>
      <c r="L1556" s="2947"/>
      <c r="M1556" s="2922"/>
      <c r="N1556" s="3056" t="s">
        <v>2081</v>
      </c>
      <c r="O1556" s="3124" t="str">
        <f>'Part IX A-Scoring Criteria'!O183</f>
        <v>No</v>
      </c>
      <c r="P1556" s="3124">
        <f>'Part IX A-Scoring Criteria'!P183</f>
        <v>0</v>
      </c>
      <c r="Q1556" s="3055"/>
    </row>
    <row r="1557" spans="1:17">
      <c r="A1557" s="3049" t="s">
        <v>2084</v>
      </c>
      <c r="B1557" s="2947" t="s">
        <v>2911</v>
      </c>
      <c r="C1557" s="2947"/>
      <c r="D1557" s="2947"/>
      <c r="E1557" s="2947"/>
      <c r="F1557" s="2947"/>
      <c r="G1557" s="2947"/>
      <c r="H1557" s="2947"/>
      <c r="I1557" s="2947"/>
      <c r="J1557" s="2947"/>
      <c r="K1557" s="2947"/>
      <c r="L1557" s="2947"/>
      <c r="M1557" s="2922"/>
      <c r="N1557" s="3056" t="s">
        <v>2084</v>
      </c>
      <c r="O1557" s="3124" t="str">
        <f>'Part IX A-Scoring Criteria'!O184</f>
        <v>No</v>
      </c>
      <c r="P1557" s="3124">
        <f>'Part IX A-Scoring Criteria'!P184</f>
        <v>0</v>
      </c>
      <c r="Q1557" s="3055"/>
    </row>
    <row r="1558" spans="1:17">
      <c r="A1558" s="3049" t="s">
        <v>789</v>
      </c>
      <c r="B1558" s="3046" t="s">
        <v>1751</v>
      </c>
      <c r="C1558" s="3055"/>
      <c r="D1558" s="3055"/>
      <c r="E1558" s="3055"/>
      <c r="F1558" s="3055"/>
      <c r="G1558" s="3055"/>
      <c r="H1558" s="3055"/>
      <c r="I1558" s="3055"/>
      <c r="J1558" s="3055"/>
      <c r="K1558" s="3055"/>
      <c r="L1558" s="3055"/>
      <c r="M1558" s="3163"/>
      <c r="N1558" s="2981" t="s">
        <v>789</v>
      </c>
      <c r="O1558" s="3124" t="str">
        <f>'Part IX A-Scoring Criteria'!O185</f>
        <v>No</v>
      </c>
      <c r="P1558" s="3124">
        <f>'Part IX A-Scoring Criteria'!P185</f>
        <v>0</v>
      </c>
      <c r="Q1558" s="3055"/>
    </row>
    <row r="1559" spans="1:17" ht="15">
      <c r="A1559" s="3056"/>
      <c r="B1559" s="2972" t="s">
        <v>267</v>
      </c>
      <c r="C1559" s="521"/>
      <c r="D1559" s="525"/>
      <c r="E1559" s="525"/>
      <c r="F1559" s="525"/>
      <c r="G1559" s="525"/>
      <c r="H1559" s="522"/>
      <c r="I1559" s="522"/>
      <c r="J1559" s="522"/>
      <c r="K1559" s="522"/>
      <c r="L1559" s="3095"/>
      <c r="M1559" s="2893"/>
      <c r="N1559" s="2887"/>
      <c r="O1559" s="3091"/>
      <c r="P1559" s="2889"/>
      <c r="Q1559" s="3095"/>
    </row>
    <row r="1560" spans="1:17" ht="15.75">
      <c r="A1560" s="2947" t="str">
        <f>'Part IX A-Scoring Criteria'!A187</f>
        <v>Market study included in Tab 5 substantiates these items.</v>
      </c>
      <c r="B1560" s="2947"/>
      <c r="C1560" s="2947"/>
      <c r="D1560" s="2947"/>
      <c r="E1560" s="2947"/>
      <c r="F1560" s="2947"/>
      <c r="G1560" s="2947"/>
      <c r="H1560" s="2947"/>
      <c r="I1560" s="2947"/>
      <c r="J1560" s="2947"/>
      <c r="K1560" s="2947"/>
      <c r="L1560" s="2947"/>
      <c r="M1560" s="2947"/>
      <c r="N1560" s="2947"/>
      <c r="O1560" s="2947"/>
      <c r="P1560" s="2947"/>
      <c r="Q1560" s="3096" t="s">
        <v>1314</v>
      </c>
    </row>
    <row r="1561" spans="1:17" ht="15">
      <c r="A1561" s="521"/>
      <c r="B1561" s="2972" t="s">
        <v>1960</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1314</v>
      </c>
    </row>
    <row r="1563" spans="1:17">
      <c r="N1563" s="2887"/>
      <c r="O1563" s="2889"/>
      <c r="P1563" s="2889"/>
    </row>
    <row r="1564" spans="1:17" ht="15">
      <c r="A1564" s="3164" t="s">
        <v>227</v>
      </c>
      <c r="B1564" s="3093" t="s">
        <v>3148</v>
      </c>
      <c r="C1564" s="3095"/>
      <c r="D1564" s="3116"/>
      <c r="E1564" s="3116"/>
      <c r="F1564" s="3116"/>
      <c r="G1564" s="3095"/>
      <c r="H1564" s="522"/>
      <c r="I1564" s="3160" t="s">
        <v>414</v>
      </c>
      <c r="J1564" s="3095"/>
      <c r="K1564" s="525"/>
      <c r="L1564" s="3095"/>
      <c r="M1564" s="2902">
        <v>1</v>
      </c>
      <c r="N1564" s="2893"/>
      <c r="O1564" s="3091">
        <f>'Part IX A-Scoring Criteria'!O191</f>
        <v>1</v>
      </c>
      <c r="P1564" s="3091">
        <f>'Part IX A-Scoring Criteria'!P191</f>
        <v>0</v>
      </c>
      <c r="Q1564" s="2902" t="s">
        <v>458</v>
      </c>
    </row>
    <row r="1565" spans="1:17" ht="15">
      <c r="A1565" s="3059" t="s">
        <v>2081</v>
      </c>
      <c r="B1565" s="2912" t="s">
        <v>2342</v>
      </c>
      <c r="C1565" s="3129"/>
      <c r="D1565" s="3160"/>
      <c r="E1565" s="3160"/>
      <c r="F1565" s="3089"/>
      <c r="H1565" s="3129"/>
      <c r="I1565" s="3129"/>
      <c r="J1565" s="3129"/>
      <c r="K1565" s="3129"/>
      <c r="L1565" s="3129"/>
      <c r="M1565" s="2893">
        <v>1</v>
      </c>
      <c r="N1565" s="2981" t="s">
        <v>2081</v>
      </c>
      <c r="O1565" s="2902">
        <f>'Part IX A-Scoring Criteria'!O192</f>
        <v>1</v>
      </c>
      <c r="P1565" s="2902">
        <f>'Part IX A-Scoring Criteria'!P192</f>
        <v>0</v>
      </c>
      <c r="Q1565" s="2950" t="s">
        <v>2876</v>
      </c>
    </row>
    <row r="1566" spans="1:17" ht="15">
      <c r="A1566" s="3059"/>
      <c r="B1566" s="3009" t="s">
        <v>2852</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2084</v>
      </c>
      <c r="B1567" s="2912" t="s">
        <v>2343</v>
      </c>
      <c r="C1567" s="3095"/>
      <c r="D1567" s="522"/>
      <c r="E1567" s="3095"/>
      <c r="F1567" s="3095"/>
      <c r="G1567" s="3095"/>
      <c r="H1567" s="3095"/>
      <c r="I1567" s="3095"/>
      <c r="J1567" s="3095"/>
      <c r="K1567" s="522"/>
      <c r="L1567" s="3129"/>
      <c r="M1567" s="2893">
        <v>1</v>
      </c>
      <c r="N1567" s="2981" t="s">
        <v>2084</v>
      </c>
      <c r="O1567" s="2902">
        <f>'Part IX A-Scoring Criteria'!O194</f>
        <v>0</v>
      </c>
      <c r="P1567" s="2902">
        <f>'Part IX A-Scoring Criteria'!P194</f>
        <v>0</v>
      </c>
      <c r="Q1567" s="2950" t="s">
        <v>2876</v>
      </c>
    </row>
    <row r="1568" spans="1:17" ht="15">
      <c r="A1568" s="3059"/>
      <c r="B1568" s="3009" t="s">
        <v>2840</v>
      </c>
      <c r="C1568" s="3095"/>
      <c r="D1568" s="522"/>
      <c r="E1568" s="3095"/>
      <c r="F1568" s="3095"/>
      <c r="G1568" s="3095"/>
      <c r="H1568" s="3006"/>
      <c r="I1568" s="3095"/>
      <c r="J1568" s="3095"/>
      <c r="K1568" s="522"/>
      <c r="L1568" s="3129"/>
      <c r="M1568" s="2893"/>
      <c r="N1568" s="2981"/>
      <c r="O1568" s="3124">
        <f>'Part IX A-Scoring Criteria'!O195</f>
        <v>0</v>
      </c>
      <c r="P1568" s="3124">
        <f>'Part IX A-Scoring Criteria'!P195</f>
        <v>0</v>
      </c>
      <c r="Q1568" s="2950"/>
    </row>
    <row r="1569" spans="1:17" ht="15">
      <c r="A1569" s="521"/>
      <c r="B1569" s="2972" t="s">
        <v>267</v>
      </c>
      <c r="C1569" s="521"/>
      <c r="D1569" s="525"/>
      <c r="E1569" s="525"/>
      <c r="F1569" s="525"/>
      <c r="G1569" s="525"/>
      <c r="H1569" s="522"/>
      <c r="I1569" s="522"/>
      <c r="J1569" s="522"/>
      <c r="K1569" s="522"/>
      <c r="L1569" s="3095"/>
      <c r="M1569" s="2893"/>
      <c r="N1569" s="2887"/>
      <c r="O1569" s="3091"/>
      <c r="P1569" s="2889"/>
      <c r="Q1569" s="3095"/>
    </row>
    <row r="1570" spans="1:17" ht="15.75">
      <c r="A1570" s="2947" t="str">
        <f>'Part IX A-Scoring Criteria'!A197</f>
        <v>We agree to forego the right to seek a Qualified Contract for this property for a period of five years past the end of the Compliance Period.</v>
      </c>
      <c r="B1570" s="2947"/>
      <c r="C1570" s="2947"/>
      <c r="D1570" s="2947"/>
      <c r="E1570" s="2947"/>
      <c r="F1570" s="2947"/>
      <c r="G1570" s="2947"/>
      <c r="H1570" s="2947"/>
      <c r="I1570" s="2947"/>
      <c r="J1570" s="2947"/>
      <c r="K1570" s="2947"/>
      <c r="L1570" s="2947"/>
      <c r="M1570" s="2947"/>
      <c r="N1570" s="2947"/>
      <c r="O1570" s="2947"/>
      <c r="P1570" s="2947"/>
      <c r="Q1570" s="3096" t="s">
        <v>1314</v>
      </c>
    </row>
    <row r="1571" spans="1:17" ht="15">
      <c r="A1571" s="521"/>
      <c r="B1571" s="2972" t="s">
        <v>1960</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1314</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245</v>
      </c>
      <c r="B1574" s="3098" t="s">
        <v>3888</v>
      </c>
      <c r="C1574" s="2965"/>
      <c r="D1574" s="3071"/>
      <c r="E1574" s="522"/>
      <c r="F1574" s="3095"/>
      <c r="G1574" s="3095"/>
      <c r="H1574" s="3095"/>
      <c r="I1574" s="3095"/>
      <c r="J1574" s="3095"/>
      <c r="K1574" s="3095"/>
      <c r="L1574" s="3095"/>
      <c r="M1574" s="2902">
        <v>3</v>
      </c>
      <c r="N1574" s="2893"/>
      <c r="O1574" s="2893"/>
      <c r="P1574" s="2902">
        <f>'Part IX A-Scoring Criteria'!P201</f>
        <v>0</v>
      </c>
      <c r="Q1574" s="2902" t="s">
        <v>458</v>
      </c>
    </row>
    <row r="1575" spans="1:17" ht="15">
      <c r="A1575" s="3164"/>
      <c r="B1575" s="3009" t="s">
        <v>2843</v>
      </c>
      <c r="C1575" s="2965"/>
      <c r="D1575" s="3071"/>
      <c r="E1575" s="522"/>
      <c r="F1575" s="3095"/>
      <c r="G1575" s="3095"/>
      <c r="H1575" s="3095"/>
      <c r="I1575" s="2896" t="str">
        <f>'Part I-Project Information'!$H$86</f>
        <v>No</v>
      </c>
      <c r="J1575" s="3095"/>
      <c r="K1575" s="3095"/>
      <c r="L1575" s="3095"/>
      <c r="M1575" s="2902"/>
      <c r="N1575" s="2902"/>
      <c r="O1575" s="3070" t="s">
        <v>2636</v>
      </c>
      <c r="P1575" s="3070" t="s">
        <v>2636</v>
      </c>
      <c r="Q1575" s="2902"/>
    </row>
    <row r="1576" spans="1:17" ht="15">
      <c r="A1576" s="3059"/>
      <c r="B1576" s="505" t="s">
        <v>4069</v>
      </c>
      <c r="C1576" s="3095"/>
      <c r="D1576" s="521"/>
      <c r="E1576" s="3095"/>
      <c r="F1576" s="3095"/>
      <c r="G1576" s="3095"/>
      <c r="H1576" s="3095"/>
      <c r="I1576" s="3095"/>
      <c r="J1576" s="3095"/>
      <c r="K1576" s="3095"/>
      <c r="L1576" s="3095"/>
      <c r="M1576" s="3095"/>
      <c r="N1576" s="2981"/>
      <c r="O1576" s="3124" t="str">
        <f>'Part IX A-Scoring Criteria'!O203</f>
        <v>No</v>
      </c>
      <c r="P1576" s="3124">
        <f>'Part IX A-Scoring Criteria'!P203</f>
        <v>0</v>
      </c>
      <c r="Q1576" s="3095"/>
    </row>
    <row r="1577" spans="1:17" ht="15">
      <c r="A1577" s="3059"/>
      <c r="B1577" s="505" t="s">
        <v>4070</v>
      </c>
      <c r="C1577" s="3095"/>
      <c r="D1577" s="521"/>
      <c r="E1577" s="3095"/>
      <c r="F1577" s="3095"/>
      <c r="G1577" s="3095"/>
      <c r="H1577" s="3095"/>
      <c r="I1577" s="3095"/>
      <c r="J1577" s="3095"/>
      <c r="K1577" s="3095"/>
      <c r="L1577" s="3095"/>
      <c r="M1577" s="3095"/>
      <c r="N1577" s="2981"/>
      <c r="O1577" s="3124">
        <f>'Part IX A-Scoring Criteria'!O204</f>
        <v>0</v>
      </c>
      <c r="P1577" s="3124">
        <f>'Part IX A-Scoring Criteria'!P204</f>
        <v>0</v>
      </c>
      <c r="Q1577" s="3095"/>
    </row>
    <row r="1578" spans="1:17" ht="15">
      <c r="A1578" s="3059"/>
      <c r="B1578" s="505" t="s">
        <v>3889</v>
      </c>
      <c r="C1578" s="3095"/>
      <c r="D1578" s="521"/>
      <c r="E1578" s="3095"/>
      <c r="F1578" s="3095"/>
      <c r="G1578" s="3095"/>
      <c r="H1578" s="3095"/>
      <c r="I1578" s="3095"/>
      <c r="J1578" s="3095"/>
      <c r="K1578" s="3095"/>
      <c r="L1578" s="3095"/>
      <c r="M1578" s="3095"/>
      <c r="N1578" s="2981"/>
      <c r="O1578" s="3124">
        <f>'Part IX A-Scoring Criteria'!O205</f>
        <v>0</v>
      </c>
      <c r="P1578" s="3124">
        <f>'Part IX A-Scoring Criteria'!P205</f>
        <v>0</v>
      </c>
      <c r="Q1578" s="3095"/>
    </row>
    <row r="1579" spans="1:17" ht="15">
      <c r="A1579" s="521"/>
      <c r="B1579" s="2972" t="s">
        <v>267</v>
      </c>
      <c r="C1579" s="521"/>
      <c r="D1579" s="525"/>
      <c r="E1579" s="525"/>
      <c r="F1579" s="525"/>
      <c r="G1579" s="525"/>
      <c r="H1579" s="522"/>
      <c r="I1579" s="522"/>
      <c r="J1579" s="522"/>
      <c r="K1579" s="522"/>
      <c r="L1579" s="3095"/>
      <c r="M1579" s="2893"/>
      <c r="N1579" s="2887"/>
      <c r="O1579" s="3091"/>
      <c r="P1579" s="2889"/>
      <c r="Q1579" s="3095"/>
    </row>
    <row r="1580" spans="1:17" ht="15.75">
      <c r="A1580" s="2947" t="str">
        <f>'Part IX A-Scoring Criteria'!A207</f>
        <v>This section is not applicable.</v>
      </c>
      <c r="B1580" s="2947"/>
      <c r="C1580" s="2947"/>
      <c r="D1580" s="2947"/>
      <c r="E1580" s="2947"/>
      <c r="F1580" s="2947"/>
      <c r="G1580" s="2947"/>
      <c r="H1580" s="2947"/>
      <c r="I1580" s="2947"/>
      <c r="J1580" s="2947"/>
      <c r="K1580" s="2947"/>
      <c r="L1580" s="2947"/>
      <c r="M1580" s="2947"/>
      <c r="N1580" s="2947"/>
      <c r="O1580" s="2947"/>
      <c r="P1580" s="2947"/>
      <c r="Q1580" s="3096" t="s">
        <v>1314</v>
      </c>
    </row>
    <row r="1581" spans="1:17" ht="15">
      <c r="A1581" s="521"/>
      <c r="B1581" s="2972" t="s">
        <v>1960</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1314</v>
      </c>
    </row>
    <row r="1583" spans="1:17">
      <c r="N1583" s="2887"/>
      <c r="O1583" s="2889"/>
      <c r="P1583" s="2889"/>
    </row>
    <row r="1584" spans="1:17" ht="15">
      <c r="A1584" s="3092" t="s">
        <v>246</v>
      </c>
      <c r="B1584" s="3093" t="s">
        <v>3149</v>
      </c>
      <c r="C1584" s="3165"/>
      <c r="D1584" s="3165"/>
      <c r="E1584" s="3165"/>
      <c r="F1584" s="3165"/>
      <c r="G1584" s="522" t="s">
        <v>3100</v>
      </c>
      <c r="H1584" s="505"/>
      <c r="I1584" s="3069" t="str">
        <f>'Part I-Project Information'!$H$90</f>
        <v>Rural</v>
      </c>
      <c r="J1584" s="3165"/>
      <c r="K1584" s="3165"/>
      <c r="L1584" s="3165"/>
      <c r="M1584" s="2902">
        <v>3</v>
      </c>
      <c r="N1584" s="3131" t="str">
        <f>IF(OR($O1584=$M1584,$O1584=0,$O1584=""),"","***")</f>
        <v/>
      </c>
      <c r="O1584" s="3091">
        <f>'Part IX A-Scoring Criteria'!O211</f>
        <v>0</v>
      </c>
      <c r="P1584" s="3091">
        <f>'Part IX A-Scoring Criteria'!P211</f>
        <v>0</v>
      </c>
      <c r="Q1584" s="2902" t="s">
        <v>458</v>
      </c>
    </row>
    <row r="1585" spans="1:17" ht="15">
      <c r="A1585" s="3092"/>
      <c r="B1585" s="3165"/>
      <c r="C1585" s="3165"/>
      <c r="D1585" s="3165"/>
      <c r="E1585" s="3165"/>
      <c r="F1585" s="3165"/>
      <c r="G1585" s="3132" t="s">
        <v>3891</v>
      </c>
      <c r="H1585" s="3116"/>
      <c r="I1585" s="3009" t="str">
        <f>'Part I-Project Information'!$K$30</f>
        <v>Rural</v>
      </c>
      <c r="J1585" s="3165"/>
      <c r="K1585" s="3009" t="str">
        <f>IF(I1584="Flexible","(NOTE: Only Rural pool applicants are eligible for this section.)","")</f>
        <v/>
      </c>
      <c r="L1585" s="3165"/>
      <c r="M1585" s="2902"/>
      <c r="N1585" s="3131"/>
      <c r="O1585" s="3131"/>
      <c r="P1585" s="3131"/>
      <c r="Q1585" s="3165"/>
    </row>
    <row r="1586" spans="1:17">
      <c r="A1586" s="3049" t="s">
        <v>2081</v>
      </c>
      <c r="B1586" s="2947" t="s">
        <v>4614</v>
      </c>
      <c r="C1586" s="2947"/>
      <c r="D1586" s="2947"/>
      <c r="E1586" s="2947"/>
      <c r="F1586" s="2947"/>
      <c r="G1586" s="2947"/>
      <c r="H1586" s="2947"/>
      <c r="I1586" s="2947"/>
      <c r="J1586" s="2947"/>
      <c r="K1586" s="2947"/>
      <c r="L1586" s="2947"/>
      <c r="M1586" s="3122">
        <v>2</v>
      </c>
      <c r="N1586" s="3056" t="s">
        <v>2081</v>
      </c>
      <c r="O1586" s="2902">
        <f>'Part IX A-Scoring Criteria'!O213</f>
        <v>0</v>
      </c>
      <c r="P1586" s="2902">
        <f>'Part IX A-Scoring Criteria'!P213</f>
        <v>0</v>
      </c>
      <c r="Q1586" s="3104" t="s">
        <v>2876</v>
      </c>
    </row>
    <row r="1587" spans="1:17" ht="15">
      <c r="A1587" s="3092"/>
      <c r="B1587" s="3165"/>
      <c r="C1587" s="2894"/>
      <c r="D1587" s="3165"/>
      <c r="E1587" s="3166"/>
      <c r="F1587" s="3165"/>
      <c r="G1587" s="3132" t="s">
        <v>1881</v>
      </c>
      <c r="H1587" s="3165"/>
      <c r="I1587" s="3009">
        <f>'Part VI-Revenues &amp; Expenses'!$M$62</f>
        <v>96</v>
      </c>
      <c r="J1587" s="3009" t="s">
        <v>4048</v>
      </c>
      <c r="K1587" s="3167"/>
      <c r="L1587" s="566"/>
      <c r="M1587" s="2902"/>
      <c r="N1587" s="3131"/>
      <c r="O1587" s="3131"/>
      <c r="P1587" s="3131"/>
      <c r="Q1587" s="2902"/>
    </row>
    <row r="1588" spans="1:17" ht="15">
      <c r="A1588" s="3092"/>
      <c r="B1588" s="3009"/>
      <c r="C1588" s="2894"/>
      <c r="D1588" s="3165"/>
      <c r="E1588" s="3166"/>
      <c r="F1588" s="3165"/>
      <c r="G1588" s="3132" t="s">
        <v>4047</v>
      </c>
      <c r="H1588" s="3165"/>
      <c r="I1588" s="3168">
        <f>'Part VI-Revenues &amp; Expenses'!$M$74</f>
        <v>0</v>
      </c>
      <c r="J1588" s="3169"/>
      <c r="K1588" s="3167"/>
      <c r="L1588" s="566"/>
      <c r="M1588" s="2902"/>
      <c r="N1588" s="3131"/>
      <c r="O1588" s="3131"/>
      <c r="P1588" s="3131"/>
      <c r="Q1588" s="2902"/>
    </row>
    <row r="1589" spans="1:17" ht="15">
      <c r="A1589" s="3092"/>
      <c r="B1589" s="2912"/>
      <c r="C1589" s="2894"/>
      <c r="D1589" s="3165"/>
      <c r="E1589" s="3166"/>
      <c r="F1589" s="3165"/>
      <c r="G1589" s="3132" t="s">
        <v>3062</v>
      </c>
      <c r="H1589" s="3165"/>
      <c r="I1589" s="3170">
        <f>'Part VI-Revenues &amp; Expenses'!$M$74/'Part VI-Revenues &amp; Expenses'!$M$62</f>
        <v>0</v>
      </c>
      <c r="J1589" s="3169"/>
      <c r="K1589" s="3167"/>
      <c r="L1589" s="566"/>
      <c r="M1589" s="2902"/>
      <c r="N1589" s="3131"/>
      <c r="O1589" s="3131"/>
      <c r="P1589" s="3131"/>
      <c r="Q1589" s="2902"/>
    </row>
    <row r="1590" spans="1:17" ht="13.5">
      <c r="A1590" s="3049" t="s">
        <v>2084</v>
      </c>
      <c r="B1590" s="3046" t="s">
        <v>4615</v>
      </c>
      <c r="C1590" s="3046"/>
      <c r="D1590" s="3046"/>
      <c r="E1590" s="3046"/>
      <c r="F1590" s="3046"/>
      <c r="G1590" s="3046"/>
      <c r="H1590" s="3046"/>
      <c r="I1590" s="3069"/>
      <c r="J1590" s="3046"/>
      <c r="K1590" s="3046"/>
      <c r="L1590" s="3046"/>
      <c r="M1590" s="2893">
        <v>1</v>
      </c>
      <c r="N1590" s="2981" t="s">
        <v>2084</v>
      </c>
      <c r="O1590" s="2902">
        <f>'Part IX A-Scoring Criteria'!O217</f>
        <v>0</v>
      </c>
      <c r="P1590" s="2902">
        <f>'Part IX A-Scoring Criteria'!P217</f>
        <v>0</v>
      </c>
      <c r="Q1590" s="2950" t="s">
        <v>2876</v>
      </c>
    </row>
    <row r="1591" spans="1:17" ht="15">
      <c r="A1591" s="3092"/>
      <c r="B1591" s="2912"/>
      <c r="C1591" s="2894"/>
      <c r="D1591" s="3165"/>
      <c r="E1591" s="3166"/>
      <c r="F1591" s="3165"/>
      <c r="G1591" s="3132" t="s">
        <v>3890</v>
      </c>
      <c r="H1591" s="3165"/>
      <c r="I1591" s="3132" t="str">
        <f>'Part I-Project Information'!$H$67</f>
        <v>Family</v>
      </c>
      <c r="J1591" s="3169"/>
      <c r="K1591" s="3167"/>
      <c r="L1591" s="566"/>
      <c r="M1591" s="2902"/>
      <c r="N1591" s="3131"/>
      <c r="O1591" s="3131"/>
      <c r="P1591" s="3131"/>
      <c r="Q1591" s="2902"/>
    </row>
    <row r="1592" spans="1:17" ht="15">
      <c r="A1592" s="521"/>
      <c r="B1592" s="2972" t="s">
        <v>267</v>
      </c>
      <c r="C1592" s="521"/>
      <c r="D1592" s="525"/>
      <c r="E1592" s="525"/>
      <c r="F1592" s="525"/>
      <c r="G1592" s="525"/>
      <c r="H1592" s="522"/>
      <c r="I1592" s="522"/>
      <c r="J1592" s="3012" t="s">
        <v>1960</v>
      </c>
      <c r="K1592" s="3095"/>
      <c r="L1592" s="3095"/>
      <c r="M1592" s="2893"/>
      <c r="N1592" s="2887"/>
      <c r="O1592" s="3091"/>
      <c r="P1592" s="2889"/>
      <c r="Q1592" s="3095"/>
    </row>
    <row r="1593" spans="1:17" ht="15.75">
      <c r="A1593" s="2947" t="str">
        <f>'Part IX A-Scoring Criteria'!A220</f>
        <v>This section is not applicable.</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1314</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1473</v>
      </c>
      <c r="B1595" s="3098" t="s">
        <v>1753</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1</v>
      </c>
      <c r="P1595" s="2902">
        <f>'Part IX A-Scoring Criteria'!P222</f>
        <v>0</v>
      </c>
      <c r="Q1595" s="2902" t="s">
        <v>458</v>
      </c>
    </row>
    <row r="1596" spans="1:17" ht="15">
      <c r="A1596" s="3095"/>
      <c r="B1596" s="3042" t="s">
        <v>3150</v>
      </c>
      <c r="C1596" s="3095"/>
      <c r="D1596" s="3129"/>
      <c r="E1596" s="2965"/>
      <c r="F1596" s="522"/>
      <c r="G1596" s="522"/>
      <c r="H1596" s="522"/>
      <c r="I1596" s="3010"/>
      <c r="J1596" s="3095"/>
      <c r="K1596" s="3095"/>
      <c r="L1596" s="3095"/>
      <c r="M1596" s="3095"/>
      <c r="N1596" s="3095"/>
      <c r="O1596" s="3070" t="s">
        <v>2636</v>
      </c>
      <c r="P1596" s="3070" t="s">
        <v>2636</v>
      </c>
      <c r="Q1596" s="3095"/>
    </row>
    <row r="1597" spans="1:17">
      <c r="A1597" s="3059" t="s">
        <v>2081</v>
      </c>
      <c r="B1597" s="522" t="s">
        <v>3268</v>
      </c>
      <c r="C1597" s="505"/>
      <c r="D1597" s="522"/>
      <c r="E1597" s="522"/>
      <c r="F1597" s="522"/>
      <c r="G1597" s="505"/>
      <c r="H1597" s="505"/>
      <c r="I1597" s="3018" t="str">
        <f>'Part IX A-Scoring Criteria'!I224</f>
        <v>Fort Valley</v>
      </c>
      <c r="J1597" s="3018"/>
      <c r="K1597" s="3018"/>
      <c r="L1597" s="505"/>
      <c r="M1597" s="505"/>
      <c r="N1597" s="2981" t="s">
        <v>2081</v>
      </c>
      <c r="O1597" s="3124" t="str">
        <f>'Part IX A-Scoring Criteria'!O224</f>
        <v>Yes</v>
      </c>
      <c r="P1597" s="3124">
        <f>'Part IX A-Scoring Criteria'!P224</f>
        <v>0</v>
      </c>
      <c r="Q1597" s="505"/>
    </row>
    <row r="1598" spans="1:17">
      <c r="A1598" s="3059" t="s">
        <v>2084</v>
      </c>
      <c r="B1598" s="522" t="s">
        <v>3269</v>
      </c>
      <c r="C1598" s="505"/>
      <c r="D1598" s="522"/>
      <c r="E1598" s="522"/>
      <c r="F1598" s="522"/>
      <c r="G1598" s="522"/>
      <c r="H1598" s="505"/>
      <c r="I1598" s="505"/>
      <c r="J1598" s="505"/>
      <c r="K1598" s="505"/>
      <c r="L1598" s="505"/>
      <c r="M1598" s="522"/>
      <c r="N1598" s="2981" t="s">
        <v>2084</v>
      </c>
      <c r="O1598" s="3124" t="str">
        <f>'Part IX A-Scoring Criteria'!O225</f>
        <v>Yes</v>
      </c>
      <c r="P1598" s="3124">
        <f>'Part IX A-Scoring Criteria'!P225</f>
        <v>0</v>
      </c>
      <c r="Q1598" s="505"/>
    </row>
    <row r="1599" spans="1:17">
      <c r="A1599" s="3059" t="s">
        <v>789</v>
      </c>
      <c r="B1599" s="522" t="s">
        <v>4197</v>
      </c>
      <c r="C1599" s="505"/>
      <c r="D1599" s="522"/>
      <c r="E1599" s="522"/>
      <c r="F1599" s="522"/>
      <c r="G1599" s="522"/>
      <c r="H1599" s="522"/>
      <c r="I1599" s="505"/>
      <c r="J1599" s="505"/>
      <c r="K1599" s="505"/>
      <c r="L1599" s="522"/>
      <c r="M1599" s="522"/>
      <c r="N1599" s="2981" t="s">
        <v>789</v>
      </c>
      <c r="O1599" s="3124" t="str">
        <f>'Part IX A-Scoring Criteria'!O226</f>
        <v>Yes</v>
      </c>
      <c r="P1599" s="3124">
        <f>'Part IX A-Scoring Criteria'!P226</f>
        <v>0</v>
      </c>
      <c r="Q1599" s="505"/>
    </row>
    <row r="1600" spans="1:17">
      <c r="A1600" s="3059" t="s">
        <v>2216</v>
      </c>
      <c r="B1600" s="522" t="s">
        <v>4071</v>
      </c>
      <c r="C1600" s="505"/>
      <c r="D1600" s="522"/>
      <c r="E1600" s="522"/>
      <c r="F1600" s="522"/>
      <c r="G1600" s="522"/>
      <c r="H1600" s="522"/>
      <c r="I1600" s="522"/>
      <c r="J1600" s="522"/>
      <c r="K1600" s="522"/>
      <c r="L1600" s="522"/>
      <c r="M1600" s="522"/>
      <c r="N1600" s="2981" t="s">
        <v>2216</v>
      </c>
      <c r="O1600" s="3124" t="str">
        <f>'Part IX A-Scoring Criteria'!O227</f>
        <v>Yes</v>
      </c>
      <c r="P1600" s="3124">
        <f>'Part IX A-Scoring Criteria'!P227</f>
        <v>0</v>
      </c>
      <c r="Q1600" s="505"/>
    </row>
    <row r="1601" spans="1:17">
      <c r="A1601" s="3171" t="s">
        <v>3270</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267</v>
      </c>
      <c r="C1602" s="521"/>
      <c r="D1602" s="525"/>
      <c r="E1602" s="525"/>
      <c r="F1602" s="525"/>
      <c r="G1602" s="525"/>
      <c r="H1602" s="522"/>
      <c r="I1602" s="522"/>
      <c r="J1602" s="3012" t="s">
        <v>1960</v>
      </c>
      <c r="K1602" s="3095"/>
      <c r="L1602" s="3095"/>
      <c r="M1602" s="2893"/>
      <c r="N1602" s="2887"/>
      <c r="O1602" s="3091"/>
      <c r="P1602" s="2889"/>
      <c r="Q1602" s="3095"/>
    </row>
    <row r="1603" spans="1:17" ht="15.75">
      <c r="A1603" s="2947" t="str">
        <f>'Part IX A-Scoring Criteria'!A230</f>
        <v>GICH letter signed and included in Tab 34</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1314</v>
      </c>
    </row>
    <row r="1604" spans="1:17">
      <c r="N1604" s="2887"/>
      <c r="O1604" s="2889"/>
      <c r="P1604" s="2889"/>
    </row>
    <row r="1605" spans="1:17" ht="15">
      <c r="A1605" s="3092" t="s">
        <v>1752</v>
      </c>
      <c r="B1605" s="3098" t="s">
        <v>3152</v>
      </c>
      <c r="C1605" s="3095"/>
      <c r="D1605" s="2965"/>
      <c r="E1605" s="2965"/>
      <c r="F1605" s="522"/>
      <c r="G1605" s="522"/>
      <c r="H1605" s="522"/>
      <c r="I1605" s="2912" t="s">
        <v>3100</v>
      </c>
      <c r="J1605" s="2894"/>
      <c r="K1605" s="3165"/>
      <c r="L1605" s="2912" t="str">
        <f>'Part I-Project Information'!$H$90</f>
        <v>Rural</v>
      </c>
      <c r="M1605" s="3091">
        <v>8</v>
      </c>
      <c r="N1605" s="2893"/>
      <c r="O1605" s="3091">
        <f>'Part IX A-Scoring Criteria'!O232</f>
        <v>0</v>
      </c>
      <c r="P1605" s="3091">
        <f>'Part IX A-Scoring Criteria'!P232</f>
        <v>0</v>
      </c>
      <c r="Q1605" s="2902" t="s">
        <v>458</v>
      </c>
    </row>
    <row r="1606" spans="1:17" ht="15">
      <c r="A1606" s="521"/>
      <c r="B1606" s="3042" t="s">
        <v>3275</v>
      </c>
      <c r="C1606" s="3095"/>
      <c r="D1606" s="3095"/>
      <c r="E1606" s="2965"/>
      <c r="F1606" s="522"/>
      <c r="G1606" s="522"/>
      <c r="H1606" s="522"/>
      <c r="I1606" s="522"/>
      <c r="J1606" s="3095"/>
      <c r="K1606" s="3006"/>
      <c r="L1606" s="3172"/>
      <c r="M1606" s="3095"/>
      <c r="N1606" s="3095"/>
      <c r="O1606" s="3070" t="s">
        <v>2636</v>
      </c>
      <c r="P1606" s="3070" t="s">
        <v>2636</v>
      </c>
      <c r="Q1606" s="3095"/>
    </row>
    <row r="1607" spans="1:17" ht="15">
      <c r="A1607" s="505"/>
      <c r="B1607" s="3173" t="s">
        <v>2085</v>
      </c>
      <c r="C1607" s="505" t="s">
        <v>3151</v>
      </c>
      <c r="D1607" s="505"/>
      <c r="E1607" s="2965"/>
      <c r="F1607" s="522"/>
      <c r="G1607" s="522"/>
      <c r="H1607" s="522"/>
      <c r="I1607" s="522"/>
      <c r="J1607" s="3095"/>
      <c r="K1607" s="3006"/>
      <c r="L1607" s="3172" t="str">
        <f>IF(M1607&gt;14,"Over limit!","")</f>
        <v/>
      </c>
      <c r="M1607" s="505"/>
      <c r="N1607" s="3117" t="s">
        <v>2085</v>
      </c>
      <c r="O1607" s="3124" t="str">
        <f>'Part IX A-Scoring Criteria'!O234</f>
        <v>No</v>
      </c>
      <c r="P1607" s="3124">
        <f>'Part IX A-Scoring Criteria'!P234</f>
        <v>0</v>
      </c>
      <c r="Q1607" s="505"/>
    </row>
    <row r="1608" spans="1:17">
      <c r="A1608" s="505"/>
      <c r="B1608" s="3173" t="s">
        <v>2087</v>
      </c>
      <c r="C1608" s="505" t="s">
        <v>593</v>
      </c>
      <c r="D1608" s="505"/>
      <c r="E1608" s="505"/>
      <c r="F1608" s="505"/>
      <c r="G1608" s="505"/>
      <c r="H1608" s="505"/>
      <c r="I1608" s="505"/>
      <c r="J1608" s="505"/>
      <c r="K1608" s="505"/>
      <c r="L1608" s="505"/>
      <c r="M1608" s="505"/>
      <c r="N1608" s="3117" t="s">
        <v>2087</v>
      </c>
      <c r="O1608" s="3124" t="str">
        <f>'Part IX A-Scoring Criteria'!O235</f>
        <v>No</v>
      </c>
      <c r="P1608" s="3124">
        <f>'Part IX A-Scoring Criteria'!P235</f>
        <v>0</v>
      </c>
      <c r="Q1608" s="505"/>
    </row>
    <row r="1609" spans="1:17">
      <c r="A1609" s="505"/>
      <c r="B1609" s="3173" t="s">
        <v>2661</v>
      </c>
      <c r="C1609" s="505" t="s">
        <v>594</v>
      </c>
      <c r="D1609" s="505"/>
      <c r="E1609" s="505"/>
      <c r="F1609" s="505"/>
      <c r="G1609" s="505"/>
      <c r="H1609" s="505"/>
      <c r="I1609" s="505"/>
      <c r="J1609" s="505"/>
      <c r="K1609" s="505"/>
      <c r="L1609" s="505"/>
      <c r="M1609" s="505"/>
      <c r="N1609" s="3117" t="s">
        <v>2661</v>
      </c>
      <c r="O1609" s="3124" t="str">
        <f>'Part IX A-Scoring Criteria'!O236</f>
        <v>No</v>
      </c>
      <c r="P1609" s="3124">
        <f>'Part IX A-Scoring Criteria'!P236</f>
        <v>0</v>
      </c>
      <c r="Q1609" s="505"/>
    </row>
    <row r="1610" spans="1:17">
      <c r="A1610" s="505"/>
      <c r="B1610" s="3173" t="s">
        <v>1283</v>
      </c>
      <c r="C1610" s="505" t="s">
        <v>595</v>
      </c>
      <c r="D1610" s="505"/>
      <c r="E1610" s="505"/>
      <c r="F1610" s="505"/>
      <c r="G1610" s="505"/>
      <c r="H1610" s="505"/>
      <c r="I1610" s="505"/>
      <c r="J1610" s="505"/>
      <c r="K1610" s="505"/>
      <c r="L1610" s="505"/>
      <c r="M1610" s="505"/>
      <c r="N1610" s="3117" t="s">
        <v>1283</v>
      </c>
      <c r="O1610" s="3124" t="str">
        <f>'Part IX A-Scoring Criteria'!O237</f>
        <v>No</v>
      </c>
      <c r="P1610" s="3124">
        <f>'Part IX A-Scoring Criteria'!P237</f>
        <v>0</v>
      </c>
      <c r="Q1610" s="505"/>
    </row>
    <row r="1611" spans="1:17">
      <c r="A1611" s="505"/>
      <c r="B1611" s="3173" t="s">
        <v>1284</v>
      </c>
      <c r="C1611" s="505" t="s">
        <v>603</v>
      </c>
      <c r="D1611" s="505"/>
      <c r="E1611" s="505"/>
      <c r="F1611" s="505"/>
      <c r="G1611" s="505"/>
      <c r="H1611" s="505"/>
      <c r="I1611" s="505"/>
      <c r="J1611" s="505"/>
      <c r="K1611" s="505"/>
      <c r="L1611" s="505"/>
      <c r="M1611" s="505"/>
      <c r="N1611" s="3117" t="s">
        <v>1284</v>
      </c>
      <c r="O1611" s="3124" t="str">
        <f>'Part IX A-Scoring Criteria'!O238</f>
        <v>No</v>
      </c>
      <c r="P1611" s="3124">
        <f>'Part IX A-Scoring Criteria'!P238</f>
        <v>0</v>
      </c>
      <c r="Q1611" s="505"/>
    </row>
    <row r="1612" spans="1:17" ht="15">
      <c r="A1612" s="3059" t="s">
        <v>2081</v>
      </c>
      <c r="B1612" s="3171" t="s">
        <v>1937</v>
      </c>
      <c r="C1612" s="3095"/>
      <c r="D1612" s="3009"/>
      <c r="E1612" s="3009"/>
      <c r="F1612" s="521"/>
      <c r="G1612" s="3129"/>
      <c r="H1612" s="3129"/>
      <c r="I1612" s="3129"/>
      <c r="J1612" s="3009"/>
      <c r="K1612" s="3129"/>
      <c r="L1612" s="521"/>
      <c r="M1612" s="2893">
        <v>4</v>
      </c>
      <c r="N1612" s="2981" t="s">
        <v>2081</v>
      </c>
      <c r="O1612" s="3091">
        <f>'Part IX A-Scoring Criteria'!O239</f>
        <v>0</v>
      </c>
      <c r="P1612" s="3091">
        <f>'Part IX A-Scoring Criteria'!P239</f>
        <v>0</v>
      </c>
      <c r="Q1612" s="3095"/>
    </row>
    <row r="1613" spans="1:17">
      <c r="B1613" s="3133" t="s">
        <v>2085</v>
      </c>
      <c r="C1613" s="3062" t="s">
        <v>2760</v>
      </c>
      <c r="I1613" s="3174" t="s">
        <v>2089</v>
      </c>
      <c r="J1613" s="3174"/>
      <c r="L1613" s="3174" t="s">
        <v>2089</v>
      </c>
      <c r="M1613" s="3174"/>
      <c r="N1613" s="3117"/>
      <c r="O1613" s="2889"/>
      <c r="P1613" s="2889"/>
    </row>
    <row r="1614" spans="1:17" ht="15">
      <c r="A1614" s="2926"/>
      <c r="B1614" s="2981" t="s">
        <v>2556</v>
      </c>
      <c r="C1614" s="522" t="s">
        <v>1557</v>
      </c>
      <c r="D1614" s="3095"/>
      <c r="E1614" s="3095"/>
      <c r="F1614" s="3095"/>
      <c r="G1614" s="3095"/>
      <c r="H1614" s="2981" t="s">
        <v>2556</v>
      </c>
      <c r="I1614" s="3175">
        <f>'Part IX A-Scoring Criteria'!I241</f>
        <v>0</v>
      </c>
      <c r="J1614" s="3175"/>
      <c r="K1614" s="2981" t="s">
        <v>2556</v>
      </c>
      <c r="L1614" s="3175">
        <f>'Part IX A-Scoring Criteria'!L241</f>
        <v>0</v>
      </c>
      <c r="M1614" s="3175"/>
      <c r="N1614" s="3117"/>
      <c r="O1614" s="2889"/>
      <c r="P1614" s="2889"/>
      <c r="Q1614" s="3095"/>
    </row>
    <row r="1615" spans="1:17">
      <c r="A1615" s="2987"/>
      <c r="B1615" s="3056" t="s">
        <v>2557</v>
      </c>
      <c r="C1615" s="522" t="s">
        <v>1558</v>
      </c>
      <c r="H1615" s="3056" t="s">
        <v>2557</v>
      </c>
      <c r="I1615" s="3175">
        <f>'Part IX A-Scoring Criteria'!I242</f>
        <v>0</v>
      </c>
      <c r="J1615" s="3175"/>
      <c r="K1615" s="3056" t="s">
        <v>2557</v>
      </c>
      <c r="L1615" s="3175">
        <f>'Part IX A-Scoring Criteria'!L242</f>
        <v>0</v>
      </c>
      <c r="M1615" s="3175"/>
      <c r="N1615" s="3117"/>
      <c r="O1615" s="2889"/>
      <c r="P1615" s="2889"/>
    </row>
    <row r="1616" spans="1:17">
      <c r="B1616" s="2981" t="s">
        <v>2558</v>
      </c>
      <c r="C1616" s="522" t="s">
        <v>2759</v>
      </c>
      <c r="H1616" s="2981" t="s">
        <v>2558</v>
      </c>
      <c r="I1616" s="3175">
        <f>'Part IX A-Scoring Criteria'!I243</f>
        <v>0</v>
      </c>
      <c r="J1616" s="3175"/>
      <c r="K1616" s="2981" t="s">
        <v>2558</v>
      </c>
      <c r="L1616" s="3175">
        <f>'Part IX A-Scoring Criteria'!L243</f>
        <v>0</v>
      </c>
      <c r="M1616" s="3175"/>
      <c r="N1616" s="3117"/>
      <c r="O1616" s="2889"/>
      <c r="P1616" s="2889"/>
    </row>
    <row r="1617" spans="1:17">
      <c r="A1617" s="2987"/>
      <c r="B1617" s="2981" t="s">
        <v>2559</v>
      </c>
      <c r="C1617" s="522" t="s">
        <v>4072</v>
      </c>
      <c r="H1617" s="2981" t="s">
        <v>2559</v>
      </c>
      <c r="I1617" s="3175">
        <f>'Part IX A-Scoring Criteria'!I244</f>
        <v>0</v>
      </c>
      <c r="J1617" s="3175"/>
      <c r="K1617" s="2981" t="s">
        <v>2559</v>
      </c>
      <c r="L1617" s="3175">
        <f>'Part IX A-Scoring Criteria'!L244</f>
        <v>0</v>
      </c>
      <c r="M1617" s="3175"/>
      <c r="N1617" s="3117"/>
      <c r="O1617" s="2889"/>
      <c r="P1617" s="2889"/>
    </row>
    <row r="1618" spans="1:17" ht="15">
      <c r="A1618" s="2926"/>
      <c r="B1618" s="3056" t="s">
        <v>2560</v>
      </c>
      <c r="C1618" s="522" t="s">
        <v>2912</v>
      </c>
      <c r="D1618" s="3095"/>
      <c r="E1618" s="3095"/>
      <c r="F1618" s="3095"/>
      <c r="G1618" s="3095"/>
      <c r="H1618" s="3056" t="s">
        <v>2560</v>
      </c>
      <c r="I1618" s="3175">
        <f>'Part IX A-Scoring Criteria'!I245</f>
        <v>0</v>
      </c>
      <c r="J1618" s="3175"/>
      <c r="K1618" s="3056" t="s">
        <v>2560</v>
      </c>
      <c r="L1618" s="3175">
        <f>'Part IX A-Scoring Criteria'!L245</f>
        <v>0</v>
      </c>
      <c r="M1618" s="3175"/>
      <c r="N1618" s="3117"/>
      <c r="O1618" s="2889"/>
      <c r="P1618" s="2889"/>
      <c r="Q1618" s="3095"/>
    </row>
    <row r="1619" spans="1:17">
      <c r="B1619" s="2981" t="s">
        <v>2576</v>
      </c>
      <c r="C1619" s="522" t="s">
        <v>3271</v>
      </c>
      <c r="H1619" s="2981" t="s">
        <v>2576</v>
      </c>
      <c r="I1619" s="3175">
        <f>'Part IX A-Scoring Criteria'!I246</f>
        <v>0</v>
      </c>
      <c r="J1619" s="3175"/>
      <c r="K1619" s="2981" t="s">
        <v>2576</v>
      </c>
      <c r="L1619" s="3175">
        <f>'Part IX A-Scoring Criteria'!L246</f>
        <v>0</v>
      </c>
      <c r="M1619" s="3175"/>
      <c r="N1619" s="3117"/>
      <c r="O1619" s="2889"/>
      <c r="P1619" s="2889"/>
    </row>
    <row r="1620" spans="1:17">
      <c r="A1620" s="2987"/>
      <c r="B1620" s="2981" t="s">
        <v>2577</v>
      </c>
      <c r="C1620" s="522" t="s">
        <v>3918</v>
      </c>
      <c r="H1620" s="2981" t="s">
        <v>2577</v>
      </c>
      <c r="I1620" s="3175">
        <f>'Part IX A-Scoring Criteria'!I247</f>
        <v>0</v>
      </c>
      <c r="J1620" s="3175"/>
      <c r="K1620" s="2981" t="s">
        <v>2577</v>
      </c>
      <c r="L1620" s="3175">
        <f>'Part IX A-Scoring Criteria'!L247</f>
        <v>0</v>
      </c>
      <c r="M1620" s="3175"/>
      <c r="N1620" s="3117"/>
      <c r="O1620" s="2889"/>
      <c r="P1620" s="2889"/>
    </row>
    <row r="1621" spans="1:17">
      <c r="B1621" s="2981" t="s">
        <v>2578</v>
      </c>
      <c r="C1621" s="522" t="s">
        <v>3919</v>
      </c>
      <c r="H1621" s="2981" t="s">
        <v>2578</v>
      </c>
      <c r="I1621" s="3175">
        <f>'Part IX A-Scoring Criteria'!I248</f>
        <v>0</v>
      </c>
      <c r="J1621" s="3175"/>
      <c r="K1621" s="2981" t="s">
        <v>2578</v>
      </c>
      <c r="L1621" s="3175">
        <f>'Part IX A-Scoring Criteria'!L248</f>
        <v>0</v>
      </c>
      <c r="M1621" s="3175"/>
      <c r="N1621" s="3117"/>
      <c r="O1621" s="2889"/>
      <c r="P1621" s="2889"/>
    </row>
    <row r="1622" spans="1:17">
      <c r="A1622" s="2987"/>
      <c r="B1622" s="2981" t="s">
        <v>2579</v>
      </c>
      <c r="C1622" s="522" t="s">
        <v>3920</v>
      </c>
      <c r="H1622" s="2981" t="s">
        <v>2579</v>
      </c>
      <c r="I1622" s="3175">
        <f>'Part IX A-Scoring Criteria'!I249</f>
        <v>0</v>
      </c>
      <c r="J1622" s="3175"/>
      <c r="K1622" s="2981" t="s">
        <v>2579</v>
      </c>
      <c r="L1622" s="3175">
        <f>'Part IX A-Scoring Criteria'!L249</f>
        <v>0</v>
      </c>
      <c r="M1622" s="3175"/>
      <c r="N1622" s="3117"/>
      <c r="O1622" s="2889"/>
      <c r="P1622" s="2889"/>
    </row>
    <row r="1623" spans="1:17">
      <c r="A1623" s="2987"/>
      <c r="B1623" s="3173"/>
      <c r="C1623" s="3009" t="s">
        <v>2762</v>
      </c>
      <c r="H1623" s="505"/>
      <c r="I1623" s="3175">
        <f>SUM(I1614:J1622)</f>
        <v>0</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2087</v>
      </c>
      <c r="C1625" s="3062" t="s">
        <v>2761</v>
      </c>
      <c r="D1625" s="3009" t="s">
        <v>2763</v>
      </c>
      <c r="I1625" s="3175">
        <f>'Part IV-Uses of Funds'!$G$130</f>
        <v>15780131</v>
      </c>
      <c r="J1625" s="3175"/>
    </row>
    <row r="1626" spans="1:17">
      <c r="B1626" s="3117"/>
      <c r="C1626" s="3177"/>
      <c r="D1626" s="3132" t="s">
        <v>2764</v>
      </c>
      <c r="G1626" s="2979"/>
      <c r="H1626" s="2979"/>
      <c r="I1626" s="3178">
        <f>IF($I1625=0,0,$I1623/$I1625)</f>
        <v>0</v>
      </c>
      <c r="J1626" s="3178"/>
      <c r="L1626" s="3178">
        <f>IF($I1625=0,0,$L1623/$I1625)</f>
        <v>0</v>
      </c>
      <c r="M1626" s="3178"/>
    </row>
    <row r="1627" spans="1:17" ht="15">
      <c r="A1627" s="3059" t="s">
        <v>2084</v>
      </c>
      <c r="B1627" s="3171" t="s">
        <v>3921</v>
      </c>
      <c r="C1627" s="3095"/>
      <c r="D1627" s="522"/>
      <c r="E1627" s="522"/>
      <c r="F1627" s="2902"/>
      <c r="G1627" s="3095"/>
      <c r="H1627" s="522"/>
      <c r="I1627" s="2902"/>
      <c r="J1627" s="3009"/>
      <c r="K1627" s="3009"/>
      <c r="L1627" s="3009"/>
      <c r="M1627" s="2893">
        <v>2</v>
      </c>
      <c r="N1627" s="2981" t="s">
        <v>2084</v>
      </c>
      <c r="O1627" s="2902">
        <f>'Part IX A-Scoring Criteria'!O254</f>
        <v>0</v>
      </c>
      <c r="P1627" s="2902">
        <f>'Part IX A-Scoring Criteria'!P254</f>
        <v>0</v>
      </c>
      <c r="Q1627" s="2950" t="s">
        <v>2876</v>
      </c>
    </row>
    <row r="1628" spans="1:17" ht="15">
      <c r="A1628" s="3059"/>
      <c r="B1628" s="522" t="s">
        <v>3153</v>
      </c>
      <c r="C1628" s="522"/>
      <c r="D1628" s="522"/>
      <c r="E1628" s="522"/>
      <c r="F1628" s="522"/>
      <c r="G1628" s="522"/>
      <c r="H1628" s="522"/>
      <c r="I1628" s="522"/>
      <c r="J1628" s="522"/>
      <c r="K1628" s="522"/>
      <c r="L1628" s="522"/>
      <c r="M1628" s="522"/>
      <c r="N1628" s="522"/>
      <c r="O1628" s="2902">
        <f>'Part IX A-Scoring Criteria'!O255</f>
        <v>0</v>
      </c>
      <c r="P1628" s="2902">
        <f>'Part IX A-Scoring Criteria'!P255</f>
        <v>0</v>
      </c>
      <c r="Q1628" s="3095"/>
    </row>
    <row r="1629" spans="1:17" ht="15">
      <c r="A1629" s="3059" t="s">
        <v>789</v>
      </c>
      <c r="B1629" s="3171" t="s">
        <v>676</v>
      </c>
      <c r="C1629" s="3095"/>
      <c r="D1629" s="522"/>
      <c r="E1629" s="522"/>
      <c r="F1629" s="2902"/>
      <c r="G1629" s="2902"/>
      <c r="H1629" s="2902"/>
      <c r="I1629" s="2902"/>
      <c r="J1629" s="3009"/>
      <c r="K1629" s="3009"/>
      <c r="L1629" s="3009"/>
      <c r="M1629" s="2893">
        <v>2</v>
      </c>
      <c r="N1629" s="2981" t="s">
        <v>789</v>
      </c>
      <c r="O1629" s="3091">
        <f>'Part IX A-Scoring Criteria'!O256</f>
        <v>0</v>
      </c>
      <c r="P1629" s="3091">
        <f>'Part IX A-Scoring Criteria'!P256</f>
        <v>0</v>
      </c>
      <c r="Q1629" s="3095"/>
    </row>
    <row r="1630" spans="1:17">
      <c r="B1630" s="522" t="s">
        <v>4049</v>
      </c>
      <c r="E1630" s="3070"/>
      <c r="I1630" s="3179">
        <f>'Part IX A-Scoring Criteria'!I257</f>
        <v>0</v>
      </c>
      <c r="J1630" s="3179"/>
      <c r="L1630" s="3175">
        <f>'Part IX A-Scoring Criteria'!L257</f>
        <v>0</v>
      </c>
      <c r="M1630" s="3175"/>
      <c r="P1630" s="2889"/>
    </row>
    <row r="1631" spans="1:17" ht="15">
      <c r="A1631" s="521"/>
      <c r="B1631" s="3095"/>
      <c r="C1631" s="522" t="s">
        <v>4377</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3174</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1361</v>
      </c>
      <c r="D1633" s="3095"/>
      <c r="E1633" s="3095"/>
      <c r="F1633" s="3095"/>
      <c r="G1633" s="3095"/>
      <c r="H1633" s="3095"/>
      <c r="I1633" s="3162" t="str">
        <f>'Part IX A-Scoring Criteria'!I260</f>
        <v>&lt;Select unrelated 3rd party type&gt;</v>
      </c>
      <c r="J1633" s="3162"/>
      <c r="K1633" s="3162"/>
      <c r="L1633" s="3095"/>
      <c r="M1633" s="3095"/>
      <c r="N1633" s="3095"/>
      <c r="O1633" s="3095"/>
      <c r="P1633" s="3095"/>
      <c r="Q1633" s="3095"/>
    </row>
    <row r="1634" spans="1:17">
      <c r="A1634" s="2987"/>
      <c r="B1634" s="3046" t="s">
        <v>2467</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267</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This section is not applicable</v>
      </c>
      <c r="B1636" s="2947"/>
      <c r="C1636" s="2947"/>
      <c r="D1636" s="2947"/>
      <c r="E1636" s="2947"/>
      <c r="F1636" s="2947"/>
      <c r="G1636" s="2947"/>
      <c r="H1636" s="2947"/>
      <c r="I1636" s="2947"/>
      <c r="J1636" s="2947"/>
      <c r="K1636" s="2947"/>
      <c r="L1636" s="2947"/>
      <c r="M1636" s="2947"/>
      <c r="N1636" s="2947"/>
      <c r="O1636" s="2947"/>
      <c r="P1636" s="2947"/>
      <c r="Q1636" s="3096" t="s">
        <v>1314</v>
      </c>
    </row>
    <row r="1637" spans="1:17" ht="15">
      <c r="A1637" s="521"/>
      <c r="B1637" s="2972" t="s">
        <v>1960</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1314</v>
      </c>
    </row>
    <row r="1639" spans="1:17">
      <c r="N1639" s="2887"/>
      <c r="O1639" s="2889"/>
      <c r="P1639" s="2889"/>
    </row>
    <row r="1640" spans="1:17" ht="15">
      <c r="A1640" s="3092" t="s">
        <v>1754</v>
      </c>
      <c r="B1640" s="3093" t="s">
        <v>3922</v>
      </c>
      <c r="C1640" s="2981"/>
      <c r="D1640" s="3095"/>
      <c r="E1640" s="3116"/>
      <c r="F1640" s="3095"/>
      <c r="G1640" s="2912" t="s">
        <v>3100</v>
      </c>
      <c r="H1640" s="3095"/>
      <c r="I1640" s="2905" t="str">
        <f>'Part I-Project Information'!$H$90</f>
        <v>Rural</v>
      </c>
      <c r="J1640" s="525"/>
      <c r="K1640" s="525"/>
      <c r="L1640" s="3128" t="str">
        <f>IF(OR($O1640=$M1640,$O1640=0,$O1640=""),"","* * Check Score! * *")</f>
        <v/>
      </c>
      <c r="M1640" s="2902">
        <v>3</v>
      </c>
      <c r="N1640" s="3129"/>
      <c r="O1640" s="2893"/>
      <c r="P1640" s="2902">
        <f>'Part IX A-Scoring Criteria'!P267</f>
        <v>0</v>
      </c>
      <c r="Q1640" s="2902" t="s">
        <v>458</v>
      </c>
    </row>
    <row r="1641" spans="1:17" ht="15">
      <c r="A1641" s="3059" t="s">
        <v>2081</v>
      </c>
      <c r="B1641" s="2912" t="s">
        <v>2914</v>
      </c>
      <c r="C1641" s="3095"/>
      <c r="D1641" s="521"/>
      <c r="E1641" s="3095"/>
      <c r="F1641" s="3095"/>
      <c r="G1641" s="505" t="s">
        <v>2462</v>
      </c>
      <c r="H1641" s="3095"/>
      <c r="I1641" s="3095"/>
      <c r="J1641" s="3095"/>
      <c r="K1641" s="3095"/>
      <c r="L1641" s="3095"/>
      <c r="M1641" s="2893">
        <v>3</v>
      </c>
      <c r="N1641" s="2981" t="s">
        <v>2081</v>
      </c>
      <c r="O1641" s="2902" t="str">
        <f>'Part IX A-Scoring Criteria'!O268</f>
        <v>No</v>
      </c>
      <c r="P1641" s="2902">
        <f>'Part IX A-Scoring Criteria'!P268</f>
        <v>0</v>
      </c>
      <c r="Q1641" s="3095"/>
    </row>
    <row r="1642" spans="1:17" ht="15">
      <c r="A1642" s="3059" t="s">
        <v>2084</v>
      </c>
      <c r="B1642" s="2912" t="s">
        <v>3923</v>
      </c>
      <c r="C1642" s="3095"/>
      <c r="D1642" s="521"/>
      <c r="E1642" s="3095"/>
      <c r="F1642" s="521"/>
      <c r="G1642" s="3095"/>
      <c r="H1642" s="3005" t="s">
        <v>3927</v>
      </c>
      <c r="I1642" s="3095"/>
      <c r="J1642" s="3095"/>
      <c r="K1642" s="3095"/>
      <c r="L1642" s="3095"/>
      <c r="M1642" s="3095"/>
      <c r="N1642" s="2981" t="s">
        <v>2084</v>
      </c>
      <c r="O1642" s="3070" t="s">
        <v>2636</v>
      </c>
      <c r="P1642" s="3070" t="s">
        <v>2636</v>
      </c>
      <c r="Q1642" s="3095"/>
    </row>
    <row r="1643" spans="1:17" ht="15">
      <c r="A1643" s="3059"/>
      <c r="B1643" s="3173" t="s">
        <v>2085</v>
      </c>
      <c r="C1643" s="522" t="s">
        <v>3924</v>
      </c>
      <c r="D1643" s="521"/>
      <c r="E1643" s="3129"/>
      <c r="F1643" s="521"/>
      <c r="G1643" s="3129"/>
      <c r="H1643" s="522"/>
      <c r="I1643" s="3129"/>
      <c r="J1643" s="3129"/>
      <c r="K1643" s="3129"/>
      <c r="L1643" s="3129"/>
      <c r="M1643" s="3129"/>
      <c r="N1643" s="3173" t="s">
        <v>2085</v>
      </c>
      <c r="O1643" s="2902">
        <f>'Part IX A-Scoring Criteria'!O270</f>
        <v>0</v>
      </c>
      <c r="P1643" s="2902">
        <f>'Part IX A-Scoring Criteria'!P270</f>
        <v>0</v>
      </c>
      <c r="Q1643" s="3129"/>
    </row>
    <row r="1644" spans="1:17" ht="15">
      <c r="A1644" s="3059"/>
      <c r="B1644" s="3173" t="s">
        <v>2087</v>
      </c>
      <c r="C1644" s="522" t="s">
        <v>3925</v>
      </c>
      <c r="D1644" s="521"/>
      <c r="E1644" s="3129"/>
      <c r="F1644" s="521"/>
      <c r="G1644" s="3129"/>
      <c r="H1644" s="522"/>
      <c r="I1644" s="3129"/>
      <c r="J1644" s="3129"/>
      <c r="K1644" s="3129"/>
      <c r="L1644" s="3129"/>
      <c r="M1644" s="3129"/>
      <c r="N1644" s="3173" t="s">
        <v>2087</v>
      </c>
      <c r="O1644" s="2902">
        <f>'Part IX A-Scoring Criteria'!O271</f>
        <v>0</v>
      </c>
      <c r="P1644" s="2902">
        <f>'Part IX A-Scoring Criteria'!P271</f>
        <v>0</v>
      </c>
      <c r="Q1644" s="3129"/>
    </row>
    <row r="1645" spans="1:17" ht="15">
      <c r="A1645" s="3059"/>
      <c r="B1645" s="3173" t="s">
        <v>2661</v>
      </c>
      <c r="C1645" s="522" t="s">
        <v>3926</v>
      </c>
      <c r="D1645" s="521"/>
      <c r="E1645" s="3129"/>
      <c r="F1645" s="521"/>
      <c r="G1645" s="3129"/>
      <c r="H1645" s="522"/>
      <c r="I1645" s="3129"/>
      <c r="J1645" s="3129"/>
      <c r="K1645" s="3129"/>
      <c r="L1645" s="3129"/>
      <c r="M1645" s="3129"/>
      <c r="N1645" s="3173" t="s">
        <v>2661</v>
      </c>
      <c r="O1645" s="2902">
        <f>'Part IX A-Scoring Criteria'!O272</f>
        <v>0</v>
      </c>
      <c r="P1645" s="2902">
        <f>'Part IX A-Scoring Criteria'!P272</f>
        <v>0</v>
      </c>
      <c r="Q1645" s="3129"/>
    </row>
    <row r="1646" spans="1:17" ht="15">
      <c r="A1646" s="3059"/>
      <c r="B1646" s="3173" t="s">
        <v>1283</v>
      </c>
      <c r="C1646" s="522" t="s">
        <v>2913</v>
      </c>
      <c r="D1646" s="521"/>
      <c r="E1646" s="3129"/>
      <c r="F1646" s="521"/>
      <c r="G1646" s="3129"/>
      <c r="H1646" s="522"/>
      <c r="I1646" s="3129"/>
      <c r="J1646" s="3129"/>
      <c r="K1646" s="3129"/>
      <c r="L1646" s="3129"/>
      <c r="M1646" s="3129"/>
      <c r="N1646" s="3173" t="s">
        <v>1283</v>
      </c>
      <c r="O1646" s="2902">
        <f>'Part IX A-Scoring Criteria'!O273</f>
        <v>0</v>
      </c>
      <c r="P1646" s="2902">
        <f>'Part IX A-Scoring Criteria'!P273</f>
        <v>0</v>
      </c>
      <c r="Q1646" s="3129"/>
    </row>
    <row r="1647" spans="1:17" ht="15">
      <c r="A1647" s="3100" t="s">
        <v>789</v>
      </c>
      <c r="B1647" s="3181" t="s">
        <v>3928</v>
      </c>
      <c r="C1647" s="3103"/>
      <c r="D1647" s="2957"/>
      <c r="E1647" s="2957"/>
      <c r="F1647" s="521"/>
      <c r="G1647" s="521"/>
      <c r="H1647" s="521"/>
      <c r="I1647" s="521"/>
      <c r="J1647" s="3095"/>
      <c r="K1647" s="3095"/>
      <c r="L1647" s="3095"/>
      <c r="M1647" s="3095"/>
      <c r="N1647" s="3095"/>
      <c r="O1647" s="3182" t="s">
        <v>4616</v>
      </c>
      <c r="P1647" s="3182"/>
      <c r="Q1647" s="3095"/>
    </row>
    <row r="1648" spans="1:17" ht="15">
      <c r="A1648" s="3059"/>
      <c r="B1648" s="3173" t="s">
        <v>2085</v>
      </c>
      <c r="C1648" s="522" t="s">
        <v>3929</v>
      </c>
      <c r="D1648" s="521"/>
      <c r="E1648" s="3129"/>
      <c r="F1648" s="521"/>
      <c r="G1648" s="3129"/>
      <c r="H1648" s="522"/>
      <c r="I1648" s="3129"/>
      <c r="J1648" s="3129"/>
      <c r="K1648" s="3129"/>
      <c r="L1648" s="3129"/>
      <c r="M1648" s="3129"/>
      <c r="N1648" s="2981" t="s">
        <v>789</v>
      </c>
      <c r="O1648" s="3117" t="s">
        <v>2085</v>
      </c>
      <c r="P1648" s="3010">
        <f>'Part IX A-Scoring Criteria'!P275</f>
        <v>0</v>
      </c>
      <c r="Q1648" s="3129"/>
    </row>
    <row r="1649" spans="1:17" ht="15">
      <c r="A1649" s="3059"/>
      <c r="B1649" s="3173" t="s">
        <v>2087</v>
      </c>
      <c r="C1649" s="522" t="s">
        <v>3930</v>
      </c>
      <c r="D1649" s="521"/>
      <c r="E1649" s="3129"/>
      <c r="F1649" s="521"/>
      <c r="G1649" s="3129"/>
      <c r="H1649" s="522"/>
      <c r="I1649" s="3129"/>
      <c r="J1649" s="3129"/>
      <c r="K1649" s="3129"/>
      <c r="L1649" s="3129"/>
      <c r="M1649" s="3129"/>
      <c r="N1649" s="3129"/>
      <c r="O1649" s="3117" t="s">
        <v>2087</v>
      </c>
      <c r="P1649" s="3010">
        <f>'Part IX A-Scoring Criteria'!P276</f>
        <v>0</v>
      </c>
      <c r="Q1649" s="3129"/>
    </row>
    <row r="1650" spans="1:17" ht="15">
      <c r="A1650" s="3059"/>
      <c r="B1650" s="3173" t="s">
        <v>2661</v>
      </c>
      <c r="C1650" s="522" t="s">
        <v>3931</v>
      </c>
      <c r="D1650" s="521"/>
      <c r="E1650" s="3129"/>
      <c r="F1650" s="521"/>
      <c r="G1650" s="3129"/>
      <c r="H1650" s="522"/>
      <c r="I1650" s="3129"/>
      <c r="J1650" s="3129"/>
      <c r="K1650" s="3129"/>
      <c r="L1650" s="3129"/>
      <c r="M1650" s="3129"/>
      <c r="N1650" s="3129"/>
      <c r="O1650" s="3117" t="s">
        <v>2661</v>
      </c>
      <c r="P1650" s="3010">
        <f>'Part IX A-Scoring Criteria'!P277</f>
        <v>0</v>
      </c>
      <c r="Q1650" s="3129"/>
    </row>
    <row r="1651" spans="1:17" ht="15">
      <c r="A1651" s="3059"/>
      <c r="B1651" s="3173" t="s">
        <v>1283</v>
      </c>
      <c r="C1651" s="522" t="s">
        <v>3932</v>
      </c>
      <c r="D1651" s="521"/>
      <c r="E1651" s="3129"/>
      <c r="F1651" s="521"/>
      <c r="G1651" s="3129"/>
      <c r="H1651" s="522"/>
      <c r="I1651" s="3129"/>
      <c r="J1651" s="3129"/>
      <c r="K1651" s="3129"/>
      <c r="L1651" s="3129"/>
      <c r="M1651" s="3129"/>
      <c r="N1651" s="3129"/>
      <c r="O1651" s="3117" t="s">
        <v>1283</v>
      </c>
      <c r="P1651" s="3010">
        <f>'Part IX A-Scoring Criteria'!P278</f>
        <v>0</v>
      </c>
      <c r="Q1651" s="3129"/>
    </row>
    <row r="1652" spans="1:17" ht="15">
      <c r="A1652" s="3059"/>
      <c r="B1652" s="3173" t="s">
        <v>1284</v>
      </c>
      <c r="C1652" s="522" t="s">
        <v>3933</v>
      </c>
      <c r="D1652" s="521"/>
      <c r="E1652" s="3129"/>
      <c r="F1652" s="521"/>
      <c r="G1652" s="3129"/>
      <c r="H1652" s="522"/>
      <c r="I1652" s="3129"/>
      <c r="J1652" s="3129"/>
      <c r="K1652" s="3129"/>
      <c r="L1652" s="3129"/>
      <c r="M1652" s="3129"/>
      <c r="N1652" s="3129"/>
      <c r="O1652" s="3117" t="s">
        <v>1284</v>
      </c>
      <c r="P1652" s="3010">
        <f>'Part IX A-Scoring Criteria'!P279</f>
        <v>0</v>
      </c>
      <c r="Q1652" s="3129"/>
    </row>
    <row r="1653" spans="1:17" ht="15">
      <c r="A1653" s="3049"/>
      <c r="B1653" s="3135" t="s">
        <v>1978</v>
      </c>
      <c r="C1653" s="2947" t="s">
        <v>3934</v>
      </c>
      <c r="D1653" s="2947"/>
      <c r="E1653" s="2947"/>
      <c r="F1653" s="2947"/>
      <c r="G1653" s="2947"/>
      <c r="H1653" s="2947"/>
      <c r="I1653" s="2947"/>
      <c r="J1653" s="2947"/>
      <c r="K1653" s="2947"/>
      <c r="L1653" s="2947"/>
      <c r="M1653" s="3183"/>
      <c r="N1653" s="3183"/>
      <c r="O1653" s="3123" t="s">
        <v>1978</v>
      </c>
      <c r="P1653" s="3010">
        <f>'Part IX A-Scoring Criteria'!P280</f>
        <v>0</v>
      </c>
      <c r="Q1653" s="3183"/>
    </row>
    <row r="1654" spans="1:17" ht="15">
      <c r="A1654" s="3059"/>
      <c r="B1654" s="3173" t="s">
        <v>526</v>
      </c>
      <c r="C1654" s="522" t="s">
        <v>3935</v>
      </c>
      <c r="D1654" s="521"/>
      <c r="E1654" s="3129"/>
      <c r="F1654" s="521"/>
      <c r="G1654" s="3129"/>
      <c r="H1654" s="522"/>
      <c r="I1654" s="3129"/>
      <c r="J1654" s="3129"/>
      <c r="K1654" s="3129"/>
      <c r="L1654" s="3129"/>
      <c r="M1654" s="3129"/>
      <c r="N1654" s="3129"/>
      <c r="O1654" s="3117" t="s">
        <v>526</v>
      </c>
      <c r="P1654" s="3010">
        <f>'Part IX A-Scoring Criteria'!P281</f>
        <v>0</v>
      </c>
      <c r="Q1654" s="3129"/>
    </row>
    <row r="1655" spans="1:17" ht="15">
      <c r="A1655" s="3059"/>
      <c r="B1655" s="2972" t="s">
        <v>267</v>
      </c>
      <c r="C1655" s="505"/>
      <c r="D1655" s="521"/>
      <c r="E1655" s="3095"/>
      <c r="F1655" s="521"/>
      <c r="G1655" s="3095"/>
      <c r="H1655" s="505"/>
      <c r="I1655" s="3095"/>
      <c r="J1655" s="3095"/>
      <c r="K1655" s="3095"/>
      <c r="L1655" s="3095"/>
      <c r="M1655" s="3095"/>
      <c r="N1655" s="3095"/>
      <c r="O1655" s="3184" t="s">
        <v>3936</v>
      </c>
      <c r="P1655" s="2905">
        <f>SUM(P1648:P1654)</f>
        <v>0</v>
      </c>
      <c r="Q1655" s="3095"/>
    </row>
    <row r="1656" spans="1:17" ht="15.75">
      <c r="A1656" s="2947" t="str">
        <f>'Part IX A-Scoring Criteria'!A283</f>
        <v>This section is not applicable</v>
      </c>
      <c r="B1656" s="2947"/>
      <c r="C1656" s="2947"/>
      <c r="D1656" s="2947"/>
      <c r="E1656" s="2947"/>
      <c r="F1656" s="2947"/>
      <c r="G1656" s="2947"/>
      <c r="H1656" s="2947"/>
      <c r="I1656" s="2947"/>
      <c r="J1656" s="2947"/>
      <c r="K1656" s="2947"/>
      <c r="L1656" s="2947"/>
      <c r="M1656" s="2947"/>
      <c r="N1656" s="2947"/>
      <c r="O1656" s="2947"/>
      <c r="P1656" s="2947"/>
      <c r="Q1656" s="3096" t="s">
        <v>1314</v>
      </c>
    </row>
    <row r="1657" spans="1:17" ht="15">
      <c r="A1657" s="521"/>
      <c r="B1657" s="2972" t="s">
        <v>1960</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1314</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1755</v>
      </c>
      <c r="B1660" s="3098" t="s">
        <v>2891</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458</v>
      </c>
    </row>
    <row r="1661" spans="1:17" ht="15">
      <c r="A1661" s="3059" t="s">
        <v>2081</v>
      </c>
      <c r="B1661" s="2912" t="s">
        <v>3155</v>
      </c>
      <c r="C1661" s="3095"/>
      <c r="D1661" s="521"/>
      <c r="E1661" s="521"/>
      <c r="F1661" s="521"/>
      <c r="G1661" s="3095"/>
      <c r="H1661" s="3019" t="s">
        <v>4228</v>
      </c>
      <c r="I1661" s="3185">
        <f>'Part VI-Revenues &amp; Expenses'!$M$66/'Part VI-Revenues &amp; Expenses'!$M$62</f>
        <v>1</v>
      </c>
      <c r="J1661" s="3095"/>
      <c r="K1661" s="3060" t="s">
        <v>4198</v>
      </c>
      <c r="L1661" s="3186">
        <f>'Part VI-Revenues &amp; Expenses'!$I$58/'Part VI-Revenues &amp; Expenses'!$M$58</f>
        <v>0.14583333333333334</v>
      </c>
      <c r="M1661" s="2893">
        <v>2</v>
      </c>
      <c r="N1661" s="2981" t="s">
        <v>2081</v>
      </c>
      <c r="O1661" s="2902">
        <f>'Part IX A-Scoring Criteria'!O288</f>
        <v>2</v>
      </c>
      <c r="P1661" s="2902">
        <f>'Part IX A-Scoring Criteria'!P288</f>
        <v>0</v>
      </c>
      <c r="Q1661" s="2950" t="s">
        <v>2876</v>
      </c>
    </row>
    <row r="1662" spans="1:17">
      <c r="A1662" s="3049"/>
      <c r="B1662" s="3135" t="s">
        <v>2085</v>
      </c>
      <c r="C1662" s="2947" t="s">
        <v>3937</v>
      </c>
      <c r="D1662" s="2947"/>
      <c r="E1662" s="2947"/>
      <c r="F1662" s="2947"/>
      <c r="G1662" s="2947"/>
      <c r="H1662" s="2947"/>
      <c r="I1662" s="2947"/>
      <c r="J1662" s="2947"/>
      <c r="K1662" s="2947"/>
      <c r="L1662" s="2947"/>
      <c r="M1662" s="3048"/>
      <c r="N1662" s="3123" t="s">
        <v>2085</v>
      </c>
      <c r="O1662" s="2902" t="str">
        <f>'Part IX A-Scoring Criteria'!O289</f>
        <v>Agree</v>
      </c>
      <c r="P1662" s="2902">
        <f>'Part IX A-Scoring Criteria'!P289</f>
        <v>0</v>
      </c>
      <c r="Q1662" s="3134"/>
    </row>
    <row r="1663" spans="1:17">
      <c r="A1663" s="2965"/>
      <c r="B1663" s="3135" t="s">
        <v>2087</v>
      </c>
      <c r="C1663" s="3076" t="s">
        <v>3938</v>
      </c>
      <c r="D1663" s="3076"/>
      <c r="E1663" s="3076"/>
      <c r="F1663" s="3076"/>
      <c r="G1663" s="3076"/>
      <c r="H1663" s="3076"/>
      <c r="I1663" s="3076"/>
      <c r="J1663" s="3076"/>
      <c r="K1663" s="3076"/>
      <c r="L1663" s="3076"/>
      <c r="M1663" s="3076"/>
      <c r="N1663" s="3123" t="s">
        <v>2087</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2084</v>
      </c>
      <c r="B1665" s="2912" t="s">
        <v>2892</v>
      </c>
      <c r="C1665" s="3095"/>
      <c r="D1665" s="3009"/>
      <c r="E1665" s="3095"/>
      <c r="F1665" s="3095"/>
      <c r="G1665" s="522"/>
      <c r="H1665" s="3095"/>
      <c r="I1665" s="3095"/>
      <c r="J1665" s="3095"/>
      <c r="K1665" s="3095"/>
      <c r="L1665" s="3095"/>
      <c r="M1665" s="2893">
        <v>3</v>
      </c>
      <c r="N1665" s="2981" t="s">
        <v>2084</v>
      </c>
      <c r="O1665" s="2902">
        <f>'Part IX A-Scoring Criteria'!O292</f>
        <v>0</v>
      </c>
      <c r="P1665" s="2902">
        <f>'Part IX A-Scoring Criteria'!P292</f>
        <v>0</v>
      </c>
      <c r="Q1665" s="2950" t="s">
        <v>2876</v>
      </c>
    </row>
    <row r="1666" spans="1:17">
      <c r="A1666" s="3049"/>
      <c r="B1666" s="3135" t="s">
        <v>2085</v>
      </c>
      <c r="C1666" s="2947" t="s">
        <v>4073</v>
      </c>
      <c r="D1666" s="2947"/>
      <c r="E1666" s="2947"/>
      <c r="F1666" s="2947"/>
      <c r="G1666" s="2947"/>
      <c r="H1666" s="2947"/>
      <c r="I1666" s="2947"/>
      <c r="J1666" s="2947"/>
      <c r="K1666" s="2947"/>
      <c r="L1666" s="2947"/>
      <c r="M1666" s="3048"/>
      <c r="N1666" s="3123" t="s">
        <v>2085</v>
      </c>
      <c r="O1666" s="2902">
        <f>'Part IX A-Scoring Criteria'!O293</f>
        <v>0</v>
      </c>
      <c r="P1666" s="2902">
        <f>'Part IX A-Scoring Criteria'!P293</f>
        <v>0</v>
      </c>
      <c r="Q1666" s="3134"/>
    </row>
    <row r="1667" spans="1:17">
      <c r="A1667" s="2965"/>
      <c r="B1667" s="3135" t="s">
        <v>2087</v>
      </c>
      <c r="C1667" s="3046" t="s">
        <v>3939</v>
      </c>
      <c r="D1667" s="3046"/>
      <c r="E1667" s="3046"/>
      <c r="F1667" s="3046"/>
      <c r="G1667" s="3046"/>
      <c r="H1667" s="3046"/>
      <c r="I1667" s="3046"/>
      <c r="J1667" s="3046" t="s">
        <v>3940</v>
      </c>
      <c r="K1667" s="3046"/>
      <c r="L1667" s="3186">
        <f>'Part IX A-Scoring Criteria'!L294</f>
        <v>0</v>
      </c>
      <c r="M1667" s="3046"/>
      <c r="N1667" s="3123" t="s">
        <v>2087</v>
      </c>
      <c r="O1667" s="2902">
        <f>'Part IX A-Scoring Criteria'!O294</f>
        <v>0</v>
      </c>
      <c r="P1667" s="2902">
        <f>'Part IX A-Scoring Criteria'!P294</f>
        <v>0</v>
      </c>
      <c r="Q1667" s="3046"/>
    </row>
    <row r="1668" spans="1:17" ht="15">
      <c r="A1668" s="521"/>
      <c r="B1668" s="2972" t="s">
        <v>267</v>
      </c>
      <c r="C1668" s="521"/>
      <c r="D1668" s="525"/>
      <c r="E1668" s="525"/>
      <c r="F1668" s="525"/>
      <c r="G1668" s="525"/>
      <c r="H1668" s="522"/>
      <c r="I1668" s="522"/>
      <c r="J1668" s="522"/>
      <c r="K1668" s="522"/>
      <c r="L1668" s="3095"/>
      <c r="M1668" s="2893"/>
      <c r="N1668" s="2887"/>
      <c r="O1668" s="3091"/>
      <c r="P1668" s="2889"/>
      <c r="Q1668" s="3095"/>
    </row>
    <row r="1669" spans="1:17" ht="15.75">
      <c r="A1669" s="2947" t="str">
        <f>'Part IX A-Scoring Criteria'!A296</f>
        <v>Applicant agrees to participate in DCA's Integrated Supportive Housing Program as needed, and depending on availability of units at the time.</v>
      </c>
      <c r="B1669" s="2947"/>
      <c r="C1669" s="2947"/>
      <c r="D1669" s="2947"/>
      <c r="E1669" s="2947"/>
      <c r="F1669" s="2947"/>
      <c r="G1669" s="2947"/>
      <c r="H1669" s="2947"/>
      <c r="I1669" s="2947"/>
      <c r="J1669" s="2947"/>
      <c r="K1669" s="2947"/>
      <c r="L1669" s="2947"/>
      <c r="M1669" s="2947"/>
      <c r="N1669" s="2947"/>
      <c r="O1669" s="2947"/>
      <c r="P1669" s="2947"/>
      <c r="Q1669" s="3096" t="s">
        <v>1314</v>
      </c>
    </row>
    <row r="1670" spans="1:17" ht="15">
      <c r="A1670" s="521"/>
      <c r="B1670" s="2972" t="s">
        <v>1960</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1314</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1756</v>
      </c>
      <c r="B1673" s="3093" t="s">
        <v>2893</v>
      </c>
      <c r="C1673" s="3095"/>
      <c r="D1673" s="3009"/>
      <c r="E1673" s="3095"/>
      <c r="F1673" s="3095"/>
      <c r="G1673" s="3160" t="s">
        <v>3899</v>
      </c>
      <c r="H1673" s="3095"/>
      <c r="I1673" s="3095"/>
      <c r="J1673" s="3095"/>
      <c r="K1673" s="3095"/>
      <c r="L1673" s="3095"/>
      <c r="M1673" s="2902">
        <v>2</v>
      </c>
      <c r="N1673" s="2981"/>
      <c r="O1673" s="3091">
        <f>'Part IX A-Scoring Criteria'!O300</f>
        <v>0</v>
      </c>
      <c r="P1673" s="3091">
        <f>'Part IX A-Scoring Criteria'!P300</f>
        <v>0</v>
      </c>
      <c r="Q1673" s="2902" t="s">
        <v>458</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2081</v>
      </c>
      <c r="B1675" s="2947" t="s">
        <v>4074</v>
      </c>
      <c r="C1675" s="2947"/>
      <c r="D1675" s="2947"/>
      <c r="E1675" s="2947"/>
      <c r="F1675" s="2947"/>
      <c r="G1675" s="2947"/>
      <c r="H1675" s="3183"/>
      <c r="I1675" s="3046" t="s">
        <v>3943</v>
      </c>
      <c r="J1675" s="3183"/>
      <c r="K1675" s="3183"/>
      <c r="L1675" s="3189">
        <f>'Part VI-Revenues &amp; Expenses'!$M$82</f>
        <v>0</v>
      </c>
      <c r="M1675" s="3122">
        <v>2</v>
      </c>
      <c r="N1675" s="3056" t="s">
        <v>2081</v>
      </c>
      <c r="O1675" s="2902">
        <f>'Part IX A-Scoring Criteria'!O302</f>
        <v>0</v>
      </c>
      <c r="P1675" s="2902">
        <f>'Part IX A-Scoring Criteria'!P302</f>
        <v>0</v>
      </c>
      <c r="Q1675" s="2696" t="s">
        <v>2876</v>
      </c>
    </row>
    <row r="1676" spans="1:17" ht="15">
      <c r="A1676" s="3134"/>
      <c r="B1676" s="2947"/>
      <c r="C1676" s="2947"/>
      <c r="D1676" s="2947"/>
      <c r="E1676" s="2947"/>
      <c r="F1676" s="2947"/>
      <c r="G1676" s="2947"/>
      <c r="H1676" s="3183"/>
      <c r="I1676" s="3069" t="s">
        <v>3156</v>
      </c>
      <c r="J1676" s="3183"/>
      <c r="K1676" s="3183"/>
      <c r="L1676" s="3189">
        <f>'Part VI-Revenues &amp; Expenses'!$M$62</f>
        <v>96</v>
      </c>
      <c r="M1676" s="3122"/>
      <c r="N1676" s="3122"/>
      <c r="O1676" s="3122"/>
      <c r="P1676" s="3122"/>
      <c r="Q1676" s="2696"/>
    </row>
    <row r="1677" spans="1:17" ht="15">
      <c r="A1677" s="3004" t="s">
        <v>1419</v>
      </c>
      <c r="B1677" s="3183"/>
      <c r="C1677" s="3183"/>
      <c r="D1677" s="3046" t="s">
        <v>3158</v>
      </c>
      <c r="E1677" s="3183"/>
      <c r="F1677" s="3183"/>
      <c r="G1677" s="3189">
        <f>'Part III-Sources of Funds'!$I$46</f>
        <v>0</v>
      </c>
      <c r="H1677" s="3183"/>
      <c r="I1677" s="3009" t="s">
        <v>3157</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2084</v>
      </c>
      <c r="B1679" s="3046" t="s">
        <v>4075</v>
      </c>
      <c r="C1679" s="3183"/>
      <c r="D1679" s="3191" t="str">
        <f>'Part IX A-Scoring Criteria'!D306</f>
        <v>&lt;&lt;Select applicable status&gt;&gt;</v>
      </c>
      <c r="E1679" s="3191"/>
      <c r="F1679" s="3191"/>
      <c r="G1679" s="3191"/>
      <c r="H1679" s="3046"/>
      <c r="I1679" s="3046" t="s">
        <v>3944</v>
      </c>
      <c r="J1679" s="3183"/>
      <c r="K1679" s="3183"/>
      <c r="L1679" s="3189">
        <f>'Part IX A-Scoring Criteria'!L306</f>
        <v>0</v>
      </c>
      <c r="M1679" s="3122">
        <v>1</v>
      </c>
      <c r="N1679" s="3056" t="s">
        <v>2084</v>
      </c>
      <c r="O1679" s="2902">
        <f>'Part IX A-Scoring Criteria'!O306</f>
        <v>0</v>
      </c>
      <c r="P1679" s="2902">
        <f>'Part IX A-Scoring Criteria'!P306</f>
        <v>0</v>
      </c>
      <c r="Q1679" s="2696" t="s">
        <v>2876</v>
      </c>
    </row>
    <row r="1680" spans="1:17" ht="15">
      <c r="A1680" s="3188"/>
      <c r="B1680" s="3046"/>
      <c r="C1680" s="3046"/>
      <c r="D1680" s="3183"/>
      <c r="E1680" s="3183"/>
      <c r="F1680" s="3183"/>
      <c r="G1680" s="3183"/>
      <c r="H1680" s="3046"/>
      <c r="I1680" s="3069" t="s">
        <v>3156</v>
      </c>
      <c r="J1680" s="3183"/>
      <c r="K1680" s="3183"/>
      <c r="L1680" s="3189">
        <f>'Part VI-Revenues &amp; Expenses'!$M$62</f>
        <v>96</v>
      </c>
      <c r="M1680" s="3122"/>
      <c r="N1680" s="3122"/>
      <c r="O1680" s="3122"/>
      <c r="P1680" s="3122"/>
      <c r="Q1680" s="2696"/>
    </row>
    <row r="1681" spans="1:17" ht="15">
      <c r="A1681" s="3188"/>
      <c r="B1681" s="3046"/>
      <c r="C1681" s="3046"/>
      <c r="D1681" s="3046"/>
      <c r="E1681" s="3046"/>
      <c r="F1681" s="3046"/>
      <c r="G1681" s="3046"/>
      <c r="H1681" s="3046"/>
      <c r="I1681" s="3009" t="s">
        <v>3157</v>
      </c>
      <c r="J1681" s="3183"/>
      <c r="K1681" s="3183"/>
      <c r="L1681" s="3190">
        <f>L1679/L1680</f>
        <v>0</v>
      </c>
      <c r="M1681" s="3122"/>
      <c r="N1681" s="3122"/>
      <c r="O1681" s="3122"/>
      <c r="P1681" s="3122"/>
      <c r="Q1681" s="2696"/>
    </row>
    <row r="1682" spans="1:17" ht="15">
      <c r="A1682" s="521"/>
      <c r="B1682" s="2972" t="s">
        <v>267</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This section is not applicable</v>
      </c>
      <c r="B1683" s="2947"/>
      <c r="C1683" s="2947"/>
      <c r="D1683" s="2947"/>
      <c r="E1683" s="2947"/>
      <c r="F1683" s="2947"/>
      <c r="G1683" s="2947"/>
      <c r="H1683" s="2947"/>
      <c r="I1683" s="2947"/>
      <c r="J1683" s="2947"/>
      <c r="K1683" s="2947"/>
      <c r="L1683" s="2947"/>
      <c r="M1683" s="2947"/>
      <c r="N1683" s="2947"/>
      <c r="O1683" s="2947"/>
      <c r="P1683" s="2947"/>
      <c r="Q1683" s="3096" t="s">
        <v>1314</v>
      </c>
    </row>
    <row r="1684" spans="1:17" ht="15">
      <c r="A1684" s="521"/>
      <c r="B1684" s="2972" t="s">
        <v>1960</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1314</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1757</v>
      </c>
      <c r="B1687" s="3093" t="s">
        <v>2765</v>
      </c>
      <c r="C1687" s="3095"/>
      <c r="D1687" s="3116"/>
      <c r="E1687" s="3116"/>
      <c r="F1687" s="3095"/>
      <c r="G1687" s="3095"/>
      <c r="H1687" s="3095"/>
      <c r="I1687" s="3101" t="s">
        <v>4617</v>
      </c>
      <c r="J1687" s="3116"/>
      <c r="K1687" s="3116"/>
      <c r="L1687" s="3095"/>
      <c r="M1687" s="2889">
        <v>5</v>
      </c>
      <c r="N1687" s="3095"/>
      <c r="O1687" s="3095"/>
      <c r="P1687" s="2902">
        <f>'Part IX A-Scoring Criteria'!P314</f>
        <v>0</v>
      </c>
      <c r="Q1687" s="2902" t="s">
        <v>458</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3172</v>
      </c>
      <c r="E1689" s="3018"/>
      <c r="F1689" s="3193">
        <f>'Part IX A-Scoring Criteria'!F316</f>
        <v>1000000</v>
      </c>
      <c r="G1689" s="2723"/>
      <c r="H1689" s="3116"/>
      <c r="I1689" s="3101" t="s">
        <v>4618</v>
      </c>
      <c r="J1689" s="3116"/>
      <c r="K1689" s="3116"/>
      <c r="L1689" s="3095"/>
      <c r="M1689" s="2893">
        <v>20</v>
      </c>
      <c r="N1689" s="2893"/>
      <c r="O1689" s="3091">
        <f>'Part IX A-Scoring Criteria'!O316</f>
        <v>7</v>
      </c>
      <c r="P1689" s="3091">
        <f>'Part IX A-Scoring Criteria'!P316</f>
        <v>0</v>
      </c>
      <c r="Q1689" s="2902"/>
    </row>
    <row r="1690" spans="1:17">
      <c r="A1690" s="3164"/>
      <c r="B1690" s="3059" t="s">
        <v>2081</v>
      </c>
      <c r="C1690" s="3194" t="s">
        <v>3159</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2876</v>
      </c>
    </row>
    <row r="1691" spans="1:17">
      <c r="A1691" s="3004" t="s">
        <v>1419</v>
      </c>
      <c r="B1691" s="3049" t="s">
        <v>2084</v>
      </c>
      <c r="C1691" s="3076" t="s">
        <v>3945</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789</v>
      </c>
      <c r="C1692" s="3076" t="s">
        <v>3946</v>
      </c>
      <c r="D1692" s="3076"/>
      <c r="E1692" s="3076"/>
      <c r="F1692" s="3076"/>
      <c r="G1692" s="3076"/>
      <c r="H1692" s="3076"/>
      <c r="I1692" s="3076"/>
      <c r="J1692" s="3076"/>
      <c r="K1692" s="3076"/>
      <c r="L1692" s="3076"/>
      <c r="M1692" s="3122">
        <v>2</v>
      </c>
      <c r="N1692" s="3195"/>
      <c r="O1692" s="2902">
        <f>'Part IX A-Scoring Criteria'!O319</f>
        <v>2</v>
      </c>
      <c r="P1692" s="2902">
        <f>'Part IX A-Scoring Criteria'!P319</f>
        <v>0</v>
      </c>
      <c r="Q1692" s="3104" t="s">
        <v>2876</v>
      </c>
    </row>
    <row r="1693" spans="1:17">
      <c r="A1693" s="3196"/>
      <c r="B1693" s="3049" t="s">
        <v>2216</v>
      </c>
      <c r="C1693" s="3076" t="s">
        <v>4199</v>
      </c>
      <c r="D1693" s="3076"/>
      <c r="E1693" s="3076"/>
      <c r="F1693" s="3076"/>
      <c r="G1693" s="3076"/>
      <c r="H1693" s="3076"/>
      <c r="I1693" s="3076"/>
      <c r="J1693" s="3076"/>
      <c r="K1693" s="3076"/>
      <c r="L1693" s="3076"/>
      <c r="M1693" s="3122">
        <v>1</v>
      </c>
      <c r="N1693" s="3195"/>
      <c r="O1693" s="2902">
        <f>'Part IX A-Scoring Criteria'!O320</f>
        <v>1</v>
      </c>
      <c r="P1693" s="2902">
        <f>'Part IX A-Scoring Criteria'!P320</f>
        <v>0</v>
      </c>
      <c r="Q1693" s="2696" t="s">
        <v>2876</v>
      </c>
    </row>
    <row r="1694" spans="1:17">
      <c r="A1694" s="3164"/>
      <c r="B1694" s="3049" t="s">
        <v>1823</v>
      </c>
      <c r="C1694" s="3076" t="s">
        <v>4052</v>
      </c>
      <c r="D1694" s="3076"/>
      <c r="E1694" s="3076"/>
      <c r="F1694" s="3076"/>
      <c r="G1694" s="3076"/>
      <c r="H1694" s="3076"/>
      <c r="I1694" s="3076"/>
      <c r="J1694" s="3076"/>
      <c r="K1694" s="3076"/>
      <c r="L1694" s="3076"/>
      <c r="M1694" s="3122">
        <v>2</v>
      </c>
      <c r="N1694" s="3116"/>
      <c r="O1694" s="2902">
        <f>'Part IX A-Scoring Criteria'!O321</f>
        <v>2</v>
      </c>
      <c r="P1694" s="2902">
        <f>'Part IX A-Scoring Criteria'!P321</f>
        <v>0</v>
      </c>
      <c r="Q1694" s="2696" t="s">
        <v>2876</v>
      </c>
    </row>
    <row r="1695" spans="1:17" ht="15">
      <c r="A1695" s="3095"/>
      <c r="B1695" s="3004" t="s">
        <v>1419</v>
      </c>
      <c r="C1695" s="3194" t="s">
        <v>4051</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1824</v>
      </c>
      <c r="C1696" s="3076" t="s">
        <v>3947</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2876</v>
      </c>
    </row>
    <row r="1697" spans="1:17" ht="15">
      <c r="A1697" s="3183"/>
      <c r="B1697" s="3004" t="s">
        <v>1419</v>
      </c>
      <c r="C1697" s="3076" t="s">
        <v>3948</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2044</v>
      </c>
      <c r="C1698" s="3194" t="s">
        <v>3949</v>
      </c>
      <c r="D1698" s="3194"/>
      <c r="E1698" s="3194"/>
      <c r="F1698" s="3194"/>
      <c r="G1698" s="3194"/>
      <c r="H1698" s="3194"/>
      <c r="I1698" s="3194"/>
      <c r="J1698" s="3194"/>
      <c r="K1698" s="3194"/>
      <c r="L1698" s="3194"/>
      <c r="M1698" s="2895">
        <v>2</v>
      </c>
      <c r="N1698" s="3116"/>
      <c r="O1698" s="2902">
        <f>'Part IX A-Scoring Criteria'!O325</f>
        <v>2</v>
      </c>
      <c r="P1698" s="2902">
        <f>'Part IX A-Scoring Criteria'!P325</f>
        <v>0</v>
      </c>
      <c r="Q1698" s="2696" t="s">
        <v>2876</v>
      </c>
    </row>
    <row r="1699" spans="1:17">
      <c r="A1699" s="3164"/>
      <c r="B1699" s="3059"/>
      <c r="C1699" s="3197"/>
      <c r="D1699" s="3197"/>
      <c r="E1699" s="3197"/>
      <c r="F1699" s="3197"/>
      <c r="G1699" s="2948" t="s">
        <v>3613</v>
      </c>
      <c r="H1699" s="3198">
        <f>'Part IX A-Scoring Criteria'!H326</f>
        <v>9048527</v>
      </c>
      <c r="I1699" s="2948" t="s">
        <v>563</v>
      </c>
      <c r="J1699" s="3198">
        <f>'Part IX A-Scoring Criteria'!J326</f>
        <v>15780131</v>
      </c>
      <c r="K1699" s="2948" t="s">
        <v>4200</v>
      </c>
      <c r="L1699" s="3199">
        <f>H1699/J1699</f>
        <v>0.57341266685301917</v>
      </c>
      <c r="M1699" s="2895"/>
      <c r="N1699" s="3116"/>
      <c r="O1699" s="3116"/>
      <c r="P1699" s="3116"/>
      <c r="Q1699" s="2696"/>
    </row>
    <row r="1700" spans="1:17">
      <c r="A1700" s="3196"/>
      <c r="B1700" s="3049" t="s">
        <v>3837</v>
      </c>
      <c r="C1700" s="3076" t="s">
        <v>3950</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2876</v>
      </c>
    </row>
    <row r="1701" spans="1:17">
      <c r="A1701" s="3196"/>
      <c r="B1701" s="3049" t="s">
        <v>647</v>
      </c>
      <c r="C1701" s="3076" t="s">
        <v>4053</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2876</v>
      </c>
    </row>
    <row r="1702" spans="1:17">
      <c r="A1702" s="3196"/>
      <c r="B1702" s="3049" t="s">
        <v>3838</v>
      </c>
      <c r="C1702" s="3076" t="s">
        <v>3951</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2876</v>
      </c>
    </row>
    <row r="1703" spans="1:17" ht="15">
      <c r="A1703" s="521"/>
      <c r="B1703" s="2972" t="s">
        <v>267</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 xml:space="preserve">Lakeview Apartments proposal represents a rehabilitation of a 40+ year old apartment complex with a 100% HAP contract, which has never been rehabiliated and has maitained steady occupancy.  HAP Contract and renewal letter included in Tab 1.  </v>
      </c>
      <c r="B1704" s="2947"/>
      <c r="C1704" s="2947"/>
      <c r="D1704" s="2947"/>
      <c r="E1704" s="2947"/>
      <c r="F1704" s="2947"/>
      <c r="G1704" s="2947"/>
      <c r="H1704" s="2947"/>
      <c r="I1704" s="2947"/>
      <c r="J1704" s="2947"/>
      <c r="K1704" s="2947"/>
      <c r="L1704" s="2947"/>
      <c r="M1704" s="2947"/>
      <c r="N1704" s="2947"/>
      <c r="O1704" s="2947"/>
      <c r="P1704" s="2947"/>
      <c r="Q1704" s="3096" t="s">
        <v>1314</v>
      </c>
    </row>
    <row r="1705" spans="1:17" ht="15">
      <c r="A1705" s="521"/>
      <c r="B1705" s="2972" t="s">
        <v>1960</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1314</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3160</v>
      </c>
      <c r="B1708" s="3093" t="s">
        <v>3962</v>
      </c>
      <c r="C1708" s="3095"/>
      <c r="D1708" s="3116"/>
      <c r="E1708" s="3116"/>
      <c r="F1708" s="3116"/>
      <c r="G1708" s="3116"/>
      <c r="H1708" s="3116"/>
      <c r="I1708" s="3116"/>
      <c r="J1708" s="3116"/>
      <c r="K1708" s="3116"/>
      <c r="L1708" s="3116"/>
      <c r="M1708" s="2902">
        <v>2</v>
      </c>
      <c r="N1708" s="3117"/>
      <c r="O1708" s="3091">
        <f>'Part IX A-Scoring Criteria'!O335</f>
        <v>1</v>
      </c>
      <c r="P1708" s="3091">
        <f>'Part IX A-Scoring Criteria'!P335</f>
        <v>0</v>
      </c>
      <c r="Q1708" s="2902" t="s">
        <v>458</v>
      </c>
    </row>
    <row r="1709" spans="1:17" ht="15">
      <c r="A1709" s="3095"/>
      <c r="B1709" s="3201" t="s">
        <v>3964</v>
      </c>
      <c r="C1709" s="3201"/>
      <c r="D1709" s="3201"/>
      <c r="E1709" s="3201"/>
      <c r="F1709" s="3201"/>
      <c r="G1709" s="3201"/>
      <c r="H1709" s="3201"/>
      <c r="I1709" s="3201"/>
      <c r="J1709" s="3201"/>
      <c r="K1709" s="3201"/>
      <c r="L1709" s="3201"/>
      <c r="M1709" s="3201"/>
      <c r="N1709" s="3201"/>
      <c r="O1709" s="2902" t="str">
        <f>'Part IX A-Scoring Criteria'!O336</f>
        <v>No</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4201</v>
      </c>
      <c r="C1711" s="3095"/>
      <c r="D1711" s="3095"/>
      <c r="E1711" s="3095"/>
      <c r="F1711" s="522" t="s">
        <v>3959</v>
      </c>
      <c r="G1711" s="522"/>
      <c r="H1711" s="3095"/>
      <c r="I1711" s="3095"/>
      <c r="J1711" s="2935" t="str">
        <f>'Part IX A-Scoring Criteria'!J338</f>
        <v>Peach County High School</v>
      </c>
      <c r="K1711" s="2935"/>
      <c r="L1711" s="2935"/>
      <c r="M1711" s="2935"/>
      <c r="N1711" s="2935"/>
      <c r="O1711" s="2784" t="s">
        <v>4084</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3304</v>
      </c>
      <c r="G1713" s="505"/>
      <c r="H1713" s="3095"/>
      <c r="I1713" s="3095"/>
      <c r="J1713" s="3162" t="str">
        <f>'Part I-Project Information'!$H$67</f>
        <v>Family</v>
      </c>
      <c r="K1713" s="3162"/>
      <c r="L1713" s="3202"/>
      <c r="M1713" s="2784" t="s">
        <v>4083</v>
      </c>
      <c r="N1713" s="3021"/>
      <c r="O1713" s="2784"/>
      <c r="P1713" s="3021"/>
      <c r="Q1713" s="3095"/>
    </row>
    <row r="1714" spans="1:17" ht="15">
      <c r="A1714" s="3059"/>
      <c r="B1714" s="2980" t="s">
        <v>3960</v>
      </c>
      <c r="C1714" s="2978"/>
      <c r="D1714" s="2978"/>
      <c r="E1714" s="3202"/>
      <c r="F1714" s="3128"/>
      <c r="G1714" s="3095"/>
      <c r="H1714" s="3202"/>
      <c r="I1714" s="3202"/>
      <c r="J1714" s="3202"/>
      <c r="K1714" s="3202"/>
      <c r="L1714" s="3202"/>
      <c r="M1714" s="2784"/>
      <c r="N1714" s="3021"/>
      <c r="O1714" s="2784"/>
      <c r="P1714" s="3073" t="s">
        <v>3956</v>
      </c>
      <c r="Q1714" s="3095"/>
    </row>
    <row r="1715" spans="1:17" ht="23.25">
      <c r="A1715" s="3059"/>
      <c r="B1715" s="3095"/>
      <c r="C1715" s="2936"/>
      <c r="D1715" s="3095"/>
      <c r="E1715" s="3095"/>
      <c r="F1715" s="3009" t="s">
        <v>3961</v>
      </c>
      <c r="G1715" s="3095"/>
      <c r="H1715" s="3202"/>
      <c r="I1715" s="3203" t="s">
        <v>3955</v>
      </c>
      <c r="J1715" s="3070" t="s">
        <v>3957</v>
      </c>
      <c r="K1715" s="3006" t="s">
        <v>3956</v>
      </c>
      <c r="L1715" s="2896" t="s">
        <v>3958</v>
      </c>
      <c r="M1715" s="2784"/>
      <c r="N1715" s="2895"/>
      <c r="O1715" s="2784"/>
      <c r="P1715" s="3073"/>
      <c r="Q1715" s="3095"/>
    </row>
    <row r="1716" spans="1:17" ht="15">
      <c r="A1716" s="3059"/>
      <c r="B1716" s="2981" t="s">
        <v>2556</v>
      </c>
      <c r="C1716" s="2978" t="s">
        <v>3954</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2557</v>
      </c>
      <c r="C1717" s="2978" t="s">
        <v>3952</v>
      </c>
      <c r="D1717" s="2978"/>
      <c r="E1717" s="3202"/>
      <c r="F1717" s="2935">
        <f>-'Part IX A-Scoring Criteria'!F344</f>
        <v>0</v>
      </c>
      <c r="G1717" s="2935"/>
      <c r="H1717" s="2935"/>
      <c r="I1717" s="2948">
        <f>'Part IX A-Scoring Criteria'!I344</f>
        <v>0</v>
      </c>
      <c r="J1717" s="2948">
        <f>'Part IX A-Scoring Criteria'!J344</f>
        <v>0</v>
      </c>
      <c r="K1717" s="3204">
        <f>'Part IX A-Scoring Criteria'!K344</f>
        <v>0</v>
      </c>
      <c r="L1717" s="2895">
        <v>75</v>
      </c>
      <c r="M1717" s="2896" t="str">
        <f>IF(K1717="","",IF(K1717&gt;=L1717,"Yes",IF(K1717&lt;L1717,"No","")))</f>
        <v>No</v>
      </c>
      <c r="N1717" s="2895"/>
      <c r="O1717" s="2896" t="str">
        <f>IF(P1717="","",IF(P1717&gt;=L1717,"Yes",IF(P1717&lt;L1717,"No","")))</f>
        <v>No</v>
      </c>
      <c r="P1717" s="3204">
        <f>'Part IX A-Scoring Criteria'!P344</f>
        <v>0</v>
      </c>
      <c r="Q1717" s="3095"/>
    </row>
    <row r="1718" spans="1:17" ht="15">
      <c r="A1718" s="3059"/>
      <c r="B1718" s="2981" t="s">
        <v>2558</v>
      </c>
      <c r="C1718" s="2978" t="s">
        <v>3953</v>
      </c>
      <c r="D1718" s="2978"/>
      <c r="E1718" s="3202"/>
      <c r="F1718" s="2935" t="e">
        <f>-'Part IX A-Scoring Criteria'!F345</f>
        <v>#VALUE!</v>
      </c>
      <c r="G1718" s="2935"/>
      <c r="H1718" s="2935"/>
      <c r="I1718" s="2948" t="str">
        <f>'Part IX A-Scoring Criteria'!I345</f>
        <v>09, 10, 11, 12</v>
      </c>
      <c r="J1718" s="2948">
        <f>'Part IX A-Scoring Criteria'!J345</f>
        <v>0</v>
      </c>
      <c r="K1718" s="3204">
        <f>'Part IX A-Scoring Criteria'!K345</f>
        <v>73</v>
      </c>
      <c r="L1718" s="2895">
        <v>72</v>
      </c>
      <c r="M1718" s="2896" t="str">
        <f>IF(K1718="","",IF(K1718&gt;=L1718,"Yes",IF(K1718&lt;L1718,"No","")))</f>
        <v>Yes</v>
      </c>
      <c r="N1718" s="2895"/>
      <c r="O1718" s="2896" t="str">
        <f>IF(P1718="","",IF(P1718&gt;=L1718,"Yes",IF(P1718&lt;L1718,"No","")))</f>
        <v>No</v>
      </c>
      <c r="P1718" s="3204">
        <f>'Part IX A-Scoring Criteria'!P345</f>
        <v>0</v>
      </c>
      <c r="Q1718" s="3095"/>
    </row>
    <row r="1719" spans="1:17" ht="15">
      <c r="A1719" s="521"/>
      <c r="B1719" s="2972" t="s">
        <v>267</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Peach County High School exceeded the state average in 2013.  Documentation is included in Tab 40.</v>
      </c>
      <c r="B1720" s="2947"/>
      <c r="C1720" s="2947"/>
      <c r="D1720" s="2947"/>
      <c r="E1720" s="2947"/>
      <c r="F1720" s="2947"/>
      <c r="G1720" s="2947"/>
      <c r="H1720" s="2947"/>
      <c r="I1720" s="2947"/>
      <c r="J1720" s="2947"/>
      <c r="K1720" s="2947"/>
      <c r="L1720" s="2947"/>
      <c r="M1720" s="2947"/>
      <c r="N1720" s="2947"/>
      <c r="O1720" s="2947"/>
      <c r="P1720" s="2947"/>
      <c r="Q1720" s="3096" t="s">
        <v>1314</v>
      </c>
    </row>
    <row r="1721" spans="1:17" ht="15">
      <c r="A1721" s="521"/>
      <c r="B1721" s="2972" t="s">
        <v>1960</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1314</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3163</v>
      </c>
      <c r="B1724" s="3093" t="s">
        <v>3162</v>
      </c>
      <c r="C1724" s="3095"/>
      <c r="D1724" s="3116"/>
      <c r="E1724" s="3116"/>
      <c r="F1724" s="3116"/>
      <c r="G1724" s="3006" t="s">
        <v>4369</v>
      </c>
      <c r="H1724" s="3116"/>
      <c r="I1724" s="505" t="s">
        <v>3167</v>
      </c>
      <c r="J1724" s="505"/>
      <c r="K1724" s="3162" t="str">
        <f>'Part IX A-Scoring Criteria'!K351</f>
        <v>Fort Valley</v>
      </c>
      <c r="L1724" s="3162"/>
      <c r="M1724" s="2902">
        <v>2</v>
      </c>
      <c r="N1724" s="3117"/>
      <c r="O1724" s="2902">
        <f>'Part IX A-Scoring Criteria'!O351</f>
        <v>2</v>
      </c>
      <c r="P1724" s="2902">
        <f>'Part IX A-Scoring Criteria'!P351</f>
        <v>0</v>
      </c>
      <c r="Q1724" s="2902" t="s">
        <v>458</v>
      </c>
    </row>
    <row r="1725" spans="1:17">
      <c r="A1725" s="3059" t="s">
        <v>2081</v>
      </c>
      <c r="B1725" s="505"/>
      <c r="C1725" s="3070" t="s">
        <v>3171</v>
      </c>
      <c r="D1725" s="505"/>
      <c r="E1725" s="505"/>
      <c r="F1725" s="505"/>
      <c r="G1725" s="3198">
        <f>'Part IX A-Scoring Criteria'!G352</f>
        <v>5262</v>
      </c>
      <c r="H1725" s="505"/>
      <c r="I1725" s="3162" t="s">
        <v>3168</v>
      </c>
      <c r="J1725" s="3162"/>
      <c r="K1725" s="3162" t="str">
        <f>'Part IX A-Scoring Criteria'!K352</f>
        <v>Peach</v>
      </c>
      <c r="L1725" s="3162"/>
      <c r="M1725" s="505"/>
      <c r="N1725" s="505"/>
      <c r="O1725" s="505"/>
      <c r="P1725" s="505"/>
      <c r="Q1725" s="505"/>
    </row>
    <row r="1726" spans="1:17">
      <c r="A1726" s="3059"/>
      <c r="B1726" s="505"/>
      <c r="C1726" s="3070"/>
      <c r="D1726" s="505"/>
      <c r="E1726" s="505"/>
      <c r="F1726" s="505"/>
      <c r="G1726" s="505"/>
      <c r="H1726" s="505"/>
      <c r="I1726" s="3132" t="s">
        <v>3169</v>
      </c>
      <c r="J1726" s="505"/>
      <c r="K1726" s="3162" t="str">
        <f>'Part IX A-Scoring Criteria'!K353</f>
        <v>Peach Co.</v>
      </c>
      <c r="L1726" s="3162"/>
      <c r="M1726" s="505"/>
      <c r="N1726" s="505"/>
      <c r="O1726" s="505"/>
      <c r="P1726" s="505"/>
      <c r="Q1726" s="505"/>
    </row>
    <row r="1727" spans="1:17">
      <c r="A1727" s="3049" t="s">
        <v>2084</v>
      </c>
      <c r="B1727" s="3132" t="s">
        <v>3166</v>
      </c>
      <c r="C1727" s="3132"/>
      <c r="D1727" s="3070"/>
      <c r="E1727" s="3070"/>
      <c r="F1727" s="505"/>
      <c r="G1727" s="3146">
        <f>'Part IX A-Scoring Criteria'!G354</f>
        <v>0.6</v>
      </c>
      <c r="H1727" s="505"/>
      <c r="I1727" s="3132" t="s">
        <v>3305</v>
      </c>
      <c r="J1727" s="505"/>
      <c r="K1727" s="3162" t="str">
        <f>'Part IX A-Scoring Criteria'!K354</f>
        <v>Non-MSA</v>
      </c>
      <c r="L1727" s="3162"/>
      <c r="M1727" s="505"/>
      <c r="N1727" s="505"/>
      <c r="O1727" s="505"/>
      <c r="P1727" s="505"/>
      <c r="Q1727" s="505"/>
    </row>
    <row r="1728" spans="1:17">
      <c r="A1728" s="3011"/>
      <c r="B1728" s="3132" t="s">
        <v>3165</v>
      </c>
      <c r="C1728" s="3132"/>
      <c r="D1728" s="3070"/>
      <c r="E1728" s="3070"/>
      <c r="F1728" s="3011"/>
      <c r="G1728" s="3011"/>
      <c r="H1728" s="505"/>
      <c r="I1728" s="505" t="s">
        <v>3306</v>
      </c>
      <c r="J1728" s="505"/>
      <c r="K1728" s="3162" t="str">
        <f>'Part IX A-Scoring Criteria'!K355</f>
        <v>Rural</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3164</v>
      </c>
      <c r="D1730" s="3206" t="s">
        <v>3963</v>
      </c>
      <c r="E1730" s="3206"/>
      <c r="F1730" s="3206"/>
      <c r="G1730" s="3206"/>
      <c r="H1730" s="3206"/>
      <c r="I1730" s="3206"/>
      <c r="J1730" s="3206"/>
      <c r="K1730" s="3206"/>
      <c r="L1730" s="3205" t="s">
        <v>1679</v>
      </c>
      <c r="M1730" s="3205" t="s">
        <v>2727</v>
      </c>
      <c r="N1730" s="505"/>
      <c r="O1730" s="505"/>
      <c r="P1730" s="505"/>
      <c r="Q1730" s="505"/>
    </row>
    <row r="1731" spans="1:17">
      <c r="A1731" s="3011"/>
      <c r="B1731" s="3011"/>
      <c r="C1731" s="3205" t="s">
        <v>1264</v>
      </c>
      <c r="D1731" s="3037" t="s">
        <v>3170</v>
      </c>
      <c r="E1731" s="3037"/>
      <c r="F1731" s="3037"/>
      <c r="G1731" s="3037"/>
      <c r="H1731" s="3037"/>
      <c r="I1731" s="3037"/>
      <c r="J1731" s="3037"/>
      <c r="K1731" s="3037"/>
      <c r="L1731" s="3205" t="s">
        <v>2741</v>
      </c>
      <c r="M1731" s="3205" t="s">
        <v>1339</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267</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Census report included in Tab 41.  70.3% of residents in a 2-mile radius travel more than 10 miles to work.</v>
      </c>
      <c r="B1734" s="2947"/>
      <c r="C1734" s="2947"/>
      <c r="D1734" s="2947"/>
      <c r="E1734" s="2947"/>
      <c r="F1734" s="2947"/>
      <c r="G1734" s="2947"/>
      <c r="H1734" s="2947"/>
      <c r="I1734" s="2947"/>
      <c r="J1734" s="2947"/>
      <c r="K1734" s="2947"/>
      <c r="L1734" s="2947"/>
      <c r="M1734" s="2947"/>
      <c r="N1734" s="2947"/>
      <c r="O1734" s="2947"/>
      <c r="P1734" s="2947"/>
      <c r="Q1734" s="3096" t="s">
        <v>1314</v>
      </c>
    </row>
    <row r="1735" spans="1:17" ht="15">
      <c r="A1735" s="521"/>
      <c r="B1735" s="2972" t="s">
        <v>1960</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1314</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3161</v>
      </c>
      <c r="B1738" s="3093" t="s">
        <v>1758</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458</v>
      </c>
    </row>
    <row r="1739" spans="1:17">
      <c r="B1739" s="505" t="s">
        <v>2666</v>
      </c>
      <c r="M1739" s="521"/>
      <c r="N1739" s="521"/>
      <c r="O1739" s="2902" t="str">
        <f>'Part IX A-Scoring Criteria'!O366</f>
        <v>No</v>
      </c>
      <c r="P1739" s="2902">
        <f>'Part IX A-Scoring Criteria'!P366</f>
        <v>0</v>
      </c>
    </row>
    <row r="1740" spans="1:17">
      <c r="A1740" s="3059" t="s">
        <v>2081</v>
      </c>
      <c r="B1740" s="2912" t="s">
        <v>1510</v>
      </c>
      <c r="D1740" s="521"/>
      <c r="E1740" s="521"/>
      <c r="F1740" s="521"/>
      <c r="G1740" s="521"/>
      <c r="H1740" s="521"/>
      <c r="I1740" s="521"/>
      <c r="J1740" s="521"/>
      <c r="K1740" s="521"/>
      <c r="L1740" s="521"/>
      <c r="M1740" s="2893"/>
      <c r="N1740" s="2981" t="s">
        <v>2081</v>
      </c>
      <c r="O1740" s="2902">
        <f>'Part IX A-Scoring Criteria'!O367</f>
        <v>10</v>
      </c>
      <c r="P1740" s="2902">
        <f>'Part IX A-Scoring Criteria'!P367</f>
        <v>0</v>
      </c>
      <c r="Q1740" s="2696" t="s">
        <v>2876</v>
      </c>
    </row>
    <row r="1741" spans="1:17" ht="15">
      <c r="A1741" s="521"/>
      <c r="B1741" s="2972" t="s">
        <v>267</v>
      </c>
      <c r="C1741" s="521"/>
      <c r="D1741" s="525"/>
      <c r="E1741" s="525"/>
      <c r="F1741" s="525"/>
      <c r="G1741" s="525"/>
      <c r="H1741" s="522"/>
      <c r="I1741" s="522"/>
      <c r="J1741" s="522"/>
      <c r="K1741" s="522"/>
      <c r="L1741" s="3095"/>
      <c r="M1741" s="2893"/>
      <c r="N1741" s="2887"/>
      <c r="O1741" s="3091"/>
      <c r="P1741" s="2889"/>
      <c r="Q1741" s="3095"/>
    </row>
    <row r="1742" spans="1:17" ht="15.75">
      <c r="A1742" s="2947" t="str">
        <f>'Part IX A-Scoring Criteria'!A369</f>
        <v>Performance workbook and supplemental documents included in Tab 20.    Evidence of that Mult-State compliance review forms were sent out are included in Tab 42</v>
      </c>
      <c r="B1742" s="2947"/>
      <c r="C1742" s="2947"/>
      <c r="D1742" s="2947"/>
      <c r="E1742" s="2947"/>
      <c r="F1742" s="2947"/>
      <c r="G1742" s="2947"/>
      <c r="H1742" s="2947"/>
      <c r="I1742" s="2947"/>
      <c r="J1742" s="2947"/>
      <c r="K1742" s="2947"/>
      <c r="L1742" s="2947"/>
      <c r="M1742" s="2947"/>
      <c r="N1742" s="2947"/>
      <c r="O1742" s="2947"/>
      <c r="P1742" s="2947"/>
      <c r="Q1742" s="3096" t="s">
        <v>1314</v>
      </c>
    </row>
    <row r="1743" spans="1:17" ht="15">
      <c r="A1743" s="521"/>
      <c r="B1743" s="2972" t="s">
        <v>1960</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1314</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441</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51</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3311</v>
      </c>
      <c r="J1747" s="2957"/>
      <c r="K1747" s="2957"/>
      <c r="L1747" s="3095"/>
      <c r="N1747" s="2902"/>
      <c r="O1747" s="3212"/>
      <c r="P1747" s="3212">
        <f>P1574</f>
        <v>0</v>
      </c>
      <c r="Q1747" s="521"/>
    </row>
    <row r="1748" spans="1:17" ht="15.75">
      <c r="A1748" s="3095"/>
      <c r="B1748" s="3208"/>
      <c r="C1748" s="3095"/>
      <c r="F1748" s="3090"/>
      <c r="G1748" s="3090"/>
      <c r="H1748" s="521"/>
      <c r="I1748" s="2912" t="s">
        <v>3312</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3313</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3314</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4245</v>
      </c>
    </row>
    <row r="1754" spans="1:17" ht="16.5">
      <c r="A1754" s="3214" t="str">
        <f>'Pt IX B-Innovative Project Narr'!$A$2</f>
        <v>Lakeview Apartments</v>
      </c>
    </row>
    <row r="1755" spans="1:17" ht="16.5">
      <c r="A1755" s="3214" t="str">
        <f>'Pt IX B-Innovative Project Narr'!$A$3</f>
        <v>Fort Valley, Peach County</v>
      </c>
    </row>
    <row r="1756" spans="1:17" ht="16.5">
      <c r="A1756" s="3215" t="str">
        <f>'Pt IX B-Innovative Project Narr'!A4</f>
        <v/>
      </c>
    </row>
    <row r="1758" spans="1:17">
      <c r="A1758" s="3216" t="str">
        <f>'Pt IX B-Innovative Project Narr'!A6</f>
        <v>&lt;&lt; Enter paragraph(s) here. Press and hold Alt-Enter to start new paragraphs. &gt;&gt;</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e05/8A6ehYil+1PJdh08DPGbjDnFrhHA+1u5zJDwt61ez5dCytX70Kvve8pxRg+Sp45c3hmpI7n5hJ3RZOfI7w==" saltValue="Epfz7mqajGjenU3pqHb+T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- 2015-056 Lakeview Apartments, Fort Valley, Peach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4384</v>
      </c>
      <c r="I2" s="1723"/>
      <c r="J2" s="1724"/>
      <c r="K2" s="1263"/>
      <c r="L2" s="1263"/>
      <c r="M2" s="1263"/>
      <c r="N2" s="1263"/>
      <c r="O2" s="1263"/>
      <c r="P2" s="1263"/>
    </row>
    <row r="3" spans="1:16" s="332" customFormat="1" ht="12" customHeight="1" thickBot="1">
      <c r="B3" s="300" t="s">
        <v>2476</v>
      </c>
      <c r="F3" s="333"/>
      <c r="G3" s="1267" t="s">
        <v>460</v>
      </c>
      <c r="L3" s="1263"/>
      <c r="O3" s="1370" t="s">
        <v>2827</v>
      </c>
      <c r="P3" s="1370"/>
    </row>
    <row r="4" spans="1:16" s="332" customFormat="1" ht="12" customHeight="1" thickBot="1">
      <c r="A4" s="548"/>
      <c r="B4" s="334"/>
      <c r="F4" s="335"/>
      <c r="G4" s="1267" t="s">
        <v>461</v>
      </c>
      <c r="H4" s="1222"/>
      <c r="I4" s="1222"/>
      <c r="J4" s="1222"/>
      <c r="O4" s="2195" t="s">
        <v>4540</v>
      </c>
      <c r="P4" s="2196"/>
    </row>
    <row r="5" spans="1:16" s="332" customFormat="1" ht="12" customHeight="1">
      <c r="A5" s="548"/>
      <c r="B5" s="334"/>
      <c r="C5" s="334"/>
      <c r="D5" s="192"/>
      <c r="F5" s="618"/>
      <c r="G5" s="192" t="s">
        <v>3770</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4">
        <f>'Part IV-Uses of Funds'!J173</f>
        <v>1000000</v>
      </c>
      <c r="K7" s="1365"/>
      <c r="M7" s="1222"/>
    </row>
    <row r="8" spans="1:16" s="1" customFormat="1" ht="13.1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4391</v>
      </c>
      <c r="G10" s="2198"/>
      <c r="H10" s="2199"/>
      <c r="I10" s="367"/>
      <c r="J10" s="585" t="s">
        <v>4016</v>
      </c>
      <c r="K10" s="342"/>
      <c r="L10" s="1222"/>
      <c r="O10" s="2200" t="s">
        <v>4392</v>
      </c>
      <c r="P10" s="2201"/>
    </row>
    <row r="11" spans="1:16" s="332" customFormat="1" ht="12.75" customHeight="1">
      <c r="A11" s="548"/>
      <c r="H11" s="1222"/>
      <c r="J11" s="586" t="s">
        <v>2916</v>
      </c>
      <c r="K11" s="300"/>
      <c r="M11" s="1222"/>
      <c r="O11" s="1789" t="s">
        <v>3424</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2" t="s">
        <v>4396</v>
      </c>
      <c r="G15" s="2203"/>
      <c r="H15" s="2203"/>
      <c r="I15" s="2203"/>
      <c r="J15" s="2203"/>
      <c r="K15" s="2203"/>
      <c r="L15" s="2204"/>
      <c r="M15" s="1215" t="s">
        <v>2078</v>
      </c>
      <c r="N15" s="2202" t="s">
        <v>4397</v>
      </c>
      <c r="O15" s="2203"/>
      <c r="P15" s="2204"/>
    </row>
    <row r="16" spans="1:16" s="332" customFormat="1" ht="13.15" customHeight="1">
      <c r="B16" s="337" t="s">
        <v>2079</v>
      </c>
      <c r="F16" s="2202" t="s">
        <v>4395</v>
      </c>
      <c r="G16" s="2203"/>
      <c r="H16" s="2203"/>
      <c r="I16" s="2203"/>
      <c r="J16" s="2203"/>
      <c r="K16" s="2203"/>
      <c r="L16" s="2204"/>
      <c r="M16" s="1215" t="s">
        <v>1808</v>
      </c>
      <c r="O16" s="2205">
        <v>6788161329</v>
      </c>
      <c r="P16" s="2206"/>
    </row>
    <row r="17" spans="1:16" s="332" customFormat="1" ht="13.15" customHeight="1">
      <c r="B17" s="337" t="s">
        <v>649</v>
      </c>
      <c r="F17" s="2207" t="s">
        <v>1264</v>
      </c>
      <c r="G17" s="2208"/>
      <c r="H17" s="2209"/>
      <c r="M17" s="1215" t="s">
        <v>1890</v>
      </c>
      <c r="O17" s="2210">
        <v>6788161299</v>
      </c>
      <c r="P17" s="2211"/>
    </row>
    <row r="18" spans="1:16" s="332" customFormat="1" ht="13.15" customHeight="1">
      <c r="B18" s="337" t="s">
        <v>1887</v>
      </c>
      <c r="F18" s="2212" t="s">
        <v>890</v>
      </c>
      <c r="I18" s="1222" t="s">
        <v>2336</v>
      </c>
      <c r="J18" s="2213">
        <v>303285836</v>
      </c>
      <c r="K18" s="2214"/>
      <c r="M18" s="1215" t="s">
        <v>2077</v>
      </c>
      <c r="O18" s="2210"/>
      <c r="P18" s="2211"/>
    </row>
    <row r="19" spans="1:16" s="332" customFormat="1" ht="13.15" customHeight="1">
      <c r="B19" s="337" t="s">
        <v>1807</v>
      </c>
      <c r="F19" s="2210">
        <v>6788161329</v>
      </c>
      <c r="G19" s="2215"/>
      <c r="H19" s="2211"/>
      <c r="I19" s="1212" t="s">
        <v>1806</v>
      </c>
      <c r="J19" s="2216"/>
      <c r="K19" s="1222" t="s">
        <v>2082</v>
      </c>
      <c r="L19" s="2202" t="s">
        <v>4398</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4399</v>
      </c>
      <c r="G24" s="2218"/>
      <c r="H24" s="2218"/>
      <c r="I24" s="2218"/>
      <c r="J24" s="2218"/>
      <c r="K24" s="2218"/>
      <c r="L24" s="2219"/>
      <c r="M24" s="1215" t="s">
        <v>2295</v>
      </c>
      <c r="O24" s="2202" t="s">
        <v>3424</v>
      </c>
      <c r="P24" s="2204"/>
    </row>
    <row r="25" spans="1:16" s="332" customFormat="1" ht="13.15" customHeight="1">
      <c r="A25" s="343"/>
      <c r="B25" s="332" t="s">
        <v>2861</v>
      </c>
      <c r="D25" s="344"/>
      <c r="F25" s="2202" t="s">
        <v>4400</v>
      </c>
      <c r="G25" s="2203"/>
      <c r="H25" s="2203"/>
      <c r="I25" s="2203"/>
      <c r="J25" s="2203"/>
      <c r="K25" s="2203"/>
      <c r="L25" s="2204"/>
      <c r="M25" s="1215" t="s">
        <v>2151</v>
      </c>
      <c r="O25" s="2202" t="s">
        <v>3424</v>
      </c>
      <c r="P25" s="2204"/>
    </row>
    <row r="26" spans="1:16" s="332" customFormat="1" ht="13.15" customHeight="1">
      <c r="A26" s="343"/>
      <c r="B26" s="332" t="s">
        <v>2919</v>
      </c>
      <c r="D26" s="344"/>
      <c r="F26" s="2202"/>
      <c r="G26" s="2203"/>
      <c r="H26" s="2203"/>
      <c r="I26" s="2203"/>
      <c r="J26" s="2203"/>
      <c r="K26" s="2203"/>
      <c r="L26" s="2204"/>
      <c r="M26" s="1215" t="s">
        <v>2920</v>
      </c>
      <c r="O26" s="2220"/>
      <c r="P26" s="2221"/>
    </row>
    <row r="27" spans="1:16" s="332" customFormat="1" ht="13.15" customHeight="1">
      <c r="A27" s="343"/>
      <c r="B27" s="332" t="s">
        <v>3086</v>
      </c>
      <c r="D27" s="344"/>
      <c r="F27" s="2202" t="s">
        <v>4401</v>
      </c>
      <c r="G27" s="2203"/>
      <c r="H27" s="2203"/>
      <c r="I27" s="2203"/>
      <c r="J27" s="2203"/>
      <c r="K27" s="2203"/>
      <c r="L27" s="2204"/>
      <c r="M27" s="1215" t="s">
        <v>2392</v>
      </c>
      <c r="O27" s="2222">
        <v>12.04</v>
      </c>
      <c r="P27" s="2223"/>
    </row>
    <row r="28" spans="1:16" s="332" customFormat="1" ht="13.15" customHeight="1">
      <c r="A28" s="548"/>
      <c r="B28" s="332" t="s">
        <v>649</v>
      </c>
      <c r="F28" s="2202" t="s">
        <v>243</v>
      </c>
      <c r="G28" s="2203"/>
      <c r="H28" s="2204"/>
      <c r="I28" s="1264" t="s">
        <v>2862</v>
      </c>
      <c r="J28" s="2213">
        <v>310302916</v>
      </c>
      <c r="K28" s="2214"/>
      <c r="L28" s="402" t="str">
        <f>IF(AND(NOT(F24=""),NOT(F28="Select from list"),J28=""),"Enter Zip!","")</f>
        <v/>
      </c>
      <c r="M28" s="1266" t="s">
        <v>3327</v>
      </c>
      <c r="O28" s="2224" t="s">
        <v>4402</v>
      </c>
      <c r="P28" s="2225"/>
    </row>
    <row r="29" spans="1:16" s="332" customFormat="1" ht="13.15" customHeight="1">
      <c r="A29" s="548"/>
      <c r="B29" s="1220" t="s">
        <v>4380</v>
      </c>
      <c r="D29" s="1220"/>
      <c r="F29" s="2226" t="s">
        <v>4426</v>
      </c>
      <c r="G29" s="2227"/>
      <c r="H29" s="2228"/>
      <c r="I29" s="345" t="s">
        <v>650</v>
      </c>
      <c r="J29" s="2229" t="str">
        <f>IF($F$28="","",VLOOKUP($F$28,'DCA Underwriting Assumptions'!$R$127:$S$757,2,FALSE))</f>
        <v>Peach</v>
      </c>
      <c r="K29" s="2230"/>
      <c r="M29" s="1215" t="s">
        <v>470</v>
      </c>
      <c r="N29" s="2231" t="s">
        <v>3421</v>
      </c>
      <c r="O29" s="339" t="s">
        <v>471</v>
      </c>
      <c r="P29" s="2231" t="s">
        <v>3421</v>
      </c>
    </row>
    <row r="30" spans="1:16" s="332" customFormat="1" ht="13.15" customHeight="1">
      <c r="A30" s="548"/>
      <c r="B30" s="334"/>
      <c r="C30" s="332" t="s">
        <v>1635</v>
      </c>
      <c r="F30" s="2232" t="s">
        <v>3421</v>
      </c>
      <c r="G30" s="1368" t="s">
        <v>3087</v>
      </c>
      <c r="H30" s="1369"/>
      <c r="I30" s="593" t="str">
        <f>IF($J$29="","",IF(VLOOKUP($J$29,'DCA Underwriting Assumptions'!G127:M286,7,FALSE)="Rural","Yes",IF(VLOOKUP($J$29,'DCA Underwriting Assumptions'!G127:M286,7,FALSE)="Urban","No","")))</f>
        <v>Yes</v>
      </c>
      <c r="J30" s="1212" t="s">
        <v>3108</v>
      </c>
      <c r="K30" s="1212" t="str">
        <f>IF(OR(F30="Yes",I30="Yes"),"Rural","Urban")</f>
        <v>Rural</v>
      </c>
      <c r="M30" s="1215" t="s">
        <v>2739</v>
      </c>
      <c r="N30" s="472" t="str">
        <f>VLOOKUP($J$29,'DCA Underwriting Assumptions'!$G$127:$J$286,4)</f>
        <v>Non-MSA</v>
      </c>
      <c r="O30" s="2233" t="str">
        <f>IF($F$28="","",VLOOKUP($J$29,'DCA Underwriting Assumptions'!$G$127:$L$286,3,FALSE))</f>
        <v>Peach Co.</v>
      </c>
      <c r="P30" s="2234"/>
    </row>
    <row r="31" spans="1:16" s="332" customFormat="1" ht="3" customHeight="1">
      <c r="A31" s="548"/>
      <c r="B31" s="334"/>
      <c r="C31" s="334"/>
      <c r="I31" s="337"/>
      <c r="J31" s="1220"/>
      <c r="L31" s="1229"/>
      <c r="M31" s="1229"/>
      <c r="N31" s="1229"/>
      <c r="O31" s="1229"/>
      <c r="P31" s="1229"/>
    </row>
    <row r="32" spans="1:16" s="332" customFormat="1" ht="13.15" customHeight="1">
      <c r="A32" s="548"/>
      <c r="C32" s="332" t="s">
        <v>2930</v>
      </c>
      <c r="F32" s="1363" t="s">
        <v>3032</v>
      </c>
      <c r="G32" s="1363"/>
      <c r="H32" s="1362" t="s">
        <v>776</v>
      </c>
      <c r="I32" s="1362"/>
      <c r="J32" s="1362" t="s">
        <v>777</v>
      </c>
      <c r="K32" s="1362"/>
      <c r="L32" s="579" t="s">
        <v>2863</v>
      </c>
    </row>
    <row r="33" spans="1:17" s="332" customFormat="1" ht="13.15" customHeight="1">
      <c r="A33" s="548"/>
      <c r="B33" s="332" t="s">
        <v>3031</v>
      </c>
      <c r="D33" s="334"/>
      <c r="F33" s="2235">
        <v>2</v>
      </c>
      <c r="G33" s="2236"/>
      <c r="H33" s="2235">
        <v>18</v>
      </c>
      <c r="I33" s="2236"/>
      <c r="J33" s="2235">
        <v>139</v>
      </c>
      <c r="K33" s="2236"/>
      <c r="L33" s="575" t="s">
        <v>1344</v>
      </c>
      <c r="N33" s="1355" t="s">
        <v>1345</v>
      </c>
      <c r="O33" s="1355"/>
      <c r="P33" s="1355"/>
    </row>
    <row r="34" spans="1:17" s="332" customFormat="1" ht="12.75" customHeight="1">
      <c r="A34" s="548"/>
      <c r="B34" s="337" t="s">
        <v>778</v>
      </c>
      <c r="F34" s="2235"/>
      <c r="G34" s="2236"/>
      <c r="H34" s="2235"/>
      <c r="I34" s="2236"/>
      <c r="J34" s="2235"/>
      <c r="K34" s="2236"/>
      <c r="L34" s="575" t="s">
        <v>3030</v>
      </c>
      <c r="N34" s="1356" t="s">
        <v>3029</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7" t="s">
        <v>4403</v>
      </c>
      <c r="G36" s="2238"/>
      <c r="H36" s="2238"/>
      <c r="I36" s="2238"/>
      <c r="J36" s="2239"/>
      <c r="K36" s="2240"/>
      <c r="M36" s="1269" t="s">
        <v>2874</v>
      </c>
      <c r="N36" s="2226" t="s">
        <v>4404</v>
      </c>
      <c r="O36" s="2227"/>
      <c r="P36" s="2228"/>
    </row>
    <row r="37" spans="1:17" s="332" customFormat="1" ht="13.15" customHeight="1">
      <c r="A37" s="548"/>
      <c r="B37" s="332" t="s">
        <v>669</v>
      </c>
      <c r="F37" s="2241" t="s">
        <v>4406</v>
      </c>
      <c r="G37" s="2242"/>
      <c r="H37" s="2243"/>
      <c r="I37" s="1213" t="s">
        <v>2078</v>
      </c>
      <c r="J37" s="2226" t="s">
        <v>4405</v>
      </c>
      <c r="K37" s="2227"/>
      <c r="L37" s="2228"/>
      <c r="M37" s="337" t="s">
        <v>1888</v>
      </c>
      <c r="N37" s="2241" t="s">
        <v>4407</v>
      </c>
      <c r="O37" s="2242"/>
      <c r="P37" s="2243"/>
    </row>
    <row r="38" spans="1:17" s="332" customFormat="1" ht="13.15" customHeight="1">
      <c r="A38" s="548"/>
      <c r="B38" s="332" t="s">
        <v>2079</v>
      </c>
      <c r="F38" s="2241" t="s">
        <v>4408</v>
      </c>
      <c r="G38" s="2242"/>
      <c r="H38" s="2242"/>
      <c r="I38" s="2242"/>
      <c r="J38" s="2244"/>
      <c r="K38" s="2245"/>
      <c r="M38" s="366" t="s">
        <v>649</v>
      </c>
      <c r="N38" s="2226" t="s">
        <v>243</v>
      </c>
      <c r="O38" s="2227"/>
      <c r="P38" s="2228"/>
    </row>
    <row r="39" spans="1:17" s="332" customFormat="1" ht="13.15" customHeight="1">
      <c r="A39" s="548"/>
      <c r="B39" s="1215" t="s">
        <v>2336</v>
      </c>
      <c r="F39" s="2246">
        <v>310303750</v>
      </c>
      <c r="G39" s="2247"/>
      <c r="H39" s="1212" t="s">
        <v>2080</v>
      </c>
      <c r="I39" s="2248">
        <v>4788258567</v>
      </c>
      <c r="J39" s="2249"/>
      <c r="K39" s="2250"/>
      <c r="M39" s="337" t="s">
        <v>1890</v>
      </c>
      <c r="N39" s="2251">
        <v>4788253654</v>
      </c>
      <c r="O39" s="225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0</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96</v>
      </c>
      <c r="I46" s="550" t="s">
        <v>3335</v>
      </c>
      <c r="K46" s="332" t="s">
        <v>361</v>
      </c>
      <c r="P46" s="2253">
        <v>26298</v>
      </c>
      <c r="Q46" s="1222"/>
    </row>
    <row r="47" spans="1:17" s="332" customFormat="1" ht="3.6" customHeight="1">
      <c r="A47" s="548"/>
      <c r="P47" s="1220"/>
    </row>
    <row r="48" spans="1:17" s="332" customFormat="1" ht="12.75">
      <c r="A48" s="548"/>
      <c r="B48" s="548" t="s">
        <v>2084</v>
      </c>
      <c r="C48" s="334" t="s">
        <v>2405</v>
      </c>
      <c r="H48" s="2216"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4360</v>
      </c>
      <c r="J50" s="343" t="s">
        <v>2216</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96</v>
      </c>
      <c r="I51" s="922">
        <f>SUM(I52:I53)</f>
        <v>96</v>
      </c>
      <c r="J51" s="548"/>
      <c r="K51" s="1265" t="s">
        <v>3078</v>
      </c>
      <c r="M51" s="1220"/>
      <c r="N51" s="1220"/>
      <c r="O51" s="1220"/>
      <c r="P51" s="1181">
        <f>'Part VI-Revenues &amp; Expenses'!$M$116</f>
        <v>89158</v>
      </c>
    </row>
    <row r="52" spans="1:19" s="332" customFormat="1" ht="13.15" customHeight="1">
      <c r="A52" s="548"/>
      <c r="B52" s="348"/>
      <c r="D52" s="353" t="s">
        <v>399</v>
      </c>
      <c r="E52" s="1220"/>
      <c r="H52" s="1181">
        <f>'Part VI-Revenues &amp; Expenses'!$M$57</f>
        <v>21</v>
      </c>
      <c r="I52" s="1181">
        <f>'Part VI-Revenues &amp; Expenses'!$M$65</f>
        <v>21</v>
      </c>
      <c r="K52" s="1265" t="s">
        <v>3079</v>
      </c>
      <c r="M52" s="1220"/>
      <c r="N52" s="1220"/>
      <c r="O52" s="1220"/>
      <c r="P52" s="1182">
        <f>'Part VI-Revenues &amp; Expenses'!$M$117</f>
        <v>0</v>
      </c>
    </row>
    <row r="53" spans="1:19" s="332" customFormat="1" ht="13.15" customHeight="1">
      <c r="A53" s="548"/>
      <c r="D53" s="353" t="s">
        <v>1913</v>
      </c>
      <c r="E53" s="353"/>
      <c r="H53" s="1182">
        <f>'Part VI-Revenues &amp; Expenses'!$M$56</f>
        <v>75</v>
      </c>
      <c r="I53" s="1182">
        <f>'Part VI-Revenues &amp; Expenses'!$M$64</f>
        <v>75</v>
      </c>
      <c r="K53" s="1265" t="s">
        <v>3080</v>
      </c>
      <c r="M53" s="1220"/>
      <c r="N53" s="1220"/>
      <c r="O53" s="1220"/>
      <c r="P53" s="352">
        <f>P51+P52</f>
        <v>89158</v>
      </c>
    </row>
    <row r="54" spans="1:19" s="332" customFormat="1" ht="13.15" customHeight="1">
      <c r="A54" s="548"/>
      <c r="C54" s="1265" t="s">
        <v>264</v>
      </c>
      <c r="D54" s="1220"/>
      <c r="E54" s="1220"/>
      <c r="H54" s="352">
        <f>'Part VI-Revenues &amp; Expenses'!$M$59</f>
        <v>0</v>
      </c>
      <c r="J54" s="548"/>
      <c r="K54" s="1265" t="s">
        <v>3081</v>
      </c>
      <c r="M54" s="1220"/>
      <c r="N54" s="1220"/>
      <c r="O54" s="1220"/>
      <c r="P54" s="352">
        <f>'Part VI-Revenues &amp; Expenses'!$M$119</f>
        <v>0</v>
      </c>
    </row>
    <row r="55" spans="1:19" s="332" customFormat="1" ht="13.15" customHeight="1">
      <c r="A55" s="548"/>
      <c r="C55" s="1265" t="s">
        <v>2527</v>
      </c>
      <c r="D55" s="1220"/>
      <c r="E55" s="1220"/>
      <c r="H55" s="352">
        <f>H51+H54</f>
        <v>96</v>
      </c>
      <c r="J55" s="548"/>
      <c r="K55" s="1265" t="s">
        <v>1491</v>
      </c>
      <c r="M55" s="1220"/>
      <c r="N55" s="1220"/>
      <c r="O55" s="1220"/>
      <c r="P55" s="352">
        <f>+P53+P54</f>
        <v>89158</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96</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2095</v>
      </c>
      <c r="G59" s="1220"/>
      <c r="H59" s="2254">
        <v>6</v>
      </c>
      <c r="K59" s="1265" t="s">
        <v>1178</v>
      </c>
      <c r="O59" s="1220"/>
      <c r="P59" s="2254">
        <v>20000</v>
      </c>
    </row>
    <row r="60" spans="1:19" s="332" customFormat="1" ht="13.15" customHeight="1">
      <c r="A60" s="548"/>
      <c r="B60" s="548"/>
      <c r="D60" s="1214" t="s">
        <v>2096</v>
      </c>
      <c r="H60" s="2254">
        <v>1</v>
      </c>
      <c r="I60" s="1220"/>
      <c r="K60" s="1265" t="s">
        <v>263</v>
      </c>
      <c r="O60" s="1220"/>
      <c r="P60" s="352">
        <f>+P55+P59</f>
        <v>109158</v>
      </c>
    </row>
    <row r="61" spans="1:19" s="332" customFormat="1" ht="13.15" customHeight="1">
      <c r="A61" s="548"/>
      <c r="B61" s="548"/>
      <c r="D61" s="1214" t="s">
        <v>2097</v>
      </c>
      <c r="H61" s="352">
        <f>+H59+H60</f>
        <v>7</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3182</v>
      </c>
      <c r="D63" s="1220"/>
      <c r="E63" s="1220"/>
      <c r="F63" s="1220"/>
      <c r="G63" s="1220"/>
      <c r="H63" s="2254">
        <v>145</v>
      </c>
      <c r="K63" s="332" t="s">
        <v>3185</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2081</v>
      </c>
      <c r="C67" s="300" t="s">
        <v>2853</v>
      </c>
      <c r="D67" s="1217"/>
      <c r="E67" s="1217"/>
      <c r="F67" s="1220"/>
      <c r="G67" s="1222"/>
      <c r="H67" s="2255" t="s">
        <v>3336</v>
      </c>
      <c r="I67" s="2256"/>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3771</v>
      </c>
      <c r="L69" s="1376"/>
      <c r="M69" s="355" t="s">
        <v>3336</v>
      </c>
      <c r="N69" s="2254"/>
      <c r="O69" s="355" t="s">
        <v>3337</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3338</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2084</v>
      </c>
      <c r="C73" s="342" t="s">
        <v>1482</v>
      </c>
      <c r="D73" s="1220"/>
      <c r="E73" s="353"/>
      <c r="F73" s="1214" t="s">
        <v>838</v>
      </c>
      <c r="H73" s="2254">
        <v>5</v>
      </c>
      <c r="K73" s="1354" t="s">
        <v>544</v>
      </c>
      <c r="L73" s="1354"/>
      <c r="P73" s="356">
        <f>IF('Part VI-Revenues &amp; Expenses'!$M$62=0,0,H73/'Part VI-Revenues &amp; Expenses'!$M$62)</f>
        <v>5.2083333333333336E-2</v>
      </c>
    </row>
    <row r="74" spans="1:16" s="332" customFormat="1" ht="12.75" customHeight="1">
      <c r="A74" s="548"/>
      <c r="B74" s="548"/>
      <c r="D74" s="1214" t="s">
        <v>3180</v>
      </c>
      <c r="E74" s="1214"/>
      <c r="F74" s="1214" t="s">
        <v>838</v>
      </c>
      <c r="H74" s="2254">
        <v>5</v>
      </c>
      <c r="K74" s="1220" t="s">
        <v>3181</v>
      </c>
      <c r="L74" s="1220"/>
      <c r="P74" s="356">
        <f>IF(H73=0,0,H74/H73)</f>
        <v>1</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1936</v>
      </c>
      <c r="D76" s="353"/>
      <c r="E76" s="353"/>
      <c r="F76" s="1214" t="s">
        <v>838</v>
      </c>
      <c r="H76" s="2254">
        <v>2</v>
      </c>
      <c r="K76" s="1354" t="s">
        <v>544</v>
      </c>
      <c r="L76" s="1354"/>
      <c r="P76" s="356">
        <f>IF('Part VI-Revenues &amp; Expenses'!$M$62=0,0,H76/'Part VI-Revenues &amp; Expenses'!$M$62)</f>
        <v>2.0833333333333332E-2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2081</v>
      </c>
      <c r="C80" s="300" t="s">
        <v>2490</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2084</v>
      </c>
      <c r="C82" s="334" t="s">
        <v>1610</v>
      </c>
      <c r="K82" s="337" t="s">
        <v>911</v>
      </c>
      <c r="N82" s="358"/>
      <c r="P82" s="2216"/>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2142</v>
      </c>
      <c r="D84" s="1214"/>
    </row>
    <row r="85" spans="1:16" s="332" customFormat="1" ht="3" customHeight="1">
      <c r="A85" s="548"/>
      <c r="B85" s="548"/>
      <c r="D85" s="1214"/>
      <c r="N85" s="1220"/>
      <c r="P85" s="341"/>
    </row>
    <row r="86" spans="1:16" s="332" customFormat="1" ht="13.15" customHeight="1">
      <c r="A86" s="357"/>
      <c r="B86" s="548" t="s">
        <v>2081</v>
      </c>
      <c r="C86" s="334" t="s">
        <v>2879</v>
      </c>
      <c r="F86" s="353" t="s">
        <v>2728</v>
      </c>
      <c r="H86" s="2216" t="s">
        <v>3424</v>
      </c>
      <c r="K86" s="353" t="s">
        <v>3990</v>
      </c>
      <c r="M86" s="2216" t="s">
        <v>3424</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2084</v>
      </c>
      <c r="C88" s="334" t="s">
        <v>2880</v>
      </c>
      <c r="F88" s="1215" t="s">
        <v>2820</v>
      </c>
      <c r="H88" s="2216"/>
      <c r="J88" s="1222"/>
      <c r="K88" s="1262" t="s">
        <v>2881</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3089</v>
      </c>
      <c r="D90" s="1214"/>
      <c r="H90" s="2226" t="s">
        <v>2727</v>
      </c>
      <c r="I90" s="2228"/>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2"/>
      <c r="F94" s="2203"/>
      <c r="G94" s="2203"/>
      <c r="H94" s="2203"/>
      <c r="I94" s="2203"/>
      <c r="J94" s="2203"/>
      <c r="K94" s="2203"/>
      <c r="L94" s="2204"/>
      <c r="M94" s="1353" t="s">
        <v>577</v>
      </c>
      <c r="N94" s="1353"/>
      <c r="O94" s="2260"/>
      <c r="P94" s="2261"/>
    </row>
    <row r="95" spans="1:16" s="332" customFormat="1" ht="13.15" customHeight="1">
      <c r="C95" s="337" t="s">
        <v>1071</v>
      </c>
      <c r="D95" s="344"/>
      <c r="E95" s="2202"/>
      <c r="F95" s="2203"/>
      <c r="G95" s="2203"/>
      <c r="H95" s="2203"/>
      <c r="I95" s="2203"/>
      <c r="J95" s="2203"/>
      <c r="K95" s="2203"/>
      <c r="L95" s="2204"/>
      <c r="M95" s="1353" t="s">
        <v>850</v>
      </c>
      <c r="N95" s="1353"/>
      <c r="O95" s="2217"/>
      <c r="P95" s="2219"/>
    </row>
    <row r="96" spans="1:16" s="332" customFormat="1" ht="13.15" customHeight="1">
      <c r="C96" s="337" t="s">
        <v>649</v>
      </c>
      <c r="E96" s="2202"/>
      <c r="F96" s="2262"/>
      <c r="G96" s="2263"/>
      <c r="H96" s="1212" t="s">
        <v>1887</v>
      </c>
      <c r="I96" s="2216"/>
      <c r="J96" s="359" t="s">
        <v>2336</v>
      </c>
      <c r="K96" s="2213"/>
      <c r="L96" s="2263"/>
      <c r="M96" s="302"/>
      <c r="N96" s="302"/>
      <c r="O96" s="302"/>
      <c r="P96" s="302"/>
    </row>
    <row r="97" spans="1:16" s="332" customFormat="1" ht="13.15" customHeight="1">
      <c r="C97" s="332" t="s">
        <v>2297</v>
      </c>
      <c r="E97" s="2202"/>
      <c r="F97" s="2262"/>
      <c r="G97" s="2263"/>
      <c r="H97" s="1222" t="s">
        <v>2078</v>
      </c>
      <c r="I97" s="2202"/>
      <c r="J97" s="2262"/>
      <c r="K97" s="2263"/>
      <c r="L97" s="1231" t="s">
        <v>2082</v>
      </c>
      <c r="M97" s="2202"/>
      <c r="N97" s="2262"/>
      <c r="O97" s="2262"/>
      <c r="P97" s="2263"/>
    </row>
    <row r="98" spans="1:16" s="332" customFormat="1" ht="13.15" customHeight="1">
      <c r="C98" s="337" t="s">
        <v>2296</v>
      </c>
      <c r="E98" s="2210"/>
      <c r="F98" s="2215"/>
      <c r="G98" s="2211"/>
      <c r="H98" s="1222" t="s">
        <v>1890</v>
      </c>
      <c r="I98" s="2248"/>
      <c r="J98" s="2263"/>
      <c r="K98" s="359" t="s">
        <v>1891</v>
      </c>
      <c r="L98" s="2248"/>
      <c r="M98" s="2263"/>
      <c r="N98" s="359" t="s">
        <v>2077</v>
      </c>
      <c r="O98" s="2248"/>
      <c r="P98" s="2263"/>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7" t="s">
        <v>1483</v>
      </c>
      <c r="D104" s="1214"/>
      <c r="E104" s="1214"/>
      <c r="F104" s="1222"/>
      <c r="G104" s="1222"/>
      <c r="H104" s="2264">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7" t="s">
        <v>430</v>
      </c>
      <c r="D106" s="1214"/>
      <c r="E106" s="1214"/>
      <c r="F106" s="1222"/>
      <c r="G106" s="1222"/>
      <c r="H106" s="2265">
        <v>1000000</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2236</v>
      </c>
      <c r="D109" s="1214"/>
      <c r="F109" s="1214" t="s">
        <v>1188</v>
      </c>
      <c r="G109" s="1222"/>
      <c r="H109" s="1222"/>
      <c r="I109" s="1222"/>
      <c r="J109" s="1214" t="s">
        <v>2236</v>
      </c>
      <c r="K109" s="1214"/>
      <c r="M109" s="1214" t="s">
        <v>1188</v>
      </c>
      <c r="N109" s="1222"/>
      <c r="O109" s="1222"/>
      <c r="P109" s="1222"/>
    </row>
    <row r="110" spans="1:16" s="332" customFormat="1" ht="13.15" customHeight="1">
      <c r="A110" s="548"/>
      <c r="B110" s="548"/>
      <c r="C110" s="2266" t="s">
        <v>4409</v>
      </c>
      <c r="D110" s="2267"/>
      <c r="E110" s="2267"/>
      <c r="F110" s="2267" t="s">
        <v>1105</v>
      </c>
      <c r="G110" s="2267"/>
      <c r="H110" s="2267"/>
      <c r="I110" s="2268"/>
      <c r="J110" s="2266">
        <v>6</v>
      </c>
      <c r="K110" s="2267"/>
      <c r="L110" s="2267"/>
      <c r="M110" s="2267"/>
      <c r="N110" s="2267"/>
      <c r="O110" s="2267"/>
      <c r="P110" s="2268"/>
    </row>
    <row r="111" spans="1:16" s="332" customFormat="1" ht="13.15" customHeight="1">
      <c r="A111" s="548"/>
      <c r="B111" s="548"/>
      <c r="C111" s="2269" t="s">
        <v>4410</v>
      </c>
      <c r="D111" s="2270"/>
      <c r="E111" s="2270"/>
      <c r="F111" s="2270" t="s">
        <v>1105</v>
      </c>
      <c r="G111" s="2270"/>
      <c r="H111" s="2270"/>
      <c r="I111" s="2271"/>
      <c r="J111" s="2269">
        <v>7</v>
      </c>
      <c r="K111" s="2270"/>
      <c r="L111" s="2270"/>
      <c r="M111" s="2270"/>
      <c r="N111" s="2270"/>
      <c r="O111" s="2270"/>
      <c r="P111" s="2271"/>
    </row>
    <row r="112" spans="1:16" s="332" customFormat="1" ht="13.15" customHeight="1">
      <c r="A112" s="548"/>
      <c r="B112" s="548"/>
      <c r="C112" s="2269" t="s">
        <v>4411</v>
      </c>
      <c r="D112" s="2270"/>
      <c r="E112" s="2270"/>
      <c r="F112" s="2270" t="s">
        <v>1105</v>
      </c>
      <c r="G112" s="2270"/>
      <c r="H112" s="2270"/>
      <c r="I112" s="2271"/>
      <c r="J112" s="2269">
        <v>8</v>
      </c>
      <c r="K112" s="2270"/>
      <c r="L112" s="2270"/>
      <c r="M112" s="2270"/>
      <c r="N112" s="2270"/>
      <c r="O112" s="2270"/>
      <c r="P112" s="2271"/>
    </row>
    <row r="113" spans="1:16" s="332" customFormat="1" ht="13.15" customHeight="1">
      <c r="A113" s="548"/>
      <c r="B113" s="548"/>
      <c r="C113" s="2269" t="s">
        <v>4412</v>
      </c>
      <c r="D113" s="2270"/>
      <c r="E113" s="2270"/>
      <c r="F113" s="2270" t="s">
        <v>1105</v>
      </c>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2" t="s">
        <v>1940</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2236</v>
      </c>
      <c r="D118" s="1214"/>
      <c r="F118" s="1214" t="s">
        <v>1188</v>
      </c>
      <c r="G118" s="1222"/>
      <c r="H118" s="1222"/>
      <c r="I118" s="1222"/>
      <c r="J118" s="1214" t="s">
        <v>2236</v>
      </c>
      <c r="K118" s="1214"/>
      <c r="M118" s="1214" t="s">
        <v>1188</v>
      </c>
      <c r="N118" s="1222"/>
      <c r="O118" s="1222"/>
      <c r="P118" s="1222"/>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16" t="s">
        <v>3421</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2081</v>
      </c>
      <c r="C127" s="338" t="s">
        <v>1798</v>
      </c>
      <c r="H127" s="2216" t="s">
        <v>3424</v>
      </c>
      <c r="M127" s="1222"/>
      <c r="N127" s="1220"/>
      <c r="O127" s="1220"/>
      <c r="P127" s="341"/>
    </row>
    <row r="128" spans="1:16" s="332" customFormat="1" ht="13.15" customHeight="1">
      <c r="A128" s="548"/>
      <c r="B128" s="548"/>
      <c r="C128" s="1214" t="s">
        <v>2541</v>
      </c>
      <c r="D128" s="1214"/>
      <c r="E128" s="1214"/>
      <c r="F128" s="1222"/>
      <c r="H128" s="2275"/>
      <c r="N128" s="1220"/>
      <c r="O128" s="1220"/>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4" t="s">
        <v>2542</v>
      </c>
      <c r="D130" s="1214"/>
      <c r="E130" s="1214"/>
      <c r="F130" s="1222"/>
      <c r="H130" s="2275"/>
      <c r="K130" s="302" t="s">
        <v>2354</v>
      </c>
      <c r="O130" s="2202" t="s">
        <v>506</v>
      </c>
      <c r="P130" s="2204"/>
    </row>
    <row r="131" spans="1:16" s="332" customFormat="1" ht="13.15" customHeight="1">
      <c r="A131" s="548"/>
      <c r="B131" s="548"/>
      <c r="C131" s="1214" t="s">
        <v>2540</v>
      </c>
      <c r="F131" s="1222"/>
      <c r="H131" s="2264"/>
      <c r="K131" s="302" t="s">
        <v>2355</v>
      </c>
      <c r="O131" s="2202" t="s">
        <v>506</v>
      </c>
      <c r="P131" s="2204"/>
    </row>
    <row r="132" spans="1:16" s="332" customFormat="1" ht="13.15" customHeight="1">
      <c r="A132" s="548"/>
      <c r="B132" s="548"/>
      <c r="C132" s="1214" t="s">
        <v>2268</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2084</v>
      </c>
      <c r="C134" s="1217" t="s">
        <v>2613</v>
      </c>
      <c r="D134" s="1214"/>
      <c r="E134" s="1214"/>
      <c r="F134" s="1222"/>
      <c r="H134" s="2264" t="s">
        <v>3424</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2864</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4" t="s">
        <v>3424</v>
      </c>
      <c r="K137" s="1214" t="s">
        <v>1611</v>
      </c>
      <c r="L137" s="1214"/>
      <c r="M137" s="1222"/>
      <c r="N137" s="1222"/>
      <c r="O137" s="2264" t="s">
        <v>3424</v>
      </c>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2081</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4" t="s">
        <v>3424</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2"/>
      <c r="F145" s="2203"/>
      <c r="G145" s="2203"/>
      <c r="H145" s="2203"/>
      <c r="I145" s="2203"/>
      <c r="J145" s="2203"/>
      <c r="K145" s="2204"/>
      <c r="L145" s="364" t="s">
        <v>1885</v>
      </c>
      <c r="M145" s="2202"/>
      <c r="N145" s="2203"/>
      <c r="O145" s="2203"/>
      <c r="P145" s="2204"/>
    </row>
    <row r="146" spans="1:16" s="332" customFormat="1" ht="12.6" customHeight="1">
      <c r="A146" s="548"/>
      <c r="B146" s="548"/>
      <c r="C146" s="337" t="s">
        <v>1886</v>
      </c>
      <c r="D146" s="344"/>
      <c r="E146" s="2202"/>
      <c r="F146" s="2203"/>
      <c r="G146" s="2203"/>
      <c r="H146" s="2203"/>
      <c r="I146" s="2203"/>
      <c r="J146" s="2203"/>
      <c r="K146" s="2276"/>
      <c r="L146" s="1215" t="s">
        <v>1888</v>
      </c>
      <c r="M146" s="2217"/>
      <c r="N146" s="2218"/>
      <c r="O146" s="2218"/>
      <c r="P146" s="2219"/>
    </row>
    <row r="147" spans="1:16" s="332" customFormat="1" ht="12.6" customHeight="1">
      <c r="A147" s="548"/>
      <c r="B147" s="548"/>
      <c r="C147" s="337" t="s">
        <v>649</v>
      </c>
      <c r="E147" s="2202"/>
      <c r="F147" s="2203"/>
      <c r="G147" s="2203"/>
      <c r="H147" s="2204"/>
      <c r="I147" s="359" t="s">
        <v>2336</v>
      </c>
      <c r="J147" s="2213"/>
      <c r="K147" s="2214"/>
      <c r="L147" s="364" t="s">
        <v>1891</v>
      </c>
      <c r="M147" s="2210"/>
      <c r="N147" s="2215"/>
      <c r="O147" s="2211"/>
    </row>
    <row r="148" spans="1:16" s="332" customFormat="1" ht="12.6" customHeight="1">
      <c r="A148" s="548"/>
      <c r="B148" s="548"/>
      <c r="C148" s="337" t="s">
        <v>1889</v>
      </c>
      <c r="E148" s="2210"/>
      <c r="F148" s="2215"/>
      <c r="G148" s="2211"/>
      <c r="H148" s="365" t="s">
        <v>1890</v>
      </c>
      <c r="I148" s="2210"/>
      <c r="J148" s="2215"/>
      <c r="K148" s="2211"/>
      <c r="L148" s="366" t="s">
        <v>2077</v>
      </c>
      <c r="M148" s="2210"/>
      <c r="N148" s="2215"/>
      <c r="O148" s="2211"/>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2084</v>
      </c>
      <c r="C150" s="1217" t="s">
        <v>2872</v>
      </c>
      <c r="D150" s="1217"/>
      <c r="E150" s="1217"/>
      <c r="F150" s="1217"/>
      <c r="G150" s="1217"/>
      <c r="I150" s="2264" t="s">
        <v>3424</v>
      </c>
      <c r="J150" s="1374" t="s">
        <v>802</v>
      </c>
      <c r="K150" s="1375"/>
      <c r="L150" s="2264"/>
      <c r="M150" s="1371" t="s">
        <v>2435</v>
      </c>
      <c r="N150" s="1372"/>
      <c r="O150" s="1373"/>
      <c r="P150" s="2275"/>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2873</v>
      </c>
      <c r="D152" s="1217"/>
      <c r="E152" s="1217"/>
      <c r="F152" s="1217"/>
      <c r="G152" s="1217"/>
      <c r="I152" s="2264" t="s">
        <v>3421</v>
      </c>
      <c r="J152" s="1374" t="s">
        <v>802</v>
      </c>
      <c r="K152" s="1375"/>
      <c r="L152" s="2264">
        <v>2032</v>
      </c>
      <c r="M152" s="1371" t="s">
        <v>2435</v>
      </c>
      <c r="N152" s="1372"/>
      <c r="O152" s="1373"/>
      <c r="P152" s="2275">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4"/>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2216</v>
      </c>
      <c r="C156" s="1358" t="s">
        <v>2076</v>
      </c>
      <c r="D156" s="1358"/>
      <c r="E156" s="1358"/>
      <c r="F156" s="1358"/>
      <c r="G156" s="1217"/>
      <c r="I156" s="2264" t="s">
        <v>3421</v>
      </c>
      <c r="J156" s="369" t="s">
        <v>3017</v>
      </c>
      <c r="L156" s="1357" t="s">
        <v>1551</v>
      </c>
      <c r="M156" s="1357"/>
      <c r="N156" s="1217"/>
      <c r="O156" s="1217"/>
      <c r="P156" s="2277">
        <v>96</v>
      </c>
    </row>
    <row r="157" spans="1:16" s="332" customFormat="1" ht="12.6" customHeight="1">
      <c r="B157" s="548"/>
      <c r="L157" s="1354" t="s">
        <v>839</v>
      </c>
      <c r="M157" s="1354"/>
      <c r="N157" s="1217"/>
      <c r="O157" s="1217"/>
      <c r="P157" s="2277">
        <v>88</v>
      </c>
    </row>
    <row r="158" spans="1:16" s="332" customFormat="1" ht="12.6" customHeight="1">
      <c r="A158" s="548"/>
      <c r="B158" s="548"/>
      <c r="L158" s="1354" t="s">
        <v>1879</v>
      </c>
      <c r="M158" s="1354"/>
      <c r="N158" s="1217"/>
      <c r="O158" s="1217"/>
      <c r="P158" s="368">
        <f>IF(P156="","",P157/P156)</f>
        <v>0.91666666666666663</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4" t="s">
        <v>3424</v>
      </c>
      <c r="L160" s="1220" t="s">
        <v>1688</v>
      </c>
      <c r="M160" s="1220"/>
      <c r="N160" s="1220"/>
      <c r="P160" s="2264" t="s">
        <v>3424</v>
      </c>
    </row>
    <row r="161" spans="1:21" s="332" customFormat="1" ht="12.6" customHeight="1">
      <c r="A161" s="548"/>
      <c r="B161" s="548"/>
      <c r="C161" s="1220" t="s">
        <v>2319</v>
      </c>
      <c r="I161" s="2264" t="s">
        <v>3421</v>
      </c>
      <c r="L161" s="1220" t="s">
        <v>3186</v>
      </c>
      <c r="M161" s="1220"/>
      <c r="N161" s="1220"/>
      <c r="P161" s="2264" t="s">
        <v>3424</v>
      </c>
    </row>
    <row r="162" spans="1:21" s="332" customFormat="1" ht="12.6" customHeight="1">
      <c r="A162" s="548"/>
      <c r="C162" s="1220" t="s">
        <v>2896</v>
      </c>
      <c r="I162" s="2264" t="s">
        <v>3424</v>
      </c>
      <c r="L162" s="1220" t="s">
        <v>2849</v>
      </c>
      <c r="N162" s="2278"/>
      <c r="O162" s="2279"/>
      <c r="P162" s="2264" t="s">
        <v>3424</v>
      </c>
    </row>
    <row r="163" spans="1:21" s="332" customFormat="1" ht="12.6" customHeight="1">
      <c r="A163" s="548"/>
      <c r="B163" s="548"/>
      <c r="C163" s="1220" t="s">
        <v>1347</v>
      </c>
      <c r="D163" s="370"/>
      <c r="I163" s="2264" t="s">
        <v>3424</v>
      </c>
      <c r="K163" s="342"/>
      <c r="L163" s="1220" t="s">
        <v>4225</v>
      </c>
      <c r="M163" s="1220"/>
      <c r="N163" s="1220"/>
      <c r="P163" s="2264" t="s">
        <v>3424</v>
      </c>
    </row>
    <row r="164" spans="1:21" s="332" customFormat="1" ht="12.6" customHeight="1">
      <c r="A164" s="548"/>
      <c r="B164" s="334"/>
      <c r="C164" s="1220" t="s">
        <v>1898</v>
      </c>
      <c r="I164" s="2264" t="s">
        <v>3424</v>
      </c>
      <c r="J164" s="369" t="s">
        <v>3018</v>
      </c>
      <c r="O164" s="2280"/>
      <c r="P164" s="2281"/>
    </row>
    <row r="165" spans="1:21" s="332" customFormat="1" ht="12.6" customHeight="1">
      <c r="A165" s="548"/>
      <c r="B165" s="548"/>
      <c r="C165" s="1220" t="s">
        <v>3297</v>
      </c>
      <c r="I165" s="2264" t="s">
        <v>3424</v>
      </c>
      <c r="J165" s="369" t="s">
        <v>3018</v>
      </c>
      <c r="O165" s="2280"/>
      <c r="P165" s="2281"/>
    </row>
    <row r="166" spans="1:21" s="332" customFormat="1" ht="12.6" customHeight="1">
      <c r="A166" s="548"/>
      <c r="B166" s="548"/>
      <c r="C166" s="1220" t="s">
        <v>3298</v>
      </c>
      <c r="I166" s="2264" t="s">
        <v>3424</v>
      </c>
      <c r="J166" s="369" t="s">
        <v>3018</v>
      </c>
      <c r="O166" s="2280"/>
      <c r="P166" s="2281"/>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v>42522</v>
      </c>
      <c r="I169" s="2261"/>
      <c r="N169" s="1220"/>
      <c r="O169" s="1220"/>
      <c r="P169" s="341"/>
    </row>
    <row r="170" spans="1:21" s="332" customFormat="1" ht="12.6" customHeight="1">
      <c r="A170" s="548"/>
      <c r="B170" s="548"/>
      <c r="C170" s="337" t="s">
        <v>288</v>
      </c>
      <c r="D170" s="1214"/>
      <c r="E170" s="1214"/>
      <c r="F170" s="1222"/>
      <c r="G170" s="1222"/>
      <c r="H170" s="2260">
        <v>43100</v>
      </c>
      <c r="I170" s="2261"/>
      <c r="N170" s="1220"/>
      <c r="O170" s="1220"/>
      <c r="P170" s="341"/>
    </row>
    <row r="171" spans="1:21" s="332" customFormat="1" ht="12.6" customHeight="1">
      <c r="A171" s="548"/>
      <c r="B171" s="548"/>
      <c r="C171" s="337" t="s">
        <v>2404</v>
      </c>
      <c r="D171" s="1214"/>
      <c r="E171" s="1214"/>
      <c r="F171" s="1222"/>
      <c r="G171" s="1222"/>
      <c r="H171" s="2260"/>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599</v>
      </c>
      <c r="K173" s="357" t="s">
        <v>2360</v>
      </c>
      <c r="L173" s="357" t="s">
        <v>81</v>
      </c>
    </row>
    <row r="174" spans="1:21" ht="106.5" customHeight="1">
      <c r="A174" s="2282"/>
      <c r="B174" s="2283"/>
      <c r="C174" s="2283"/>
      <c r="D174" s="2283"/>
      <c r="E174" s="2283"/>
      <c r="F174" s="2283"/>
      <c r="G174" s="2283"/>
      <c r="H174" s="2283"/>
      <c r="I174" s="2283"/>
      <c r="J174" s="2284"/>
      <c r="K174" s="2285"/>
      <c r="L174" s="2286"/>
      <c r="M174" s="2286"/>
      <c r="N174" s="2286"/>
      <c r="O174" s="2286"/>
      <c r="P174" s="2287"/>
      <c r="Q174" s="1351" t="s">
        <v>2854</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ITF4vSLCm8EXmSmNtG5HiR17pLifB4MRmA4s7v30jZQJvBbAKrTx0HraLAlLVGOLC+ptkFrZHkc///Umiholhg==" saltValue="jIRG/71EqgXUMV8jEeIy6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2015-056 Lakeview Apartments, Fort Valley, Peach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4384</v>
      </c>
      <c r="K2" s="1723"/>
      <c r="L2" s="1724"/>
    </row>
    <row r="3" spans="1:26" s="332" customFormat="1" ht="13.15" customHeight="1">
      <c r="A3" s="334" t="s">
        <v>647</v>
      </c>
      <c r="B3" s="338" t="s">
        <v>1951</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2" t="s">
        <v>4413</v>
      </c>
      <c r="I5" s="2262"/>
      <c r="J5" s="2262"/>
      <c r="K5" s="2262"/>
      <c r="L5" s="2262"/>
      <c r="M5" s="2262"/>
      <c r="N5" s="2263"/>
      <c r="O5" s="1215" t="s">
        <v>2088</v>
      </c>
      <c r="P5" s="1215"/>
      <c r="Q5" s="2202" t="s">
        <v>4393</v>
      </c>
      <c r="R5" s="2262"/>
      <c r="S5" s="2263"/>
    </row>
    <row r="6" spans="1:26" s="332" customFormat="1" ht="11.25" customHeight="1">
      <c r="D6" s="372"/>
      <c r="E6" s="337" t="s">
        <v>1071</v>
      </c>
      <c r="F6" s="344"/>
      <c r="H6" s="2202" t="s">
        <v>4395</v>
      </c>
      <c r="I6" s="2262"/>
      <c r="J6" s="2262"/>
      <c r="K6" s="2262"/>
      <c r="L6" s="2262"/>
      <c r="M6" s="2262"/>
      <c r="N6" s="2263"/>
      <c r="O6" s="1215" t="s">
        <v>1835</v>
      </c>
      <c r="Q6" s="2202" t="s">
        <v>4394</v>
      </c>
      <c r="R6" s="2262"/>
      <c r="S6" s="2263"/>
    </row>
    <row r="7" spans="1:26" s="332" customFormat="1" ht="11.25" customHeight="1">
      <c r="D7" s="372"/>
      <c r="E7" s="337" t="s">
        <v>649</v>
      </c>
      <c r="H7" s="2202" t="s">
        <v>1264</v>
      </c>
      <c r="I7" s="2262"/>
      <c r="J7" s="2263"/>
      <c r="K7" s="2293" t="s">
        <v>803</v>
      </c>
      <c r="L7" s="2202"/>
      <c r="M7" s="2262"/>
      <c r="N7" s="2263"/>
      <c r="O7" s="1215" t="s">
        <v>1891</v>
      </c>
      <c r="Q7" s="2210">
        <v>6788161329</v>
      </c>
      <c r="R7" s="2215"/>
      <c r="S7" s="2211"/>
    </row>
    <row r="8" spans="1:26" s="332" customFormat="1" ht="11.25" customHeight="1">
      <c r="D8" s="372"/>
      <c r="E8" s="337" t="s">
        <v>1887</v>
      </c>
      <c r="H8" s="2216" t="s">
        <v>890</v>
      </c>
      <c r="I8" s="1222" t="s">
        <v>1346</v>
      </c>
      <c r="J8" s="2213">
        <v>303285836</v>
      </c>
      <c r="K8" s="2263"/>
      <c r="L8" s="2294"/>
      <c r="M8" s="2294"/>
      <c r="N8" s="2294"/>
      <c r="O8" s="1215" t="s">
        <v>2077</v>
      </c>
      <c r="Q8" s="2210"/>
      <c r="R8" s="2215"/>
      <c r="S8" s="2211"/>
    </row>
    <row r="9" spans="1:26" s="332" customFormat="1" ht="11.25" customHeight="1">
      <c r="D9" s="372"/>
      <c r="E9" s="337" t="s">
        <v>2083</v>
      </c>
      <c r="H9" s="2210">
        <v>6788161329</v>
      </c>
      <c r="I9" s="2211"/>
      <c r="J9" s="2295"/>
      <c r="K9" s="1222" t="s">
        <v>1890</v>
      </c>
      <c r="L9" s="2296">
        <v>6788161299</v>
      </c>
      <c r="M9" s="2297"/>
      <c r="N9" s="339" t="s">
        <v>2082</v>
      </c>
      <c r="O9" s="2217" t="s">
        <v>4414</v>
      </c>
      <c r="P9" s="2218"/>
      <c r="Q9" s="2218"/>
      <c r="R9" s="2218"/>
      <c r="S9" s="2219"/>
    </row>
    <row r="10" spans="1:26" s="332" customFormat="1" ht="11.25" customHeight="1">
      <c r="D10" s="372"/>
      <c r="E10" s="325" t="s">
        <v>2918</v>
      </c>
      <c r="H10" s="1268"/>
      <c r="K10" s="301"/>
      <c r="N10" s="402" t="s">
        <v>4361</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20"/>
      <c r="I13" s="1220"/>
      <c r="J13" s="1220"/>
      <c r="N13" s="1205"/>
      <c r="W13" s="2299"/>
      <c r="X13" s="2299"/>
      <c r="Y13" s="2299"/>
      <c r="Z13" s="2299"/>
    </row>
    <row r="14" spans="1:26" s="332" customFormat="1" ht="11.25" customHeight="1">
      <c r="D14" s="334" t="s">
        <v>2217</v>
      </c>
      <c r="E14" s="332" t="s">
        <v>1949</v>
      </c>
      <c r="H14" s="2202" t="s">
        <v>4415</v>
      </c>
      <c r="I14" s="2262"/>
      <c r="J14" s="2262"/>
      <c r="K14" s="2262"/>
      <c r="L14" s="2262"/>
      <c r="M14" s="2262"/>
      <c r="N14" s="2263"/>
      <c r="O14" s="1215" t="s">
        <v>2088</v>
      </c>
      <c r="P14" s="1215"/>
      <c r="Q14" s="2202" t="s">
        <v>4393</v>
      </c>
      <c r="R14" s="2262"/>
      <c r="S14" s="2263"/>
    </row>
    <row r="15" spans="1:26" s="332" customFormat="1" ht="11.25" customHeight="1">
      <c r="D15" s="372"/>
      <c r="E15" s="337" t="s">
        <v>1071</v>
      </c>
      <c r="F15" s="344"/>
      <c r="H15" s="2202" t="s">
        <v>4395</v>
      </c>
      <c r="I15" s="2262"/>
      <c r="J15" s="2262"/>
      <c r="K15" s="2262"/>
      <c r="L15" s="2262"/>
      <c r="M15" s="2262"/>
      <c r="N15" s="2263"/>
      <c r="O15" s="1215" t="s">
        <v>1835</v>
      </c>
      <c r="Q15" s="2202" t="s">
        <v>4394</v>
      </c>
      <c r="R15" s="2262"/>
      <c r="S15" s="2263"/>
    </row>
    <row r="16" spans="1:26" s="332" customFormat="1" ht="11.25" customHeight="1">
      <c r="D16" s="372"/>
      <c r="E16" s="337" t="s">
        <v>649</v>
      </c>
      <c r="H16" s="2202" t="s">
        <v>1264</v>
      </c>
      <c r="I16" s="2262"/>
      <c r="J16" s="2263"/>
      <c r="K16" s="1212" t="s">
        <v>2874</v>
      </c>
      <c r="L16" s="2202"/>
      <c r="M16" s="2262"/>
      <c r="N16" s="2263"/>
      <c r="O16" s="1215" t="s">
        <v>1891</v>
      </c>
      <c r="Q16" s="2210">
        <v>6788161329</v>
      </c>
      <c r="R16" s="2215"/>
      <c r="S16" s="2211"/>
    </row>
    <row r="17" spans="3:19" s="332" customFormat="1" ht="11.25" customHeight="1">
      <c r="D17" s="334"/>
      <c r="E17" s="337" t="s">
        <v>1887</v>
      </c>
      <c r="H17" s="2216" t="s">
        <v>890</v>
      </c>
      <c r="I17" s="1222" t="s">
        <v>1346</v>
      </c>
      <c r="J17" s="2213">
        <v>303285836</v>
      </c>
      <c r="K17" s="2263"/>
      <c r="O17" s="1215" t="s">
        <v>2077</v>
      </c>
      <c r="Q17" s="2210"/>
      <c r="R17" s="2215"/>
      <c r="S17" s="2211"/>
    </row>
    <row r="18" spans="3:19" s="332" customFormat="1" ht="11.25" customHeight="1">
      <c r="D18" s="372"/>
      <c r="E18" s="337" t="s">
        <v>2083</v>
      </c>
      <c r="H18" s="2210">
        <v>6788161329</v>
      </c>
      <c r="I18" s="2211"/>
      <c r="J18" s="2295"/>
      <c r="K18" s="1222" t="s">
        <v>1890</v>
      </c>
      <c r="L18" s="2248">
        <v>6788161299</v>
      </c>
      <c r="M18" s="2263"/>
      <c r="N18" s="339" t="s">
        <v>2082</v>
      </c>
      <c r="O18" s="2217" t="s">
        <v>4414</v>
      </c>
      <c r="P18" s="2218"/>
      <c r="Q18" s="2218"/>
      <c r="R18" s="2218"/>
      <c r="S18" s="2219"/>
    </row>
    <row r="19" spans="3:19" ht="4.1500000000000004" customHeight="1">
      <c r="D19" s="357"/>
      <c r="H19" s="2300"/>
      <c r="I19" s="2300"/>
      <c r="J19" s="2300"/>
      <c r="K19" s="1222"/>
      <c r="L19" s="2300"/>
      <c r="M19" s="2300"/>
      <c r="N19" s="1216"/>
      <c r="O19" s="1206"/>
      <c r="P19" s="1206"/>
      <c r="Q19" s="1222"/>
      <c r="R19" s="1206"/>
      <c r="S19" s="1206"/>
    </row>
    <row r="20" spans="3:19" s="332" customFormat="1" ht="11.25" customHeight="1">
      <c r="D20" s="334" t="s">
        <v>2218</v>
      </c>
      <c r="E20" s="332" t="s">
        <v>1950</v>
      </c>
      <c r="F20" s="1220"/>
      <c r="H20" s="2202"/>
      <c r="I20" s="2262"/>
      <c r="J20" s="2262"/>
      <c r="K20" s="2262"/>
      <c r="L20" s="2262"/>
      <c r="M20" s="2262"/>
      <c r="N20" s="2263"/>
      <c r="O20" s="1215" t="s">
        <v>2088</v>
      </c>
      <c r="P20" s="1215"/>
      <c r="Q20" s="2202"/>
      <c r="R20" s="2262"/>
      <c r="S20" s="2263"/>
    </row>
    <row r="21" spans="3:19" s="332" customFormat="1" ht="11.25" customHeight="1">
      <c r="D21" s="372"/>
      <c r="E21" s="337" t="s">
        <v>1071</v>
      </c>
      <c r="F21" s="344"/>
      <c r="H21" s="2202"/>
      <c r="I21" s="2262"/>
      <c r="J21" s="2262"/>
      <c r="K21" s="2262"/>
      <c r="L21" s="2262"/>
      <c r="M21" s="2262"/>
      <c r="N21" s="2263"/>
      <c r="O21" s="1215" t="s">
        <v>1835</v>
      </c>
      <c r="Q21" s="2202"/>
      <c r="R21" s="2262"/>
      <c r="S21" s="2263"/>
    </row>
    <row r="22" spans="3:19" s="332" customFormat="1" ht="11.25" customHeight="1">
      <c r="D22" s="372"/>
      <c r="E22" s="337" t="s">
        <v>649</v>
      </c>
      <c r="H22" s="2202"/>
      <c r="I22" s="2262"/>
      <c r="J22" s="2263"/>
      <c r="K22" s="1212" t="s">
        <v>2874</v>
      </c>
      <c r="L22" s="2202"/>
      <c r="M22" s="2262"/>
      <c r="N22" s="2263"/>
      <c r="O22" s="1215" t="s">
        <v>1891</v>
      </c>
      <c r="Q22" s="2210"/>
      <c r="R22" s="2215"/>
      <c r="S22" s="2211"/>
    </row>
    <row r="23" spans="3:19" s="332" customFormat="1" ht="11.25" customHeight="1">
      <c r="E23" s="337" t="s">
        <v>1887</v>
      </c>
      <c r="H23" s="2216"/>
      <c r="I23" s="359" t="s">
        <v>2336</v>
      </c>
      <c r="J23" s="2213"/>
      <c r="K23" s="2263"/>
      <c r="O23" s="1215" t="s">
        <v>2077</v>
      </c>
      <c r="Q23" s="2210"/>
      <c r="R23" s="2215"/>
      <c r="S23" s="2211"/>
    </row>
    <row r="24" spans="3:19" s="332" customFormat="1" ht="11.25" customHeight="1">
      <c r="D24" s="372"/>
      <c r="E24" s="337" t="s">
        <v>2083</v>
      </c>
      <c r="H24" s="2210"/>
      <c r="I24" s="2211"/>
      <c r="J24" s="2295"/>
      <c r="K24" s="1222" t="s">
        <v>1890</v>
      </c>
      <c r="L24" s="2248"/>
      <c r="M24" s="2263"/>
      <c r="N24" s="339" t="s">
        <v>2082</v>
      </c>
      <c r="O24" s="2217"/>
      <c r="P24" s="2218"/>
      <c r="Q24" s="2218"/>
      <c r="R24" s="2218"/>
      <c r="S24" s="2219"/>
    </row>
    <row r="25" spans="3:19" s="332" customFormat="1" ht="4.1500000000000004" customHeight="1">
      <c r="D25" s="372"/>
      <c r="E25" s="1220"/>
      <c r="F25" s="1220"/>
      <c r="G25" s="1215"/>
      <c r="H25" s="2300"/>
      <c r="I25" s="2300"/>
      <c r="J25" s="2300"/>
      <c r="K25" s="1222"/>
      <c r="L25" s="2300"/>
      <c r="M25" s="2300"/>
      <c r="N25" s="1216"/>
      <c r="O25" s="1206"/>
      <c r="P25" s="1206"/>
      <c r="Q25" s="1222"/>
      <c r="R25" s="1206"/>
      <c r="S25" s="1206"/>
    </row>
    <row r="26" spans="3:19" s="332" customFormat="1" ht="11.25" customHeight="1">
      <c r="D26" s="334" t="s">
        <v>1822</v>
      </c>
      <c r="E26" s="332" t="s">
        <v>1950</v>
      </c>
      <c r="F26" s="1220"/>
      <c r="H26" s="2202"/>
      <c r="I26" s="2262"/>
      <c r="J26" s="2262"/>
      <c r="K26" s="2262"/>
      <c r="L26" s="2262"/>
      <c r="M26" s="2262"/>
      <c r="N26" s="2263"/>
      <c r="O26" s="1215" t="s">
        <v>2088</v>
      </c>
      <c r="P26" s="1215"/>
      <c r="Q26" s="2202"/>
      <c r="R26" s="2262"/>
      <c r="S26" s="2263"/>
    </row>
    <row r="27" spans="3:19" s="332" customFormat="1" ht="11.25" customHeight="1">
      <c r="D27" s="372"/>
      <c r="E27" s="337" t="s">
        <v>1071</v>
      </c>
      <c r="F27" s="344"/>
      <c r="H27" s="2202"/>
      <c r="I27" s="2262"/>
      <c r="J27" s="2262"/>
      <c r="K27" s="2262"/>
      <c r="L27" s="2262"/>
      <c r="M27" s="2262"/>
      <c r="N27" s="2263"/>
      <c r="O27" s="1215" t="s">
        <v>1835</v>
      </c>
      <c r="Q27" s="2202"/>
      <c r="R27" s="2262"/>
      <c r="S27" s="2263"/>
    </row>
    <row r="28" spans="3:19" s="332" customFormat="1" ht="11.25" customHeight="1">
      <c r="D28" s="372"/>
      <c r="E28" s="337" t="s">
        <v>649</v>
      </c>
      <c r="H28" s="2202"/>
      <c r="I28" s="2262"/>
      <c r="J28" s="2263"/>
      <c r="K28" s="1212" t="s">
        <v>2874</v>
      </c>
      <c r="L28" s="2202"/>
      <c r="M28" s="2262"/>
      <c r="N28" s="2263"/>
      <c r="O28" s="1215" t="s">
        <v>1891</v>
      </c>
      <c r="Q28" s="2210"/>
      <c r="R28" s="2215"/>
      <c r="S28" s="2211"/>
    </row>
    <row r="29" spans="3:19" s="332" customFormat="1" ht="11.25" customHeight="1">
      <c r="E29" s="337" t="s">
        <v>1887</v>
      </c>
      <c r="H29" s="2216"/>
      <c r="I29" s="359" t="s">
        <v>2336</v>
      </c>
      <c r="J29" s="2213"/>
      <c r="K29" s="2263"/>
      <c r="O29" s="1215" t="s">
        <v>2077</v>
      </c>
      <c r="Q29" s="2210"/>
      <c r="R29" s="2215"/>
      <c r="S29" s="2211"/>
    </row>
    <row r="30" spans="3:19" s="332" customFormat="1" ht="11.25" customHeight="1">
      <c r="D30" s="372"/>
      <c r="E30" s="337" t="s">
        <v>2083</v>
      </c>
      <c r="H30" s="2210"/>
      <c r="I30" s="2211"/>
      <c r="J30" s="2295"/>
      <c r="K30" s="1222" t="s">
        <v>1890</v>
      </c>
      <c r="L30" s="2248"/>
      <c r="M30" s="2263"/>
      <c r="N30" s="339" t="s">
        <v>2082</v>
      </c>
      <c r="O30" s="2217"/>
      <c r="P30" s="2218"/>
      <c r="Q30" s="2218"/>
      <c r="R30" s="2218"/>
      <c r="S30" s="2219"/>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2" t="s">
        <v>4416</v>
      </c>
      <c r="I33" s="2262"/>
      <c r="J33" s="2262"/>
      <c r="K33" s="2262"/>
      <c r="L33" s="2262"/>
      <c r="M33" s="2262"/>
      <c r="N33" s="2263"/>
      <c r="O33" s="1215" t="s">
        <v>2088</v>
      </c>
      <c r="P33" s="1215"/>
      <c r="Q33" s="2202" t="s">
        <v>4430</v>
      </c>
      <c r="R33" s="2262"/>
      <c r="S33" s="2263"/>
    </row>
    <row r="34" spans="3:19" s="332" customFormat="1" ht="11.25" customHeight="1">
      <c r="D34" s="372"/>
      <c r="E34" s="337" t="s">
        <v>1071</v>
      </c>
      <c r="F34" s="344"/>
      <c r="H34" s="2202" t="s">
        <v>4428</v>
      </c>
      <c r="I34" s="2262"/>
      <c r="J34" s="2262"/>
      <c r="K34" s="2262"/>
      <c r="L34" s="2262"/>
      <c r="M34" s="2262"/>
      <c r="N34" s="2263"/>
      <c r="O34" s="1215" t="s">
        <v>1835</v>
      </c>
      <c r="Q34" s="2202" t="s">
        <v>4431</v>
      </c>
      <c r="R34" s="2262"/>
      <c r="S34" s="2263"/>
    </row>
    <row r="35" spans="3:19" s="332" customFormat="1" ht="11.25" customHeight="1">
      <c r="D35" s="372"/>
      <c r="E35" s="337" t="s">
        <v>649</v>
      </c>
      <c r="H35" s="2202" t="s">
        <v>4429</v>
      </c>
      <c r="I35" s="2262"/>
      <c r="J35" s="2263"/>
      <c r="K35" s="1212" t="s">
        <v>2874</v>
      </c>
      <c r="L35" s="2202" t="s">
        <v>4432</v>
      </c>
      <c r="M35" s="2262"/>
      <c r="N35" s="2263"/>
      <c r="O35" s="1215" t="s">
        <v>1891</v>
      </c>
      <c r="Q35" s="2210">
        <v>5032905034</v>
      </c>
      <c r="R35" s="2215"/>
      <c r="S35" s="2211"/>
    </row>
    <row r="36" spans="3:19" s="332" customFormat="1" ht="11.25" customHeight="1">
      <c r="E36" s="337" t="s">
        <v>1887</v>
      </c>
      <c r="H36" s="2216" t="s">
        <v>1419</v>
      </c>
      <c r="I36" s="359" t="s">
        <v>2336</v>
      </c>
      <c r="J36" s="2213">
        <v>972015882</v>
      </c>
      <c r="K36" s="2263"/>
      <c r="O36" s="1215" t="s">
        <v>2077</v>
      </c>
      <c r="Q36" s="2210"/>
      <c r="R36" s="2215"/>
      <c r="S36" s="2211"/>
    </row>
    <row r="37" spans="3:19" s="332" customFormat="1" ht="11.25" customHeight="1">
      <c r="D37" s="372"/>
      <c r="E37" s="337" t="s">
        <v>2083</v>
      </c>
      <c r="H37" s="2210">
        <v>5032905034</v>
      </c>
      <c r="I37" s="2211"/>
      <c r="J37" s="2295"/>
      <c r="K37" s="1222" t="s">
        <v>1890</v>
      </c>
      <c r="L37" s="2248">
        <v>5032905035</v>
      </c>
      <c r="M37" s="2263"/>
      <c r="N37" s="339" t="s">
        <v>2082</v>
      </c>
      <c r="O37" s="2217" t="s">
        <v>4433</v>
      </c>
      <c r="P37" s="2218"/>
      <c r="Q37" s="2218"/>
      <c r="R37" s="2218"/>
      <c r="S37" s="2219"/>
    </row>
    <row r="38" spans="3:19" ht="4.1500000000000004" customHeight="1">
      <c r="H38" s="2300"/>
      <c r="I38" s="2300"/>
      <c r="J38" s="2300"/>
      <c r="K38" s="1222"/>
      <c r="L38" s="2300"/>
      <c r="M38" s="2300"/>
      <c r="N38" s="1216"/>
      <c r="O38" s="1206"/>
      <c r="P38" s="1206"/>
      <c r="Q38" s="1222"/>
      <c r="R38" s="1206"/>
      <c r="S38" s="1206"/>
    </row>
    <row r="39" spans="3:19" s="332" customFormat="1" ht="11.25" customHeight="1">
      <c r="D39" s="334" t="s">
        <v>2218</v>
      </c>
      <c r="E39" s="332" t="s">
        <v>791</v>
      </c>
      <c r="F39" s="334"/>
      <c r="H39" s="2202" t="s">
        <v>4417</v>
      </c>
      <c r="I39" s="2262"/>
      <c r="J39" s="2262"/>
      <c r="K39" s="2262"/>
      <c r="L39" s="2262"/>
      <c r="M39" s="2262"/>
      <c r="N39" s="2263"/>
      <c r="O39" s="1215" t="s">
        <v>2088</v>
      </c>
      <c r="P39" s="1215"/>
      <c r="Q39" s="2202" t="s">
        <v>4430</v>
      </c>
      <c r="R39" s="2262"/>
      <c r="S39" s="2263"/>
    </row>
    <row r="40" spans="3:19" s="332" customFormat="1" ht="11.25" customHeight="1">
      <c r="D40" s="372"/>
      <c r="E40" s="337" t="s">
        <v>1071</v>
      </c>
      <c r="F40" s="344"/>
      <c r="H40" s="2202" t="s">
        <v>4428</v>
      </c>
      <c r="I40" s="2262"/>
      <c r="J40" s="2262"/>
      <c r="K40" s="2262"/>
      <c r="L40" s="2262"/>
      <c r="M40" s="2262"/>
      <c r="N40" s="2263"/>
      <c r="O40" s="1215" t="s">
        <v>1835</v>
      </c>
      <c r="Q40" s="2202" t="s">
        <v>4431</v>
      </c>
      <c r="R40" s="2262"/>
      <c r="S40" s="2263"/>
    </row>
    <row r="41" spans="3:19" s="332" customFormat="1" ht="11.25" customHeight="1">
      <c r="D41" s="372"/>
      <c r="E41" s="337" t="s">
        <v>649</v>
      </c>
      <c r="H41" s="2202" t="s">
        <v>4429</v>
      </c>
      <c r="I41" s="2262"/>
      <c r="J41" s="2263"/>
      <c r="K41" s="1212" t="s">
        <v>2874</v>
      </c>
      <c r="L41" s="2202" t="s">
        <v>4432</v>
      </c>
      <c r="M41" s="2262"/>
      <c r="N41" s="2263"/>
      <c r="O41" s="1215" t="s">
        <v>1891</v>
      </c>
      <c r="Q41" s="2210">
        <v>5032905034</v>
      </c>
      <c r="R41" s="2215"/>
      <c r="S41" s="2211"/>
    </row>
    <row r="42" spans="3:19" s="332" customFormat="1" ht="11.25" customHeight="1">
      <c r="D42" s="334"/>
      <c r="E42" s="337" t="s">
        <v>1887</v>
      </c>
      <c r="H42" s="2216" t="s">
        <v>1419</v>
      </c>
      <c r="I42" s="359" t="s">
        <v>2336</v>
      </c>
      <c r="J42" s="2213">
        <v>972015882</v>
      </c>
      <c r="K42" s="2263"/>
      <c r="O42" s="1215" t="s">
        <v>2077</v>
      </c>
      <c r="Q42" s="2210"/>
      <c r="R42" s="2215"/>
      <c r="S42" s="2211"/>
    </row>
    <row r="43" spans="3:19" s="332" customFormat="1" ht="11.25" customHeight="1">
      <c r="D43" s="372"/>
      <c r="E43" s="337" t="s">
        <v>2083</v>
      </c>
      <c r="H43" s="2210">
        <v>5032905034</v>
      </c>
      <c r="I43" s="2211"/>
      <c r="J43" s="2295"/>
      <c r="K43" s="1222" t="s">
        <v>1890</v>
      </c>
      <c r="L43" s="2248">
        <v>5032905035</v>
      </c>
      <c r="M43" s="2263"/>
      <c r="N43" s="339" t="s">
        <v>2082</v>
      </c>
      <c r="O43" s="2217" t="s">
        <v>4433</v>
      </c>
      <c r="P43" s="2218"/>
      <c r="Q43" s="2218"/>
      <c r="R43" s="2218"/>
      <c r="S43" s="2219"/>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2"/>
      <c r="I46" s="2262"/>
      <c r="J46" s="2262"/>
      <c r="K46" s="2262"/>
      <c r="L46" s="2262"/>
      <c r="M46" s="2262"/>
      <c r="N46" s="2263"/>
      <c r="O46" s="1215" t="s">
        <v>2088</v>
      </c>
      <c r="P46" s="1215"/>
      <c r="Q46" s="2202"/>
      <c r="R46" s="2262"/>
      <c r="S46" s="2263"/>
    </row>
    <row r="47" spans="3:19" s="332" customFormat="1" ht="11.25" customHeight="1">
      <c r="D47" s="372"/>
      <c r="E47" s="337" t="s">
        <v>1071</v>
      </c>
      <c r="F47" s="344"/>
      <c r="H47" s="2202"/>
      <c r="I47" s="2262"/>
      <c r="J47" s="2262"/>
      <c r="K47" s="2262"/>
      <c r="L47" s="2262"/>
      <c r="M47" s="2262"/>
      <c r="N47" s="2263"/>
      <c r="O47" s="1215" t="s">
        <v>1835</v>
      </c>
      <c r="Q47" s="2202"/>
      <c r="R47" s="2262"/>
      <c r="S47" s="2263"/>
    </row>
    <row r="48" spans="3:19" s="332" customFormat="1" ht="11.25" customHeight="1">
      <c r="D48" s="372"/>
      <c r="E48" s="337" t="s">
        <v>649</v>
      </c>
      <c r="H48" s="2202"/>
      <c r="I48" s="2262"/>
      <c r="J48" s="2263"/>
      <c r="K48" s="1212" t="s">
        <v>2874</v>
      </c>
      <c r="L48" s="2202"/>
      <c r="M48" s="2262"/>
      <c r="N48" s="2263"/>
      <c r="O48" s="1215" t="s">
        <v>1891</v>
      </c>
      <c r="Q48" s="2210"/>
      <c r="R48" s="2215"/>
      <c r="S48" s="2211"/>
    </row>
    <row r="49" spans="1:19" s="332" customFormat="1" ht="11.25" customHeight="1">
      <c r="E49" s="337" t="s">
        <v>1887</v>
      </c>
      <c r="H49" s="2216"/>
      <c r="I49" s="359" t="s">
        <v>2336</v>
      </c>
      <c r="J49" s="2213"/>
      <c r="K49" s="2263"/>
      <c r="O49" s="1215" t="s">
        <v>2077</v>
      </c>
      <c r="Q49" s="2210"/>
      <c r="R49" s="2215"/>
      <c r="S49" s="2211"/>
    </row>
    <row r="50" spans="1:19" s="332" customFormat="1" ht="11.25" customHeight="1">
      <c r="D50" s="372"/>
      <c r="E50" s="337" t="s">
        <v>2083</v>
      </c>
      <c r="H50" s="2210"/>
      <c r="I50" s="2211"/>
      <c r="J50" s="2295"/>
      <c r="K50" s="1222" t="s">
        <v>1890</v>
      </c>
      <c r="L50" s="2248"/>
      <c r="M50" s="2263"/>
      <c r="N50" s="339" t="s">
        <v>2082</v>
      </c>
      <c r="O50" s="2217"/>
      <c r="P50" s="2218"/>
      <c r="Q50" s="2218"/>
      <c r="R50" s="2218"/>
      <c r="S50" s="2219"/>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01"/>
      <c r="I53" s="2301"/>
      <c r="J53" s="2301"/>
      <c r="K53" s="1216"/>
      <c r="L53" s="2301"/>
      <c r="M53" s="2301"/>
      <c r="N53" s="1216"/>
      <c r="O53" s="1206"/>
      <c r="P53" s="1206"/>
      <c r="Q53" s="1222"/>
      <c r="R53" s="1206"/>
      <c r="S53" s="1206"/>
    </row>
    <row r="54" spans="1:19" s="332" customFormat="1" ht="11.25" customHeight="1">
      <c r="B54" s="334" t="s">
        <v>2081</v>
      </c>
      <c r="C54" s="334" t="s">
        <v>295</v>
      </c>
      <c r="H54" s="2202" t="s">
        <v>4418</v>
      </c>
      <c r="I54" s="2262"/>
      <c r="J54" s="2262"/>
      <c r="K54" s="2262"/>
      <c r="L54" s="2262"/>
      <c r="M54" s="2262"/>
      <c r="N54" s="2263"/>
      <c r="O54" s="1215" t="s">
        <v>2088</v>
      </c>
      <c r="P54" s="1215"/>
      <c r="Q54" s="2202" t="s">
        <v>4393</v>
      </c>
      <c r="R54" s="2262"/>
      <c r="S54" s="2263"/>
    </row>
    <row r="55" spans="1:19" s="332" customFormat="1" ht="11.25" customHeight="1">
      <c r="D55" s="372"/>
      <c r="E55" s="337" t="s">
        <v>1071</v>
      </c>
      <c r="F55" s="344"/>
      <c r="H55" s="2202" t="s">
        <v>4395</v>
      </c>
      <c r="I55" s="2262"/>
      <c r="J55" s="2262"/>
      <c r="K55" s="2262"/>
      <c r="L55" s="2262"/>
      <c r="M55" s="2262"/>
      <c r="N55" s="2263"/>
      <c r="O55" s="1215" t="s">
        <v>1835</v>
      </c>
      <c r="Q55" s="2202" t="s">
        <v>2597</v>
      </c>
      <c r="R55" s="2262"/>
      <c r="S55" s="2263"/>
    </row>
    <row r="56" spans="1:19" s="332" customFormat="1" ht="11.25" customHeight="1">
      <c r="D56" s="372"/>
      <c r="E56" s="337" t="s">
        <v>649</v>
      </c>
      <c r="H56" s="2202" t="s">
        <v>1264</v>
      </c>
      <c r="I56" s="2262"/>
      <c r="J56" s="2263"/>
      <c r="K56" s="1212" t="s">
        <v>2874</v>
      </c>
      <c r="L56" s="2202"/>
      <c r="M56" s="2262"/>
      <c r="N56" s="2263"/>
      <c r="O56" s="1215" t="s">
        <v>1891</v>
      </c>
      <c r="Q56" s="2210">
        <v>6788161329</v>
      </c>
      <c r="R56" s="2215"/>
      <c r="S56" s="2211"/>
    </row>
    <row r="57" spans="1:19" s="332" customFormat="1" ht="11.25" customHeight="1">
      <c r="E57" s="337" t="s">
        <v>1887</v>
      </c>
      <c r="H57" s="2216" t="s">
        <v>890</v>
      </c>
      <c r="I57" s="359" t="s">
        <v>2336</v>
      </c>
      <c r="J57" s="2213">
        <v>303285836</v>
      </c>
      <c r="K57" s="2263"/>
      <c r="O57" s="1215" t="s">
        <v>2077</v>
      </c>
      <c r="Q57" s="2210"/>
      <c r="R57" s="2215"/>
      <c r="S57" s="2211"/>
    </row>
    <row r="58" spans="1:19" s="332" customFormat="1" ht="11.25" customHeight="1">
      <c r="D58" s="372"/>
      <c r="E58" s="337" t="s">
        <v>2083</v>
      </c>
      <c r="H58" s="2210">
        <v>6788161329</v>
      </c>
      <c r="I58" s="2211"/>
      <c r="J58" s="2295"/>
      <c r="K58" s="1222" t="s">
        <v>1890</v>
      </c>
      <c r="L58" s="2248">
        <v>6788161299</v>
      </c>
      <c r="M58" s="2263"/>
      <c r="N58" s="339" t="s">
        <v>2082</v>
      </c>
      <c r="O58" s="2217" t="s">
        <v>4414</v>
      </c>
      <c r="P58" s="2218"/>
      <c r="Q58" s="2218"/>
      <c r="R58" s="2218"/>
      <c r="S58" s="2219"/>
    </row>
    <row r="59" spans="1:19" s="332" customFormat="1" ht="6.6" customHeight="1">
      <c r="D59" s="372"/>
      <c r="E59" s="1220"/>
      <c r="F59" s="1220"/>
      <c r="G59" s="1215"/>
      <c r="H59" s="2300"/>
      <c r="I59" s="2300"/>
      <c r="J59" s="2300"/>
      <c r="K59" s="1222"/>
      <c r="L59" s="2300"/>
      <c r="M59" s="2300"/>
      <c r="N59" s="1216"/>
      <c r="O59" s="1206"/>
      <c r="P59" s="1206"/>
      <c r="Q59" s="1222"/>
      <c r="R59" s="1206"/>
      <c r="S59" s="1206"/>
    </row>
    <row r="60" spans="1:19" s="332" customFormat="1" ht="11.25" customHeight="1">
      <c r="B60" s="334" t="s">
        <v>2084</v>
      </c>
      <c r="C60" s="334" t="s">
        <v>296</v>
      </c>
      <c r="H60" s="2202"/>
      <c r="I60" s="2262"/>
      <c r="J60" s="2262"/>
      <c r="K60" s="2262"/>
      <c r="L60" s="2262"/>
      <c r="M60" s="2262"/>
      <c r="N60" s="2263"/>
      <c r="O60" s="1215" t="s">
        <v>2088</v>
      </c>
      <c r="P60" s="1215"/>
      <c r="Q60" s="2202"/>
      <c r="R60" s="2262"/>
      <c r="S60" s="2263"/>
    </row>
    <row r="61" spans="1:19" s="332" customFormat="1" ht="11.25" customHeight="1">
      <c r="D61" s="372"/>
      <c r="E61" s="337" t="s">
        <v>1071</v>
      </c>
      <c r="F61" s="344"/>
      <c r="H61" s="2202"/>
      <c r="I61" s="2262"/>
      <c r="J61" s="2262"/>
      <c r="K61" s="2262"/>
      <c r="L61" s="2262"/>
      <c r="M61" s="2262"/>
      <c r="N61" s="2263"/>
      <c r="O61" s="1215" t="s">
        <v>1835</v>
      </c>
      <c r="Q61" s="2202"/>
      <c r="R61" s="2262"/>
      <c r="S61" s="2263"/>
    </row>
    <row r="62" spans="1:19" s="332" customFormat="1" ht="11.25" customHeight="1">
      <c r="D62" s="372"/>
      <c r="E62" s="337" t="s">
        <v>649</v>
      </c>
      <c r="H62" s="2202"/>
      <c r="I62" s="2262"/>
      <c r="J62" s="2263"/>
      <c r="K62" s="1212" t="s">
        <v>2874</v>
      </c>
      <c r="L62" s="2202"/>
      <c r="M62" s="2262"/>
      <c r="N62" s="2263"/>
      <c r="O62" s="1215" t="s">
        <v>1891</v>
      </c>
      <c r="Q62" s="2210"/>
      <c r="R62" s="2215"/>
      <c r="S62" s="2211"/>
    </row>
    <row r="63" spans="1:19" s="332" customFormat="1" ht="11.25" customHeight="1">
      <c r="E63" s="337" t="s">
        <v>1887</v>
      </c>
      <c r="H63" s="2216"/>
      <c r="I63" s="359" t="s">
        <v>2336</v>
      </c>
      <c r="J63" s="2213"/>
      <c r="K63" s="2263"/>
      <c r="O63" s="1215" t="s">
        <v>2077</v>
      </c>
      <c r="Q63" s="2210"/>
      <c r="R63" s="2215"/>
      <c r="S63" s="2211"/>
    </row>
    <row r="64" spans="1:19" s="332" customFormat="1" ht="11.25" customHeight="1">
      <c r="D64" s="372"/>
      <c r="E64" s="337" t="s">
        <v>2083</v>
      </c>
      <c r="H64" s="2210"/>
      <c r="I64" s="2211"/>
      <c r="J64" s="2295"/>
      <c r="K64" s="1222" t="s">
        <v>1890</v>
      </c>
      <c r="L64" s="2248"/>
      <c r="M64" s="2263"/>
      <c r="N64" s="339" t="s">
        <v>2082</v>
      </c>
      <c r="O64" s="2217"/>
      <c r="P64" s="2218"/>
      <c r="Q64" s="2218"/>
      <c r="R64" s="2218"/>
      <c r="S64" s="2219"/>
    </row>
    <row r="65" spans="1:19" s="332" customFormat="1" ht="6.6" customHeight="1">
      <c r="D65" s="372"/>
      <c r="E65" s="1220"/>
      <c r="F65" s="1220"/>
      <c r="G65" s="1215"/>
      <c r="H65" s="2300"/>
      <c r="I65" s="2300"/>
      <c r="J65" s="2300"/>
      <c r="K65" s="1222"/>
      <c r="L65" s="2300"/>
      <c r="M65" s="2300"/>
      <c r="N65" s="1216"/>
      <c r="O65" s="1206"/>
      <c r="P65" s="1206"/>
      <c r="Q65" s="1222"/>
      <c r="R65" s="1206"/>
      <c r="S65" s="1206"/>
    </row>
    <row r="66" spans="1:19" s="332" customFormat="1" ht="11.25" customHeight="1">
      <c r="B66" s="334" t="s">
        <v>789</v>
      </c>
      <c r="C66" s="334" t="s">
        <v>1604</v>
      </c>
      <c r="H66" s="2202"/>
      <c r="I66" s="2262"/>
      <c r="J66" s="2262"/>
      <c r="K66" s="2262"/>
      <c r="L66" s="2262"/>
      <c r="M66" s="2262"/>
      <c r="N66" s="2263"/>
      <c r="O66" s="1215" t="s">
        <v>2088</v>
      </c>
      <c r="P66" s="1215"/>
      <c r="Q66" s="2202"/>
      <c r="R66" s="2262"/>
      <c r="S66" s="2263"/>
    </row>
    <row r="67" spans="1:19" s="332" customFormat="1" ht="11.25" customHeight="1">
      <c r="D67" s="372"/>
      <c r="E67" s="337" t="s">
        <v>1071</v>
      </c>
      <c r="F67" s="344"/>
      <c r="H67" s="2202"/>
      <c r="I67" s="2262"/>
      <c r="J67" s="2262"/>
      <c r="K67" s="2262"/>
      <c r="L67" s="2262"/>
      <c r="M67" s="2262"/>
      <c r="N67" s="2263"/>
      <c r="O67" s="1215" t="s">
        <v>1835</v>
      </c>
      <c r="Q67" s="2202"/>
      <c r="R67" s="2262"/>
      <c r="S67" s="2263"/>
    </row>
    <row r="68" spans="1:19" s="332" customFormat="1" ht="11.25" customHeight="1">
      <c r="D68" s="372"/>
      <c r="E68" s="337" t="s">
        <v>649</v>
      </c>
      <c r="H68" s="2202"/>
      <c r="I68" s="2262"/>
      <c r="J68" s="2263"/>
      <c r="K68" s="1212" t="s">
        <v>2874</v>
      </c>
      <c r="L68" s="2202"/>
      <c r="M68" s="2262"/>
      <c r="N68" s="2263"/>
      <c r="O68" s="1215" t="s">
        <v>1891</v>
      </c>
      <c r="Q68" s="2210"/>
      <c r="R68" s="2215"/>
      <c r="S68" s="2211"/>
    </row>
    <row r="69" spans="1:19" s="332" customFormat="1" ht="11.25" customHeight="1">
      <c r="E69" s="337" t="s">
        <v>1887</v>
      </c>
      <c r="H69" s="2216"/>
      <c r="I69" s="359" t="s">
        <v>2336</v>
      </c>
      <c r="J69" s="2213"/>
      <c r="K69" s="2263"/>
      <c r="O69" s="1215" t="s">
        <v>2077</v>
      </c>
      <c r="Q69" s="2210"/>
      <c r="R69" s="2215"/>
      <c r="S69" s="2211"/>
    </row>
    <row r="70" spans="1:19" s="332" customFormat="1" ht="11.25" customHeight="1">
      <c r="D70" s="372"/>
      <c r="E70" s="337" t="s">
        <v>2083</v>
      </c>
      <c r="H70" s="2210"/>
      <c r="I70" s="2211"/>
      <c r="J70" s="2295"/>
      <c r="K70" s="1222" t="s">
        <v>1890</v>
      </c>
      <c r="L70" s="2248"/>
      <c r="M70" s="2263"/>
      <c r="N70" s="339" t="s">
        <v>2082</v>
      </c>
      <c r="O70" s="2217"/>
      <c r="P70" s="2218"/>
      <c r="Q70" s="2218"/>
      <c r="R70" s="2218"/>
      <c r="S70" s="2219"/>
    </row>
    <row r="71" spans="1:19" ht="6.6" customHeight="1">
      <c r="H71" s="2300"/>
      <c r="I71" s="2300"/>
      <c r="J71" s="2300"/>
      <c r="K71" s="1222"/>
      <c r="L71" s="2300"/>
      <c r="M71" s="2300"/>
      <c r="N71" s="1216"/>
      <c r="O71" s="1206"/>
      <c r="P71" s="1206"/>
      <c r="Q71" s="1222"/>
      <c r="R71" s="1206"/>
      <c r="S71" s="1206"/>
    </row>
    <row r="72" spans="1:19" s="332" customFormat="1" ht="11.25" customHeight="1">
      <c r="B72" s="334" t="s">
        <v>2216</v>
      </c>
      <c r="C72" s="334" t="s">
        <v>297</v>
      </c>
      <c r="H72" s="2202"/>
      <c r="I72" s="2262"/>
      <c r="J72" s="2262"/>
      <c r="K72" s="2262"/>
      <c r="L72" s="2262"/>
      <c r="M72" s="2262"/>
      <c r="N72" s="2263"/>
      <c r="O72" s="1215" t="s">
        <v>2088</v>
      </c>
      <c r="P72" s="1215"/>
      <c r="Q72" s="2202"/>
      <c r="R72" s="2262"/>
      <c r="S72" s="2263"/>
    </row>
    <row r="73" spans="1:19" s="332" customFormat="1" ht="11.25" customHeight="1">
      <c r="D73" s="372"/>
      <c r="E73" s="337" t="s">
        <v>1071</v>
      </c>
      <c r="F73" s="344"/>
      <c r="H73" s="2202"/>
      <c r="I73" s="2262"/>
      <c r="J73" s="2262"/>
      <c r="K73" s="2262"/>
      <c r="L73" s="2262"/>
      <c r="M73" s="2262"/>
      <c r="N73" s="2263"/>
      <c r="O73" s="1215" t="s">
        <v>1835</v>
      </c>
      <c r="Q73" s="2202"/>
      <c r="R73" s="2262"/>
      <c r="S73" s="2263"/>
    </row>
    <row r="74" spans="1:19" s="332" customFormat="1" ht="11.25" customHeight="1">
      <c r="D74" s="372"/>
      <c r="E74" s="337" t="s">
        <v>649</v>
      </c>
      <c r="H74" s="2202"/>
      <c r="I74" s="2262"/>
      <c r="J74" s="2263"/>
      <c r="K74" s="1212" t="s">
        <v>2874</v>
      </c>
      <c r="L74" s="2202"/>
      <c r="M74" s="2262"/>
      <c r="N74" s="2263"/>
      <c r="O74" s="1215" t="s">
        <v>1891</v>
      </c>
      <c r="Q74" s="2210"/>
      <c r="R74" s="2215"/>
      <c r="S74" s="2211"/>
    </row>
    <row r="75" spans="1:19" s="332" customFormat="1" ht="11.25" customHeight="1">
      <c r="E75" s="337" t="s">
        <v>1887</v>
      </c>
      <c r="H75" s="2216"/>
      <c r="I75" s="359" t="s">
        <v>2336</v>
      </c>
      <c r="J75" s="2213"/>
      <c r="K75" s="2263"/>
      <c r="O75" s="1215" t="s">
        <v>2077</v>
      </c>
      <c r="Q75" s="2210"/>
      <c r="R75" s="2215"/>
      <c r="S75" s="2211"/>
    </row>
    <row r="76" spans="1:19" s="332" customFormat="1" ht="11.25" customHeight="1">
      <c r="D76" s="372"/>
      <c r="E76" s="337" t="s">
        <v>2083</v>
      </c>
      <c r="H76" s="2210"/>
      <c r="I76" s="2211"/>
      <c r="J76" s="2295"/>
      <c r="K76" s="1222" t="s">
        <v>1890</v>
      </c>
      <c r="L76" s="2248"/>
      <c r="M76" s="2263"/>
      <c r="N76" s="339" t="s">
        <v>2082</v>
      </c>
      <c r="O76" s="2217"/>
      <c r="P76" s="2218"/>
      <c r="Q76" s="2218"/>
      <c r="R76" s="2218"/>
      <c r="S76" s="2219"/>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01"/>
      <c r="I79" s="2301"/>
      <c r="J79" s="2301"/>
      <c r="K79" s="1216"/>
      <c r="L79" s="2301"/>
      <c r="M79" s="2301"/>
      <c r="N79" s="1216"/>
      <c r="O79" s="1206"/>
      <c r="P79" s="1206"/>
      <c r="Q79" s="1222"/>
      <c r="R79" s="1206"/>
      <c r="S79" s="1206"/>
    </row>
    <row r="80" spans="1:19" s="332" customFormat="1" ht="11.25" customHeight="1">
      <c r="B80" s="334" t="s">
        <v>2081</v>
      </c>
      <c r="C80" s="334" t="s">
        <v>299</v>
      </c>
      <c r="H80" s="2202"/>
      <c r="I80" s="2262"/>
      <c r="J80" s="2262"/>
      <c r="K80" s="2262"/>
      <c r="L80" s="2262"/>
      <c r="M80" s="2262"/>
      <c r="N80" s="2263"/>
      <c r="O80" s="1215" t="s">
        <v>2088</v>
      </c>
      <c r="P80" s="1215"/>
      <c r="Q80" s="2202"/>
      <c r="R80" s="2262"/>
      <c r="S80" s="2263"/>
    </row>
    <row r="81" spans="2:19" s="332" customFormat="1" ht="11.25" customHeight="1">
      <c r="D81" s="372"/>
      <c r="E81" s="337" t="s">
        <v>1071</v>
      </c>
      <c r="F81" s="344"/>
      <c r="H81" s="2202"/>
      <c r="I81" s="2262"/>
      <c r="J81" s="2262"/>
      <c r="K81" s="2262"/>
      <c r="L81" s="2262"/>
      <c r="M81" s="2262"/>
      <c r="N81" s="2263"/>
      <c r="O81" s="1215" t="s">
        <v>1835</v>
      </c>
      <c r="Q81" s="2202"/>
      <c r="R81" s="2262"/>
      <c r="S81" s="2263"/>
    </row>
    <row r="82" spans="2:19" s="332" customFormat="1" ht="11.25" customHeight="1">
      <c r="D82" s="372"/>
      <c r="E82" s="337" t="s">
        <v>649</v>
      </c>
      <c r="H82" s="2202"/>
      <c r="I82" s="2262"/>
      <c r="J82" s="2263"/>
      <c r="K82" s="1212" t="s">
        <v>2874</v>
      </c>
      <c r="L82" s="2202"/>
      <c r="M82" s="2262"/>
      <c r="N82" s="2263"/>
      <c r="O82" s="1215" t="s">
        <v>1891</v>
      </c>
      <c r="Q82" s="2210"/>
      <c r="R82" s="2215"/>
      <c r="S82" s="2211"/>
    </row>
    <row r="83" spans="2:19" s="332" customFormat="1" ht="11.25" customHeight="1">
      <c r="E83" s="337" t="s">
        <v>1887</v>
      </c>
      <c r="H83" s="2216"/>
      <c r="I83" s="359" t="s">
        <v>2336</v>
      </c>
      <c r="J83" s="2213"/>
      <c r="K83" s="2263"/>
      <c r="O83" s="1215" t="s">
        <v>2077</v>
      </c>
      <c r="Q83" s="2210"/>
      <c r="R83" s="2215"/>
      <c r="S83" s="2211"/>
    </row>
    <row r="84" spans="2:19" s="332" customFormat="1" ht="11.25" customHeight="1">
      <c r="D84" s="372"/>
      <c r="E84" s="337" t="s">
        <v>2083</v>
      </c>
      <c r="H84" s="2210"/>
      <c r="I84" s="2211"/>
      <c r="J84" s="2295"/>
      <c r="K84" s="1222" t="s">
        <v>1890</v>
      </c>
      <c r="L84" s="2248"/>
      <c r="M84" s="2263"/>
      <c r="N84" s="339" t="s">
        <v>2082</v>
      </c>
      <c r="O84" s="2217"/>
      <c r="P84" s="2218"/>
      <c r="Q84" s="2218"/>
      <c r="R84" s="2218"/>
      <c r="S84" s="2219"/>
    </row>
    <row r="85" spans="2:19" ht="6.6" customHeight="1">
      <c r="H85" s="2300"/>
      <c r="I85" s="2300"/>
      <c r="J85" s="2300"/>
      <c r="K85" s="1222"/>
      <c r="L85" s="2300"/>
      <c r="M85" s="2300"/>
      <c r="N85" s="1216"/>
      <c r="O85" s="1206"/>
      <c r="P85" s="1206"/>
      <c r="Q85" s="1222"/>
      <c r="R85" s="1206"/>
      <c r="S85" s="1206"/>
    </row>
    <row r="86" spans="2:19" s="332" customFormat="1" ht="11.25" customHeight="1">
      <c r="B86" s="334" t="s">
        <v>2084</v>
      </c>
      <c r="C86" s="334" t="s">
        <v>300</v>
      </c>
      <c r="H86" s="2202" t="s">
        <v>4434</v>
      </c>
      <c r="I86" s="2262"/>
      <c r="J86" s="2262"/>
      <c r="K86" s="2262"/>
      <c r="L86" s="2262"/>
      <c r="M86" s="2262"/>
      <c r="N86" s="2263"/>
      <c r="O86" s="1215" t="s">
        <v>2088</v>
      </c>
      <c r="P86" s="1215"/>
      <c r="Q86" s="2202" t="s">
        <v>4513</v>
      </c>
      <c r="R86" s="2262"/>
      <c r="S86" s="2263"/>
    </row>
    <row r="87" spans="2:19" s="332" customFormat="1" ht="11.25" customHeight="1">
      <c r="D87" s="372"/>
      <c r="E87" s="337" t="s">
        <v>1071</v>
      </c>
      <c r="F87" s="344"/>
      <c r="H87" s="2202" t="s">
        <v>4435</v>
      </c>
      <c r="I87" s="2262"/>
      <c r="J87" s="2262"/>
      <c r="K87" s="2262"/>
      <c r="L87" s="2262"/>
      <c r="M87" s="2262"/>
      <c r="N87" s="2263"/>
      <c r="O87" s="1215" t="s">
        <v>1835</v>
      </c>
      <c r="Q87" s="2202" t="s">
        <v>4514</v>
      </c>
      <c r="R87" s="2262"/>
      <c r="S87" s="2263"/>
    </row>
    <row r="88" spans="2:19" s="332" customFormat="1" ht="11.25" customHeight="1">
      <c r="D88" s="372"/>
      <c r="E88" s="337" t="s">
        <v>649</v>
      </c>
      <c r="H88" s="2202" t="s">
        <v>2266</v>
      </c>
      <c r="I88" s="2262"/>
      <c r="J88" s="2263"/>
      <c r="K88" s="1212" t="s">
        <v>2874</v>
      </c>
      <c r="L88" s="2202" t="s">
        <v>4512</v>
      </c>
      <c r="M88" s="2262"/>
      <c r="N88" s="2263"/>
      <c r="O88" s="1215" t="s">
        <v>1891</v>
      </c>
      <c r="Q88" s="2210">
        <v>8006727090</v>
      </c>
      <c r="R88" s="2215"/>
      <c r="S88" s="2211"/>
    </row>
    <row r="89" spans="2:19" s="332" customFormat="1" ht="11.25" customHeight="1">
      <c r="E89" s="337" t="s">
        <v>1887</v>
      </c>
      <c r="H89" s="2216" t="s">
        <v>890</v>
      </c>
      <c r="I89" s="359" t="s">
        <v>2336</v>
      </c>
      <c r="J89" s="2213">
        <v>300755860</v>
      </c>
      <c r="K89" s="2263"/>
      <c r="O89" s="1215" t="s">
        <v>2077</v>
      </c>
      <c r="Q89" s="2210">
        <v>6788968422</v>
      </c>
      <c r="R89" s="2215"/>
      <c r="S89" s="2211"/>
    </row>
    <row r="90" spans="2:19" s="332" customFormat="1" ht="11.25" customHeight="1">
      <c r="D90" s="372"/>
      <c r="E90" s="337" t="s">
        <v>2083</v>
      </c>
      <c r="H90" s="2210">
        <v>8006727090</v>
      </c>
      <c r="I90" s="2211"/>
      <c r="J90" s="2295"/>
      <c r="K90" s="1222" t="s">
        <v>1890</v>
      </c>
      <c r="L90" s="2248"/>
      <c r="M90" s="2263"/>
      <c r="N90" s="339" t="s">
        <v>2082</v>
      </c>
      <c r="O90" s="2217" t="s">
        <v>4515</v>
      </c>
      <c r="P90" s="2218"/>
      <c r="Q90" s="2218"/>
      <c r="R90" s="2218"/>
      <c r="S90" s="2219"/>
    </row>
    <row r="91" spans="2:19" ht="6.6" customHeight="1">
      <c r="H91" s="2300"/>
      <c r="I91" s="2300"/>
      <c r="J91" s="2300"/>
      <c r="K91" s="1222"/>
      <c r="L91" s="2300"/>
      <c r="M91" s="2300"/>
      <c r="N91" s="1216"/>
      <c r="O91" s="1206"/>
      <c r="P91" s="1206"/>
      <c r="Q91" s="1222"/>
      <c r="R91" s="1206"/>
      <c r="S91" s="1206"/>
    </row>
    <row r="92" spans="2:19" s="332" customFormat="1" ht="11.25" customHeight="1">
      <c r="B92" s="334" t="s">
        <v>789</v>
      </c>
      <c r="C92" s="334" t="s">
        <v>301</v>
      </c>
      <c r="F92" s="348"/>
      <c r="H92" s="2202" t="s">
        <v>4427</v>
      </c>
      <c r="I92" s="2262"/>
      <c r="J92" s="2262"/>
      <c r="K92" s="2262"/>
      <c r="L92" s="2262"/>
      <c r="M92" s="2262"/>
      <c r="N92" s="2263"/>
      <c r="O92" s="1215" t="s">
        <v>2088</v>
      </c>
      <c r="P92" s="1215"/>
      <c r="Q92" s="2202" t="s">
        <v>4396</v>
      </c>
      <c r="R92" s="2262"/>
      <c r="S92" s="2263"/>
    </row>
    <row r="93" spans="2:19" s="332" customFormat="1" ht="11.25" customHeight="1">
      <c r="D93" s="372"/>
      <c r="E93" s="337" t="s">
        <v>1071</v>
      </c>
      <c r="F93" s="344"/>
      <c r="H93" s="2202" t="s">
        <v>4395</v>
      </c>
      <c r="I93" s="2262"/>
      <c r="J93" s="2262"/>
      <c r="K93" s="2262"/>
      <c r="L93" s="2262"/>
      <c r="M93" s="2262"/>
      <c r="N93" s="2263"/>
      <c r="O93" s="1215" t="s">
        <v>1835</v>
      </c>
      <c r="Q93" s="2202" t="s">
        <v>4419</v>
      </c>
      <c r="R93" s="2262"/>
      <c r="S93" s="2263"/>
    </row>
    <row r="94" spans="2:19" s="332" customFormat="1" ht="11.25" customHeight="1">
      <c r="D94" s="372"/>
      <c r="E94" s="337" t="s">
        <v>649</v>
      </c>
      <c r="H94" s="2202" t="s">
        <v>1264</v>
      </c>
      <c r="I94" s="2262"/>
      <c r="J94" s="2263"/>
      <c r="K94" s="1212" t="s">
        <v>2874</v>
      </c>
      <c r="L94" s="2202" t="s">
        <v>4511</v>
      </c>
      <c r="M94" s="2262"/>
      <c r="N94" s="2263"/>
      <c r="O94" s="1215" t="s">
        <v>1891</v>
      </c>
      <c r="Q94" s="2210">
        <v>6788161329</v>
      </c>
      <c r="R94" s="2215"/>
      <c r="S94" s="2211"/>
    </row>
    <row r="95" spans="2:19" s="332" customFormat="1" ht="11.25" customHeight="1">
      <c r="D95" s="372"/>
      <c r="E95" s="337" t="s">
        <v>1887</v>
      </c>
      <c r="H95" s="2216" t="s">
        <v>890</v>
      </c>
      <c r="I95" s="359" t="s">
        <v>2336</v>
      </c>
      <c r="J95" s="2213">
        <v>303285836</v>
      </c>
      <c r="K95" s="2263"/>
      <c r="O95" s="1215" t="s">
        <v>2077</v>
      </c>
      <c r="Q95" s="2210"/>
      <c r="R95" s="2215"/>
      <c r="S95" s="2211"/>
    </row>
    <row r="96" spans="2:19" s="332" customFormat="1" ht="11.25" customHeight="1">
      <c r="D96" s="372"/>
      <c r="E96" s="337" t="s">
        <v>2083</v>
      </c>
      <c r="H96" s="2210">
        <v>6788161329</v>
      </c>
      <c r="I96" s="2211"/>
      <c r="J96" s="2295"/>
      <c r="K96" s="1222" t="s">
        <v>1890</v>
      </c>
      <c r="L96" s="2248">
        <v>6788161299</v>
      </c>
      <c r="M96" s="2263"/>
      <c r="N96" s="339" t="s">
        <v>2082</v>
      </c>
      <c r="O96" s="2217" t="s">
        <v>4398</v>
      </c>
      <c r="P96" s="2218"/>
      <c r="Q96" s="2218"/>
      <c r="R96" s="2218"/>
      <c r="S96" s="2219"/>
    </row>
    <row r="97" spans="2:19" ht="6.6" customHeight="1">
      <c r="H97" s="2300"/>
      <c r="I97" s="2300"/>
      <c r="J97" s="2300"/>
      <c r="K97" s="1222"/>
      <c r="L97" s="2300"/>
      <c r="M97" s="2300"/>
      <c r="N97" s="1216"/>
      <c r="O97" s="1206"/>
      <c r="P97" s="1206"/>
      <c r="Q97" s="1222"/>
      <c r="R97" s="1206"/>
      <c r="S97" s="1206"/>
    </row>
    <row r="98" spans="2:19" s="332" customFormat="1" ht="11.25" customHeight="1">
      <c r="B98" s="334" t="s">
        <v>2216</v>
      </c>
      <c r="C98" s="334" t="s">
        <v>302</v>
      </c>
      <c r="H98" s="2202" t="s">
        <v>4464</v>
      </c>
      <c r="I98" s="2262"/>
      <c r="J98" s="2262"/>
      <c r="K98" s="2262"/>
      <c r="L98" s="2262"/>
      <c r="M98" s="2262"/>
      <c r="N98" s="2263"/>
      <c r="O98" s="1215" t="s">
        <v>2088</v>
      </c>
      <c r="P98" s="1215"/>
      <c r="Q98" s="2202" t="s">
        <v>4516</v>
      </c>
      <c r="R98" s="2262"/>
      <c r="S98" s="2263"/>
    </row>
    <row r="99" spans="2:19" s="332" customFormat="1" ht="11.25" customHeight="1">
      <c r="D99" s="372"/>
      <c r="E99" s="337" t="s">
        <v>1071</v>
      </c>
      <c r="F99" s="344"/>
      <c r="H99" s="2202" t="s">
        <v>4465</v>
      </c>
      <c r="I99" s="2262"/>
      <c r="J99" s="2262"/>
      <c r="K99" s="2262"/>
      <c r="L99" s="2262"/>
      <c r="M99" s="2262"/>
      <c r="N99" s="2263"/>
      <c r="O99" s="1215" t="s">
        <v>1835</v>
      </c>
      <c r="Q99" s="2202" t="s">
        <v>4517</v>
      </c>
      <c r="R99" s="2262"/>
      <c r="S99" s="2263"/>
    </row>
    <row r="100" spans="2:19" s="332" customFormat="1" ht="11.25" customHeight="1">
      <c r="D100" s="372"/>
      <c r="E100" s="337" t="s">
        <v>649</v>
      </c>
      <c r="H100" s="2202" t="s">
        <v>166</v>
      </c>
      <c r="I100" s="2262"/>
      <c r="J100" s="2263"/>
      <c r="K100" s="1212" t="s">
        <v>2874</v>
      </c>
      <c r="L100" s="2202" t="s">
        <v>4519</v>
      </c>
      <c r="M100" s="2262"/>
      <c r="N100" s="2263"/>
      <c r="O100" s="1215" t="s">
        <v>1891</v>
      </c>
      <c r="Q100" s="2210">
        <v>6146281458</v>
      </c>
      <c r="R100" s="2215"/>
      <c r="S100" s="2211"/>
    </row>
    <row r="101" spans="2:19" s="332" customFormat="1" ht="11.25" customHeight="1">
      <c r="D101" s="372"/>
      <c r="E101" s="337" t="s">
        <v>1887</v>
      </c>
      <c r="H101" s="2216" t="s">
        <v>1417</v>
      </c>
      <c r="I101" s="359" t="s">
        <v>2336</v>
      </c>
      <c r="J101" s="2213">
        <v>432153300</v>
      </c>
      <c r="K101" s="2263"/>
      <c r="O101" s="1215" t="s">
        <v>2077</v>
      </c>
      <c r="Q101" s="2210"/>
      <c r="R101" s="2215"/>
      <c r="S101" s="2211"/>
    </row>
    <row r="102" spans="2:19" ht="11.25" customHeight="1">
      <c r="E102" s="337" t="s">
        <v>2083</v>
      </c>
      <c r="F102" s="332"/>
      <c r="G102" s="332"/>
      <c r="H102" s="2210">
        <v>6146280096</v>
      </c>
      <c r="I102" s="2211"/>
      <c r="J102" s="2295"/>
      <c r="K102" s="1222" t="s">
        <v>1890</v>
      </c>
      <c r="L102" s="2248">
        <v>6146281433</v>
      </c>
      <c r="M102" s="2263"/>
      <c r="N102" s="339" t="s">
        <v>2082</v>
      </c>
      <c r="O102" s="2217" t="s">
        <v>4518</v>
      </c>
      <c r="P102" s="2218"/>
      <c r="Q102" s="2218"/>
      <c r="R102" s="2218"/>
      <c r="S102" s="2219"/>
    </row>
    <row r="103" spans="2:19" ht="6" customHeight="1">
      <c r="E103" s="337"/>
      <c r="F103" s="332"/>
      <c r="G103" s="332"/>
      <c r="H103" s="332"/>
      <c r="I103" s="332"/>
      <c r="J103" s="332"/>
      <c r="K103" s="332"/>
      <c r="L103" s="332"/>
      <c r="M103" s="332"/>
      <c r="N103" s="332"/>
      <c r="O103" s="332"/>
      <c r="P103" s="332"/>
      <c r="Q103" s="1222"/>
      <c r="R103" s="1222"/>
      <c r="S103" s="2302"/>
    </row>
    <row r="104" spans="2:19" ht="0.6" customHeight="1">
      <c r="E104" s="337"/>
      <c r="F104" s="332"/>
      <c r="G104" s="1220"/>
      <c r="H104" s="2301"/>
      <c r="I104" s="2301"/>
      <c r="J104" s="2301"/>
      <c r="K104" s="1216"/>
      <c r="L104" s="2301"/>
      <c r="M104" s="2301"/>
      <c r="N104" s="1216"/>
      <c r="O104" s="1206"/>
      <c r="P104" s="1206"/>
      <c r="Q104" s="1222"/>
      <c r="R104" s="1206"/>
      <c r="S104" s="1206"/>
    </row>
    <row r="105" spans="2:19" s="332" customFormat="1" ht="11.25" customHeight="1">
      <c r="B105" s="334" t="s">
        <v>1823</v>
      </c>
      <c r="C105" s="334" t="s">
        <v>303</v>
      </c>
      <c r="H105" s="2202" t="s">
        <v>4526</v>
      </c>
      <c r="I105" s="2262"/>
      <c r="J105" s="2262"/>
      <c r="K105" s="2262"/>
      <c r="L105" s="2262"/>
      <c r="M105" s="2262"/>
      <c r="N105" s="2263"/>
      <c r="O105" s="1215" t="s">
        <v>2088</v>
      </c>
      <c r="P105" s="1215"/>
      <c r="Q105" s="2202" t="s">
        <v>4528</v>
      </c>
      <c r="R105" s="2262"/>
      <c r="S105" s="2263"/>
    </row>
    <row r="106" spans="2:19" s="332" customFormat="1" ht="11.25" customHeight="1">
      <c r="D106" s="372"/>
      <c r="E106" s="337" t="s">
        <v>1071</v>
      </c>
      <c r="F106" s="344"/>
      <c r="H106" s="2202" t="s">
        <v>4529</v>
      </c>
      <c r="I106" s="2262"/>
      <c r="J106" s="2262"/>
      <c r="K106" s="2262"/>
      <c r="L106" s="2262"/>
      <c r="M106" s="2262"/>
      <c r="N106" s="2263"/>
      <c r="O106" s="1215" t="s">
        <v>1835</v>
      </c>
      <c r="Q106" s="2202" t="s">
        <v>4517</v>
      </c>
      <c r="R106" s="2262"/>
      <c r="S106" s="2263"/>
    </row>
    <row r="107" spans="2:19" s="332" customFormat="1" ht="11.25" customHeight="1">
      <c r="D107" s="372"/>
      <c r="E107" s="337" t="s">
        <v>649</v>
      </c>
      <c r="H107" s="2202" t="s">
        <v>1264</v>
      </c>
      <c r="I107" s="2262"/>
      <c r="J107" s="2263"/>
      <c r="K107" s="1212" t="s">
        <v>2874</v>
      </c>
      <c r="L107" s="2202" t="s">
        <v>4530</v>
      </c>
      <c r="M107" s="2262"/>
      <c r="N107" s="2263"/>
      <c r="O107" s="1215" t="s">
        <v>1891</v>
      </c>
      <c r="Q107" s="2210">
        <v>4042504050</v>
      </c>
      <c r="R107" s="2215"/>
      <c r="S107" s="2211"/>
    </row>
    <row r="108" spans="2:19" s="332" customFormat="1" ht="11.25" customHeight="1">
      <c r="D108" s="372"/>
      <c r="E108" s="337" t="s">
        <v>1887</v>
      </c>
      <c r="H108" s="2216" t="s">
        <v>890</v>
      </c>
      <c r="I108" s="359" t="s">
        <v>2336</v>
      </c>
      <c r="J108" s="2213">
        <v>303284276</v>
      </c>
      <c r="K108" s="2263"/>
      <c r="O108" s="1215" t="s">
        <v>2077</v>
      </c>
      <c r="Q108" s="2210"/>
      <c r="R108" s="2215"/>
      <c r="S108" s="2211"/>
    </row>
    <row r="109" spans="2:19" ht="11.25" customHeight="1">
      <c r="E109" s="337" t="s">
        <v>2083</v>
      </c>
      <c r="F109" s="332"/>
      <c r="G109" s="332"/>
      <c r="H109" s="2210">
        <v>4042504050</v>
      </c>
      <c r="I109" s="2211"/>
      <c r="J109" s="2295"/>
      <c r="K109" s="1222" t="s">
        <v>1890</v>
      </c>
      <c r="L109" s="2248"/>
      <c r="M109" s="2263"/>
      <c r="N109" s="339" t="s">
        <v>2082</v>
      </c>
      <c r="O109" s="2217" t="s">
        <v>4527</v>
      </c>
      <c r="P109" s="2218"/>
      <c r="Q109" s="2218"/>
      <c r="R109" s="2218"/>
      <c r="S109" s="2219"/>
    </row>
    <row r="110" spans="2:19" ht="6.6" customHeight="1">
      <c r="E110" s="337"/>
      <c r="F110" s="332"/>
      <c r="G110" s="1220"/>
      <c r="H110" s="2300"/>
      <c r="I110" s="2300"/>
      <c r="J110" s="2300"/>
      <c r="K110" s="1222"/>
      <c r="L110" s="2300"/>
      <c r="M110" s="2300"/>
      <c r="N110" s="1216"/>
      <c r="O110" s="1206"/>
      <c r="P110" s="1206"/>
      <c r="Q110" s="1222"/>
      <c r="R110" s="1206"/>
      <c r="S110" s="1206"/>
    </row>
    <row r="111" spans="2:19" s="332" customFormat="1" ht="11.25" customHeight="1">
      <c r="B111" s="334" t="s">
        <v>1824</v>
      </c>
      <c r="C111" s="334" t="s">
        <v>304</v>
      </c>
      <c r="H111" s="2202" t="s">
        <v>4509</v>
      </c>
      <c r="I111" s="2262"/>
      <c r="J111" s="2262"/>
      <c r="K111" s="2262"/>
      <c r="L111" s="2262"/>
      <c r="M111" s="2262"/>
      <c r="N111" s="2263"/>
      <c r="O111" s="1215" t="s">
        <v>2088</v>
      </c>
      <c r="P111" s="1215"/>
      <c r="Q111" s="2202" t="s">
        <v>4521</v>
      </c>
      <c r="R111" s="2262"/>
      <c r="S111" s="2263"/>
    </row>
    <row r="112" spans="2:19" s="332" customFormat="1" ht="11.25" customHeight="1">
      <c r="D112" s="372"/>
      <c r="E112" s="337" t="s">
        <v>1071</v>
      </c>
      <c r="F112" s="344"/>
      <c r="H112" s="2202" t="s">
        <v>4510</v>
      </c>
      <c r="I112" s="2262"/>
      <c r="J112" s="2262"/>
      <c r="K112" s="2262"/>
      <c r="L112" s="2262"/>
      <c r="M112" s="2262"/>
      <c r="N112" s="2263"/>
      <c r="O112" s="1215" t="s">
        <v>1835</v>
      </c>
      <c r="Q112" s="2202" t="s">
        <v>2597</v>
      </c>
      <c r="R112" s="2262"/>
      <c r="S112" s="2263"/>
    </row>
    <row r="113" spans="1:19" s="332" customFormat="1" ht="11.25" customHeight="1">
      <c r="D113" s="372"/>
      <c r="E113" s="337" t="s">
        <v>649</v>
      </c>
      <c r="H113" s="2202" t="s">
        <v>1781</v>
      </c>
      <c r="I113" s="2262"/>
      <c r="J113" s="2263"/>
      <c r="K113" s="1212" t="s">
        <v>2874</v>
      </c>
      <c r="L113" s="2202" t="s">
        <v>4520</v>
      </c>
      <c r="M113" s="2262"/>
      <c r="N113" s="2263"/>
      <c r="O113" s="1215" t="s">
        <v>1891</v>
      </c>
      <c r="Q113" s="2210">
        <v>2292441188</v>
      </c>
      <c r="R113" s="2215"/>
      <c r="S113" s="2211"/>
    </row>
    <row r="114" spans="1:19" s="332" customFormat="1" ht="11.25" customHeight="1">
      <c r="D114" s="376"/>
      <c r="E114" s="337" t="s">
        <v>1887</v>
      </c>
      <c r="H114" s="2216" t="s">
        <v>890</v>
      </c>
      <c r="I114" s="359" t="s">
        <v>2336</v>
      </c>
      <c r="J114" s="2213">
        <v>316023735</v>
      </c>
      <c r="K114" s="2263"/>
      <c r="O114" s="1215" t="s">
        <v>2077</v>
      </c>
      <c r="Q114" s="2210">
        <v>2295611863</v>
      </c>
      <c r="R114" s="2215"/>
      <c r="S114" s="2211"/>
    </row>
    <row r="115" spans="1:19" s="332" customFormat="1" ht="11.25" customHeight="1">
      <c r="D115" s="376"/>
      <c r="E115" s="337" t="s">
        <v>2083</v>
      </c>
      <c r="H115" s="2210">
        <v>2292441188</v>
      </c>
      <c r="I115" s="2211"/>
      <c r="J115" s="2295"/>
      <c r="K115" s="1222" t="s">
        <v>1890</v>
      </c>
      <c r="L115" s="2248">
        <v>2292441188</v>
      </c>
      <c r="M115" s="2263"/>
      <c r="N115" s="339" t="s">
        <v>2082</v>
      </c>
      <c r="O115" s="2217" t="s">
        <v>4522</v>
      </c>
      <c r="P115" s="2218"/>
      <c r="Q115" s="2218"/>
      <c r="R115" s="2218"/>
      <c r="S115" s="2219"/>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2081</v>
      </c>
      <c r="C119" s="334" t="s">
        <v>3175</v>
      </c>
      <c r="H119" s="1207"/>
      <c r="I119" s="1207"/>
      <c r="J119" s="1207"/>
      <c r="K119" s="1207"/>
      <c r="L119" s="1207"/>
      <c r="M119" s="1207"/>
      <c r="N119" s="1207"/>
      <c r="O119" s="1207"/>
      <c r="P119" s="1207"/>
      <c r="Q119" s="1207"/>
      <c r="R119" s="1207"/>
      <c r="S119" s="1207"/>
    </row>
    <row r="120" spans="1:19" ht="11.25" customHeight="1">
      <c r="A120" s="1395" t="s">
        <v>4022</v>
      </c>
      <c r="B120" s="1395"/>
      <c r="C120" s="1395"/>
      <c r="D120" s="1395"/>
      <c r="E120" s="1396"/>
      <c r="F120" s="2303" t="s">
        <v>2636</v>
      </c>
      <c r="G120" s="2304" t="s">
        <v>4217</v>
      </c>
      <c r="H120" s="2305"/>
      <c r="I120" s="2305"/>
      <c r="J120" s="2305"/>
      <c r="K120" s="2305"/>
      <c r="L120" s="2305"/>
      <c r="M120" s="2305"/>
      <c r="N120" s="2305"/>
      <c r="O120" s="2305"/>
      <c r="P120" s="2305"/>
      <c r="Q120" s="2305"/>
      <c r="R120" s="2305"/>
      <c r="S120" s="2306"/>
    </row>
    <row r="121" spans="1:19" s="332" customFormat="1" ht="35.25" customHeight="1">
      <c r="B121" s="580"/>
      <c r="C121" s="852" t="s">
        <v>2085</v>
      </c>
      <c r="D121" s="1393" t="s">
        <v>3176</v>
      </c>
      <c r="E121" s="1394"/>
      <c r="F121" s="2307" t="s">
        <v>3424</v>
      </c>
      <c r="G121" s="2308"/>
      <c r="H121" s="2309"/>
      <c r="I121" s="2309"/>
      <c r="J121" s="2309"/>
      <c r="K121" s="2309"/>
      <c r="L121" s="2309"/>
      <c r="M121" s="2309"/>
      <c r="N121" s="2309"/>
      <c r="O121" s="2309"/>
      <c r="P121" s="2309"/>
      <c r="Q121" s="2309"/>
      <c r="R121" s="2309"/>
      <c r="S121" s="2310"/>
    </row>
    <row r="122" spans="1:19" s="332" customFormat="1" ht="35.25" customHeight="1">
      <c r="B122" s="580"/>
      <c r="C122" s="852" t="s">
        <v>2087</v>
      </c>
      <c r="D122" s="1393" t="s">
        <v>3296</v>
      </c>
      <c r="E122" s="1394"/>
      <c r="F122" s="2311" t="s">
        <v>3421</v>
      </c>
      <c r="G122" s="2312" t="s">
        <v>4420</v>
      </c>
      <c r="H122" s="2313"/>
      <c r="I122" s="2313"/>
      <c r="J122" s="2313"/>
      <c r="K122" s="2313"/>
      <c r="L122" s="2313"/>
      <c r="M122" s="2313"/>
      <c r="N122" s="2313"/>
      <c r="O122" s="2313"/>
      <c r="P122" s="2313"/>
      <c r="Q122" s="2313"/>
      <c r="R122" s="2313"/>
      <c r="S122" s="2314"/>
    </row>
    <row r="123" spans="1:19" s="332" customFormat="1" ht="35.25" customHeight="1">
      <c r="B123" s="580"/>
      <c r="C123" s="852" t="s">
        <v>2661</v>
      </c>
      <c r="D123" s="1393" t="s">
        <v>3262</v>
      </c>
      <c r="E123" s="1394"/>
      <c r="F123" s="2311" t="s">
        <v>3424</v>
      </c>
      <c r="G123" s="2312"/>
      <c r="H123" s="2313"/>
      <c r="I123" s="2313"/>
      <c r="J123" s="2313"/>
      <c r="K123" s="2313"/>
      <c r="L123" s="2313"/>
      <c r="M123" s="2313"/>
      <c r="N123" s="2313"/>
      <c r="O123" s="2313"/>
      <c r="P123" s="2313"/>
      <c r="Q123" s="2313"/>
      <c r="R123" s="2313"/>
      <c r="S123" s="2314"/>
    </row>
    <row r="124" spans="1:19" s="332" customFormat="1" ht="35.25" customHeight="1">
      <c r="B124" s="580"/>
      <c r="C124" s="852" t="s">
        <v>1283</v>
      </c>
      <c r="D124" s="1393" t="s">
        <v>3177</v>
      </c>
      <c r="E124" s="1394"/>
      <c r="F124" s="2311" t="s">
        <v>3424</v>
      </c>
      <c r="G124" s="2312"/>
      <c r="H124" s="2313"/>
      <c r="I124" s="2313"/>
      <c r="J124" s="2313"/>
      <c r="K124" s="2313"/>
      <c r="L124" s="2313"/>
      <c r="M124" s="2313"/>
      <c r="N124" s="2313"/>
      <c r="O124" s="2313"/>
      <c r="P124" s="2313"/>
      <c r="Q124" s="2313"/>
      <c r="R124" s="2313"/>
      <c r="S124" s="2314"/>
    </row>
    <row r="125" spans="1:19" s="332" customFormat="1" ht="35.25" customHeight="1">
      <c r="B125" s="580"/>
      <c r="C125" s="852" t="s">
        <v>1284</v>
      </c>
      <c r="D125" s="1393" t="s">
        <v>4166</v>
      </c>
      <c r="E125" s="1394"/>
      <c r="F125" s="2311" t="s">
        <v>3424</v>
      </c>
      <c r="G125" s="2312"/>
      <c r="H125" s="2313"/>
      <c r="I125" s="2313"/>
      <c r="J125" s="2313"/>
      <c r="K125" s="2313"/>
      <c r="L125" s="2313"/>
      <c r="M125" s="2313"/>
      <c r="N125" s="2313"/>
      <c r="O125" s="2313"/>
      <c r="P125" s="2313"/>
      <c r="Q125" s="2313"/>
      <c r="R125" s="2313"/>
      <c r="S125" s="2314"/>
    </row>
    <row r="126" spans="1:19" s="332" customFormat="1" ht="35.25" customHeight="1">
      <c r="B126" s="580"/>
      <c r="C126" s="852" t="s">
        <v>1978</v>
      </c>
      <c r="D126" s="1393" t="s">
        <v>4167</v>
      </c>
      <c r="E126" s="1394"/>
      <c r="F126" s="2311" t="s">
        <v>3424</v>
      </c>
      <c r="G126" s="2312"/>
      <c r="H126" s="2313"/>
      <c r="I126" s="2313"/>
      <c r="J126" s="2313"/>
      <c r="K126" s="2313"/>
      <c r="L126" s="2313"/>
      <c r="M126" s="2313"/>
      <c r="N126" s="2313"/>
      <c r="O126" s="2313"/>
      <c r="P126" s="2313"/>
      <c r="Q126" s="2313"/>
      <c r="R126" s="2313"/>
      <c r="S126" s="2314"/>
    </row>
    <row r="127" spans="1:19" s="332" customFormat="1" ht="35.25" customHeight="1">
      <c r="B127" s="580"/>
      <c r="C127" s="852" t="s">
        <v>526</v>
      </c>
      <c r="D127" s="1393" t="s">
        <v>3178</v>
      </c>
      <c r="E127" s="1394"/>
      <c r="F127" s="2311" t="s">
        <v>3424</v>
      </c>
      <c r="G127" s="2312"/>
      <c r="H127" s="2313"/>
      <c r="I127" s="2313"/>
      <c r="J127" s="2313"/>
      <c r="K127" s="2313"/>
      <c r="L127" s="2313"/>
      <c r="M127" s="2313"/>
      <c r="N127" s="2313"/>
      <c r="O127" s="2313"/>
      <c r="P127" s="2313"/>
      <c r="Q127" s="2313"/>
      <c r="R127" s="2313"/>
      <c r="S127" s="2314"/>
    </row>
    <row r="128" spans="1:19" s="332" customFormat="1" ht="35.25" customHeight="1">
      <c r="B128" s="580"/>
      <c r="C128" s="852" t="s">
        <v>527</v>
      </c>
      <c r="D128" s="1393" t="s">
        <v>1679</v>
      </c>
      <c r="E128" s="1394"/>
      <c r="F128" s="2315" t="s">
        <v>3424</v>
      </c>
      <c r="G128" s="2316"/>
      <c r="H128" s="2317"/>
      <c r="I128" s="2317"/>
      <c r="J128" s="2317"/>
      <c r="K128" s="2317"/>
      <c r="L128" s="2317"/>
      <c r="M128" s="2317"/>
      <c r="N128" s="2317"/>
      <c r="O128" s="2317"/>
      <c r="P128" s="2317"/>
      <c r="Q128" s="2317"/>
      <c r="R128" s="2317"/>
      <c r="S128" s="2318"/>
    </row>
    <row r="129" spans="1:19" s="332" customFormat="1" ht="13.15" customHeight="1">
      <c r="A129" s="334" t="s">
        <v>1880</v>
      </c>
      <c r="B129" s="334" t="s">
        <v>3188</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2084</v>
      </c>
      <c r="C131" s="334" t="s">
        <v>3179</v>
      </c>
    </row>
    <row r="132" spans="1:19" s="332" customFormat="1" ht="13.5" customHeight="1">
      <c r="A132" s="1406" t="s">
        <v>671</v>
      </c>
      <c r="B132" s="1407"/>
      <c r="C132" s="1407"/>
      <c r="D132" s="1407"/>
      <c r="E132" s="1412" t="s">
        <v>4028</v>
      </c>
      <c r="F132" s="1381"/>
      <c r="G132" s="1381"/>
      <c r="H132" s="1381"/>
      <c r="I132" s="1382"/>
      <c r="J132" s="1386" t="s">
        <v>4029</v>
      </c>
      <c r="K132" s="1389" t="s">
        <v>3331</v>
      </c>
      <c r="L132" s="1389" t="s">
        <v>3332</v>
      </c>
      <c r="M132" s="1380" t="s">
        <v>4058</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4120</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2636</v>
      </c>
      <c r="J136" s="1388"/>
      <c r="K136" s="1391"/>
      <c r="L136" s="1390"/>
      <c r="M136" s="403" t="s">
        <v>2636</v>
      </c>
      <c r="N136" s="1363" t="s">
        <v>3330</v>
      </c>
      <c r="O136" s="1363"/>
      <c r="P136" s="1363"/>
      <c r="Q136" s="1363"/>
      <c r="R136" s="1363"/>
      <c r="S136" s="1392"/>
    </row>
    <row r="137" spans="1:19" s="332" customFormat="1" ht="25.5" customHeight="1">
      <c r="A137" s="1403" t="s">
        <v>4023</v>
      </c>
      <c r="B137" s="1404"/>
      <c r="C137" s="1404"/>
      <c r="D137" s="1405"/>
      <c r="E137" s="2308"/>
      <c r="F137" s="2309"/>
      <c r="G137" s="2309"/>
      <c r="H137" s="2309"/>
      <c r="I137" s="2319" t="s">
        <v>3424</v>
      </c>
      <c r="J137" s="2307" t="s">
        <v>3424</v>
      </c>
      <c r="K137" s="2320" t="s">
        <v>4421</v>
      </c>
      <c r="L137" s="2321">
        <v>1E-4</v>
      </c>
      <c r="M137" s="2322"/>
      <c r="N137" s="2323"/>
      <c r="O137" s="2324"/>
      <c r="P137" s="2324"/>
      <c r="Q137" s="2324"/>
      <c r="R137" s="2324"/>
      <c r="S137" s="2325"/>
    </row>
    <row r="138" spans="1:19" s="332" customFormat="1" ht="25.5" customHeight="1">
      <c r="A138" s="1400" t="s">
        <v>4024</v>
      </c>
      <c r="B138" s="1401"/>
      <c r="C138" s="1401"/>
      <c r="D138" s="1402"/>
      <c r="E138" s="2312"/>
      <c r="F138" s="2313"/>
      <c r="G138" s="2313"/>
      <c r="H138" s="2313"/>
      <c r="I138" s="2326"/>
      <c r="J138" s="2311"/>
      <c r="K138" s="2327"/>
      <c r="L138" s="2328"/>
      <c r="M138" s="2329"/>
      <c r="N138" s="2330"/>
      <c r="O138" s="2331"/>
      <c r="P138" s="2331"/>
      <c r="Q138" s="2331"/>
      <c r="R138" s="2331"/>
      <c r="S138" s="2332"/>
    </row>
    <row r="139" spans="1:19" s="332" customFormat="1" ht="25.5" customHeight="1">
      <c r="A139" s="1400" t="s">
        <v>4025</v>
      </c>
      <c r="B139" s="1401"/>
      <c r="C139" s="1401"/>
      <c r="D139" s="1402"/>
      <c r="E139" s="2312"/>
      <c r="F139" s="2313"/>
      <c r="G139" s="2313"/>
      <c r="H139" s="2313"/>
      <c r="I139" s="2326"/>
      <c r="J139" s="2311"/>
      <c r="K139" s="2327"/>
      <c r="L139" s="2328"/>
      <c r="M139" s="2329"/>
      <c r="N139" s="2330"/>
      <c r="O139" s="2331"/>
      <c r="P139" s="2331"/>
      <c r="Q139" s="2331"/>
      <c r="R139" s="2331"/>
      <c r="S139" s="2332"/>
    </row>
    <row r="140" spans="1:19" s="332" customFormat="1" ht="25.5" customHeight="1">
      <c r="A140" s="1400" t="s">
        <v>4026</v>
      </c>
      <c r="B140" s="1401"/>
      <c r="C140" s="1401"/>
      <c r="D140" s="1402"/>
      <c r="E140" s="2312"/>
      <c r="F140" s="2313"/>
      <c r="G140" s="2313"/>
      <c r="H140" s="2313"/>
      <c r="I140" s="2326" t="s">
        <v>3424</v>
      </c>
      <c r="J140" s="2311" t="s">
        <v>3424</v>
      </c>
      <c r="K140" s="2327" t="s">
        <v>4421</v>
      </c>
      <c r="L140" s="2328">
        <v>0.99970000000000003</v>
      </c>
      <c r="M140" s="2329"/>
      <c r="N140" s="2330"/>
      <c r="O140" s="2331"/>
      <c r="P140" s="2331"/>
      <c r="Q140" s="2331"/>
      <c r="R140" s="2331"/>
      <c r="S140" s="2332"/>
    </row>
    <row r="141" spans="1:19" s="332" customFormat="1" ht="25.5" customHeight="1">
      <c r="A141" s="1400" t="s">
        <v>4027</v>
      </c>
      <c r="B141" s="1401"/>
      <c r="C141" s="1401"/>
      <c r="D141" s="1402"/>
      <c r="E141" s="2312"/>
      <c r="F141" s="2313"/>
      <c r="G141" s="2313"/>
      <c r="H141" s="2313"/>
      <c r="I141" s="2326" t="s">
        <v>3424</v>
      </c>
      <c r="J141" s="2311" t="s">
        <v>3424</v>
      </c>
      <c r="K141" s="2327" t="s">
        <v>4421</v>
      </c>
      <c r="L141" s="2328">
        <v>1E-4</v>
      </c>
      <c r="M141" s="2329"/>
      <c r="N141" s="2330"/>
      <c r="O141" s="2331"/>
      <c r="P141" s="2331"/>
      <c r="Q141" s="2331"/>
      <c r="R141" s="2331"/>
      <c r="S141" s="2332"/>
    </row>
    <row r="142" spans="1:19" s="332" customFormat="1" ht="25.5" customHeight="1">
      <c r="A142" s="1400" t="s">
        <v>3289</v>
      </c>
      <c r="B142" s="1401"/>
      <c r="C142" s="1401"/>
      <c r="D142" s="1402"/>
      <c r="E142" s="2312"/>
      <c r="F142" s="2313"/>
      <c r="G142" s="2313"/>
      <c r="H142" s="2313"/>
      <c r="I142" s="2326"/>
      <c r="J142" s="2311"/>
      <c r="K142" s="2327"/>
      <c r="L142" s="2328"/>
      <c r="M142" s="2329"/>
      <c r="N142" s="2330"/>
      <c r="O142" s="2331"/>
      <c r="P142" s="2331"/>
      <c r="Q142" s="2331"/>
      <c r="R142" s="2331"/>
      <c r="S142" s="2332"/>
    </row>
    <row r="143" spans="1:19" s="332" customFormat="1" ht="25.5" customHeight="1">
      <c r="A143" s="1400" t="s">
        <v>688</v>
      </c>
      <c r="B143" s="1401"/>
      <c r="C143" s="1401"/>
      <c r="D143" s="1402"/>
      <c r="E143" s="2312"/>
      <c r="F143" s="2313"/>
      <c r="G143" s="2313"/>
      <c r="H143" s="2313"/>
      <c r="I143" s="2326" t="s">
        <v>3424</v>
      </c>
      <c r="J143" s="2311" t="s">
        <v>3424</v>
      </c>
      <c r="K143" s="2327" t="s">
        <v>4421</v>
      </c>
      <c r="L143" s="2328">
        <v>0</v>
      </c>
      <c r="M143" s="2329"/>
      <c r="N143" s="2330"/>
      <c r="O143" s="2331"/>
      <c r="P143" s="2331"/>
      <c r="Q143" s="2331"/>
      <c r="R143" s="2331"/>
      <c r="S143" s="2332"/>
    </row>
    <row r="144" spans="1:19" s="332" customFormat="1" ht="25.5" customHeight="1">
      <c r="A144" s="1400" t="s">
        <v>3290</v>
      </c>
      <c r="B144" s="1401"/>
      <c r="C144" s="1401"/>
      <c r="D144" s="1402"/>
      <c r="E144" s="2312"/>
      <c r="F144" s="2313"/>
      <c r="G144" s="2313"/>
      <c r="H144" s="2313"/>
      <c r="I144" s="2326"/>
      <c r="J144" s="2311"/>
      <c r="K144" s="2327"/>
      <c r="L144" s="2328"/>
      <c r="M144" s="2329"/>
      <c r="N144" s="2330"/>
      <c r="O144" s="2331"/>
      <c r="P144" s="2331"/>
      <c r="Q144" s="2331"/>
      <c r="R144" s="2331"/>
      <c r="S144" s="2332"/>
    </row>
    <row r="145" spans="1:24" s="332" customFormat="1" ht="25.5" customHeight="1">
      <c r="A145" s="1400" t="s">
        <v>3291</v>
      </c>
      <c r="B145" s="1401"/>
      <c r="C145" s="1401"/>
      <c r="D145" s="1402"/>
      <c r="E145" s="2312"/>
      <c r="F145" s="2313"/>
      <c r="G145" s="2313"/>
      <c r="H145" s="2313"/>
      <c r="I145" s="2326"/>
      <c r="J145" s="2311"/>
      <c r="K145" s="2327"/>
      <c r="L145" s="2328"/>
      <c r="M145" s="2329"/>
      <c r="N145" s="2330"/>
      <c r="O145" s="2331"/>
      <c r="P145" s="2331"/>
      <c r="Q145" s="2331"/>
      <c r="R145" s="2331"/>
      <c r="S145" s="2332"/>
    </row>
    <row r="146" spans="1:24" s="332" customFormat="1" ht="25.5" customHeight="1">
      <c r="A146" s="1400" t="s">
        <v>3293</v>
      </c>
      <c r="B146" s="1401"/>
      <c r="C146" s="1401"/>
      <c r="D146" s="1402"/>
      <c r="E146" s="2312"/>
      <c r="F146" s="2313"/>
      <c r="G146" s="2313"/>
      <c r="H146" s="2313"/>
      <c r="I146" s="2326"/>
      <c r="J146" s="2311"/>
      <c r="K146" s="2327"/>
      <c r="L146" s="2328"/>
      <c r="M146" s="2329"/>
      <c r="N146" s="2330"/>
      <c r="O146" s="2331"/>
      <c r="P146" s="2331"/>
      <c r="Q146" s="2331"/>
      <c r="R146" s="2331"/>
      <c r="S146" s="2332"/>
    </row>
    <row r="147" spans="1:24" s="332" customFormat="1" ht="25.5" customHeight="1">
      <c r="A147" s="1400" t="s">
        <v>3292</v>
      </c>
      <c r="B147" s="1401"/>
      <c r="C147" s="1401"/>
      <c r="D147" s="1402"/>
      <c r="E147" s="2312"/>
      <c r="F147" s="2313"/>
      <c r="G147" s="2313"/>
      <c r="H147" s="2313"/>
      <c r="I147" s="2326"/>
      <c r="J147" s="2311"/>
      <c r="K147" s="2327"/>
      <c r="L147" s="2328"/>
      <c r="M147" s="2329"/>
      <c r="N147" s="2330"/>
      <c r="O147" s="2331"/>
      <c r="P147" s="2331"/>
      <c r="Q147" s="2331"/>
      <c r="R147" s="2331"/>
      <c r="S147" s="2332"/>
    </row>
    <row r="148" spans="1:24" s="332" customFormat="1" ht="25.5" customHeight="1">
      <c r="A148" s="1400" t="s">
        <v>1605</v>
      </c>
      <c r="B148" s="1401"/>
      <c r="C148" s="1401"/>
      <c r="D148" s="1402"/>
      <c r="E148" s="2312"/>
      <c r="F148" s="2313"/>
      <c r="G148" s="2313"/>
      <c r="H148" s="2313"/>
      <c r="I148" s="2326" t="s">
        <v>3424</v>
      </c>
      <c r="J148" s="2311" t="s">
        <v>3424</v>
      </c>
      <c r="K148" s="2327" t="s">
        <v>4421</v>
      </c>
      <c r="L148" s="2328">
        <v>0</v>
      </c>
      <c r="M148" s="2329"/>
      <c r="N148" s="2330"/>
      <c r="O148" s="2331"/>
      <c r="P148" s="2331"/>
      <c r="Q148" s="2331"/>
      <c r="R148" s="2331"/>
      <c r="S148" s="2332"/>
    </row>
    <row r="149" spans="1:24" s="332" customFormat="1" ht="25.5" customHeight="1">
      <c r="A149" s="1397" t="s">
        <v>3294</v>
      </c>
      <c r="B149" s="1398"/>
      <c r="C149" s="1398"/>
      <c r="D149" s="1399"/>
      <c r="E149" s="2316"/>
      <c r="F149" s="2317"/>
      <c r="G149" s="2317"/>
      <c r="H149" s="2317"/>
      <c r="I149" s="2333" t="s">
        <v>3424</v>
      </c>
      <c r="J149" s="2315" t="s">
        <v>3424</v>
      </c>
      <c r="K149" s="2334" t="s">
        <v>4421</v>
      </c>
      <c r="L149" s="2335">
        <v>0</v>
      </c>
      <c r="M149" s="2336"/>
      <c r="N149" s="2337"/>
      <c r="O149" s="2338"/>
      <c r="P149" s="2338"/>
      <c r="Q149" s="2338"/>
      <c r="R149" s="2338"/>
      <c r="S149" s="2339"/>
    </row>
    <row r="150" spans="1:24" s="1220" customFormat="1" ht="12" customHeight="1">
      <c r="G150" s="342"/>
      <c r="H150" s="342"/>
      <c r="I150" s="342"/>
      <c r="J150" s="1222"/>
      <c r="K150" s="355" t="s">
        <v>563</v>
      </c>
      <c r="L150" s="639">
        <f>SUM(L137:S149)</f>
        <v>0.99990000000000001</v>
      </c>
      <c r="M150" s="1222"/>
      <c r="P150" s="1265"/>
    </row>
    <row r="151" spans="1:24" ht="11.25" customHeight="1">
      <c r="A151" s="357" t="s">
        <v>1882</v>
      </c>
      <c r="B151" s="371"/>
      <c r="C151" s="357" t="s">
        <v>599</v>
      </c>
      <c r="N151" s="357" t="s">
        <v>554</v>
      </c>
      <c r="O151" s="357" t="s">
        <v>81</v>
      </c>
    </row>
    <row r="152" spans="1:24" ht="60" customHeight="1">
      <c r="A152" s="2282" t="s">
        <v>4422</v>
      </c>
      <c r="B152" s="2283"/>
      <c r="C152" s="2283"/>
      <c r="D152" s="2283"/>
      <c r="E152" s="2283"/>
      <c r="F152" s="2283"/>
      <c r="G152" s="2283"/>
      <c r="H152" s="2283"/>
      <c r="I152" s="2283"/>
      <c r="J152" s="2283"/>
      <c r="K152" s="2283"/>
      <c r="L152" s="2283"/>
      <c r="M152" s="2284"/>
      <c r="N152" s="2285"/>
      <c r="O152" s="2286"/>
      <c r="P152" s="2286"/>
      <c r="Q152" s="2286"/>
      <c r="R152" s="2286"/>
      <c r="S152" s="2287"/>
      <c r="T152" s="1351" t="s">
        <v>2854</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0"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1" t="s">
        <v>880</v>
      </c>
    </row>
    <row r="159" spans="1:24" s="332" customFormat="1" ht="12" customHeight="1">
      <c r="A159" s="372"/>
      <c r="B159" s="348"/>
      <c r="C159" s="348"/>
      <c r="D159" s="348"/>
      <c r="E159" s="348"/>
      <c r="F159" s="348"/>
      <c r="G159" s="348"/>
      <c r="H159" s="348"/>
      <c r="I159" s="348"/>
      <c r="J159" s="348"/>
      <c r="K159" s="348"/>
      <c r="L159" s="348"/>
      <c r="M159" s="348"/>
      <c r="N159" s="348"/>
      <c r="O159" s="348"/>
      <c r="P159" s="2341" t="s">
        <v>881</v>
      </c>
    </row>
    <row r="160" spans="1:24" s="332" customFormat="1" ht="12" customHeight="1">
      <c r="A160" s="372"/>
      <c r="B160" s="348"/>
      <c r="C160" s="348"/>
      <c r="D160" s="348"/>
      <c r="E160" s="348"/>
      <c r="F160" s="348"/>
      <c r="G160" s="348"/>
      <c r="H160" s="348"/>
      <c r="I160" s="348"/>
      <c r="J160" s="348"/>
      <c r="K160" s="348"/>
      <c r="L160" s="348"/>
      <c r="M160" s="348"/>
      <c r="N160" s="348"/>
      <c r="O160" s="348"/>
      <c r="P160" s="2341" t="s">
        <v>882</v>
      </c>
    </row>
    <row r="161" spans="1:16" s="332" customFormat="1" ht="12" customHeight="1">
      <c r="A161" s="548"/>
      <c r="B161" s="348"/>
      <c r="C161" s="348"/>
      <c r="D161" s="348"/>
      <c r="E161" s="348"/>
      <c r="F161" s="348"/>
      <c r="G161" s="348"/>
      <c r="H161" s="348"/>
      <c r="I161" s="348"/>
      <c r="J161" s="348"/>
      <c r="K161" s="348"/>
      <c r="L161" s="348"/>
      <c r="M161" s="348"/>
      <c r="N161" s="348"/>
      <c r="O161" s="348"/>
      <c r="P161" s="2341" t="s">
        <v>883</v>
      </c>
    </row>
    <row r="162" spans="1:16" s="332" customFormat="1" ht="12" customHeight="1">
      <c r="B162" s="348"/>
      <c r="C162" s="348"/>
      <c r="D162" s="348"/>
      <c r="E162" s="348"/>
      <c r="F162" s="348"/>
      <c r="G162" s="348"/>
      <c r="H162" s="348"/>
      <c r="I162" s="348"/>
      <c r="J162" s="348"/>
      <c r="K162" s="348"/>
      <c r="L162" s="348"/>
      <c r="M162" s="348"/>
      <c r="N162" s="348"/>
      <c r="O162" s="348"/>
      <c r="P162" s="2341" t="s">
        <v>884</v>
      </c>
    </row>
    <row r="163" spans="1:16" s="332" customFormat="1" ht="12" customHeight="1">
      <c r="B163" s="348"/>
      <c r="C163" s="348"/>
      <c r="D163" s="348"/>
      <c r="E163" s="348"/>
      <c r="F163" s="348"/>
      <c r="G163" s="348"/>
      <c r="H163" s="348"/>
      <c r="I163" s="348"/>
      <c r="J163" s="348"/>
      <c r="K163" s="348"/>
      <c r="L163" s="348"/>
      <c r="M163" s="348"/>
      <c r="N163" s="348"/>
      <c r="O163" s="348"/>
      <c r="P163" s="2341" t="s">
        <v>885</v>
      </c>
    </row>
    <row r="164" spans="1:16" s="332" customFormat="1" ht="12" customHeight="1">
      <c r="B164" s="348"/>
      <c r="C164" s="348"/>
      <c r="D164" s="348"/>
      <c r="E164" s="348"/>
      <c r="F164" s="348"/>
      <c r="G164" s="348"/>
      <c r="H164" s="348"/>
      <c r="I164" s="348"/>
      <c r="J164" s="348"/>
      <c r="K164" s="348"/>
      <c r="L164" s="348"/>
      <c r="M164" s="348"/>
      <c r="N164" s="348"/>
      <c r="O164" s="348"/>
      <c r="P164" s="2341" t="s">
        <v>886</v>
      </c>
    </row>
    <row r="165" spans="1:16" s="332" customFormat="1" ht="12" customHeight="1">
      <c r="B165" s="348"/>
      <c r="C165" s="348"/>
      <c r="D165" s="348"/>
      <c r="E165" s="348"/>
      <c r="F165" s="348"/>
      <c r="G165" s="348"/>
      <c r="H165" s="348"/>
      <c r="I165" s="348"/>
      <c r="J165" s="348"/>
      <c r="K165" s="348"/>
      <c r="L165" s="348"/>
      <c r="M165" s="348"/>
      <c r="N165" s="348"/>
      <c r="O165" s="348"/>
      <c r="P165" s="2341" t="s">
        <v>887</v>
      </c>
    </row>
    <row r="166" spans="1:16" ht="12" customHeight="1">
      <c r="P166" s="2341" t="s">
        <v>888</v>
      </c>
    </row>
    <row r="167" spans="1:16" ht="12" customHeight="1">
      <c r="A167" s="357"/>
      <c r="P167" s="2341" t="s">
        <v>889</v>
      </c>
    </row>
    <row r="168" spans="1:16" ht="12" customHeight="1">
      <c r="P168" s="2341" t="s">
        <v>890</v>
      </c>
    </row>
    <row r="169" spans="1:16" ht="12" customHeight="1">
      <c r="P169" s="2341" t="s">
        <v>891</v>
      </c>
    </row>
    <row r="170" spans="1:16" ht="12" customHeight="1">
      <c r="P170" s="2341" t="s">
        <v>892</v>
      </c>
    </row>
    <row r="171" spans="1:16" ht="12" customHeight="1">
      <c r="P171" s="2341" t="s">
        <v>893</v>
      </c>
    </row>
    <row r="172" spans="1:16" ht="12" customHeight="1">
      <c r="P172" s="2341" t="s">
        <v>894</v>
      </c>
    </row>
    <row r="173" spans="1:16" ht="12" customHeight="1">
      <c r="P173" s="2341" t="s">
        <v>895</v>
      </c>
    </row>
    <row r="174" spans="1:16" ht="12" customHeight="1">
      <c r="P174" s="2341" t="s">
        <v>896</v>
      </c>
    </row>
    <row r="175" spans="1:16" ht="12" customHeight="1">
      <c r="P175" s="2341" t="s">
        <v>897</v>
      </c>
    </row>
    <row r="176" spans="1:16" ht="12" customHeight="1">
      <c r="P176" s="2341" t="s">
        <v>898</v>
      </c>
    </row>
    <row r="177" spans="16:16" ht="12" customHeight="1">
      <c r="P177" s="2341" t="s">
        <v>899</v>
      </c>
    </row>
    <row r="178" spans="16:16" ht="12" customHeight="1">
      <c r="P178" s="2341" t="s">
        <v>900</v>
      </c>
    </row>
    <row r="179" spans="16:16" ht="12" customHeight="1">
      <c r="P179" s="2341" t="s">
        <v>901</v>
      </c>
    </row>
    <row r="180" spans="16:16" ht="12" customHeight="1">
      <c r="P180" s="2341" t="s">
        <v>902</v>
      </c>
    </row>
    <row r="181" spans="16:16" ht="12" customHeight="1">
      <c r="P181" s="2341" t="s">
        <v>903</v>
      </c>
    </row>
    <row r="182" spans="16:16" ht="12" customHeight="1">
      <c r="P182" s="2341" t="s">
        <v>904</v>
      </c>
    </row>
    <row r="183" spans="16:16" ht="12" customHeight="1">
      <c r="P183" s="2341" t="s">
        <v>1407</v>
      </c>
    </row>
    <row r="184" spans="16:16" ht="12" customHeight="1">
      <c r="P184" s="2341" t="s">
        <v>1408</v>
      </c>
    </row>
    <row r="185" spans="16:16" ht="12" customHeight="1">
      <c r="P185" s="2341" t="s">
        <v>1409</v>
      </c>
    </row>
    <row r="186" spans="16:16" ht="12" customHeight="1">
      <c r="P186" s="2341" t="s">
        <v>1410</v>
      </c>
    </row>
    <row r="187" spans="16:16" ht="12" customHeight="1">
      <c r="P187" s="2341" t="s">
        <v>1411</v>
      </c>
    </row>
    <row r="188" spans="16:16" ht="13.5">
      <c r="P188" s="2341" t="s">
        <v>1412</v>
      </c>
    </row>
    <row r="189" spans="16:16" ht="12" customHeight="1">
      <c r="P189" s="2341" t="s">
        <v>1413</v>
      </c>
    </row>
    <row r="190" spans="16:16" ht="12" customHeight="1">
      <c r="P190" s="2341" t="s">
        <v>1414</v>
      </c>
    </row>
    <row r="191" spans="16:16" ht="12" customHeight="1">
      <c r="P191" s="2341" t="s">
        <v>1415</v>
      </c>
    </row>
    <row r="192" spans="16:16" ht="12" customHeight="1">
      <c r="P192" s="2341" t="s">
        <v>1416</v>
      </c>
    </row>
    <row r="193" spans="16:16" ht="12" customHeight="1">
      <c r="P193" s="2341" t="s">
        <v>1417</v>
      </c>
    </row>
    <row r="194" spans="16:16" ht="12" customHeight="1">
      <c r="P194" s="2341" t="s">
        <v>1418</v>
      </c>
    </row>
    <row r="195" spans="16:16" ht="12" customHeight="1">
      <c r="P195" s="2341" t="s">
        <v>1419</v>
      </c>
    </row>
    <row r="196" spans="16:16" ht="12" customHeight="1">
      <c r="P196" s="2341" t="s">
        <v>1420</v>
      </c>
    </row>
    <row r="197" spans="16:16" ht="12" customHeight="1">
      <c r="P197" s="2341" t="s">
        <v>1421</v>
      </c>
    </row>
    <row r="198" spans="16:16" ht="12" customHeight="1">
      <c r="P198" s="2341" t="s">
        <v>1422</v>
      </c>
    </row>
    <row r="199" spans="16:16" ht="12" customHeight="1">
      <c r="P199" s="2341" t="s">
        <v>1423</v>
      </c>
    </row>
    <row r="200" spans="16:16" ht="12" customHeight="1">
      <c r="P200" s="2341" t="s">
        <v>1424</v>
      </c>
    </row>
    <row r="201" spans="16:16" ht="12" customHeight="1">
      <c r="P201" s="2341" t="s">
        <v>1425</v>
      </c>
    </row>
    <row r="202" spans="16:16" ht="12" customHeight="1">
      <c r="P202" s="2341" t="s">
        <v>1426</v>
      </c>
    </row>
    <row r="203" spans="16:16" ht="12" customHeight="1">
      <c r="P203" s="2341" t="s">
        <v>1427</v>
      </c>
    </row>
    <row r="204" spans="16:16" ht="12" customHeight="1">
      <c r="P204" s="2341" t="s">
        <v>1428</v>
      </c>
    </row>
    <row r="205" spans="16:16" ht="12" customHeight="1">
      <c r="P205" s="2341" t="s">
        <v>1429</v>
      </c>
    </row>
    <row r="206" spans="16:16" ht="12" customHeight="1">
      <c r="P206" s="2341" t="s">
        <v>1430</v>
      </c>
    </row>
    <row r="207" spans="16:16" ht="12" customHeight="1">
      <c r="P207" s="2341" t="s">
        <v>1431</v>
      </c>
    </row>
    <row r="208" spans="16:16" ht="12" customHeight="1">
      <c r="P208" s="2341" t="s">
        <v>1432</v>
      </c>
    </row>
  </sheetData>
  <sheetProtection algorithmName="SHA-512" hashValue="DUceCrzSyJB2izgjXVu90JkMYPCllHzfzWaq9u6WAf/8JA8TkKxGz5GCQfoDB6K852ZmRV5WTnG36XfA218NvA==" saltValue="792ZRCUZxIyb3WnoRyDy/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2015-056 Lakeview Apartments, Fort Valley, Peach County</v>
      </c>
      <c r="B1" s="1378"/>
      <c r="C1" s="1378"/>
      <c r="D1" s="1378"/>
      <c r="E1" s="1378"/>
      <c r="F1" s="1378"/>
      <c r="G1" s="1378"/>
      <c r="H1" s="1378"/>
      <c r="I1" s="1378"/>
      <c r="J1" s="1378"/>
      <c r="K1" s="1378"/>
      <c r="L1" s="1378"/>
      <c r="M1" s="1378"/>
      <c r="N1" s="1378"/>
      <c r="O1" s="1378"/>
      <c r="P1" s="1378"/>
      <c r="Q1" s="1379"/>
      <c r="S1" s="1448" t="str">
        <f>$A$1</f>
        <v>PART THREE - SOURCES OF FUNDS  -  2015-056 Lakeview Apartments, Fort Valley, Peach County</v>
      </c>
      <c r="T1" s="1448"/>
    </row>
    <row r="2" spans="1:20" ht="17.45" customHeight="1">
      <c r="A2" s="348"/>
      <c r="B2" s="348"/>
      <c r="C2" s="348"/>
      <c r="D2" s="348"/>
      <c r="E2" s="348"/>
      <c r="F2" s="348"/>
      <c r="G2" s="348"/>
      <c r="H2" s="1722" t="s">
        <v>4384</v>
      </c>
      <c r="I2" s="1723"/>
      <c r="J2" s="172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2826</v>
      </c>
      <c r="T4" s="1447"/>
    </row>
    <row r="5" spans="1:20" s="301" customFormat="1" ht="15.75" customHeight="1">
      <c r="A5" s="548"/>
      <c r="B5" s="2342" t="s">
        <v>3421</v>
      </c>
      <c r="C5" s="1215" t="s">
        <v>2530</v>
      </c>
      <c r="D5" s="332"/>
      <c r="H5" s="2342" t="s">
        <v>3421</v>
      </c>
      <c r="I5" s="337" t="s">
        <v>2737</v>
      </c>
      <c r="N5" s="2342" t="s">
        <v>3424</v>
      </c>
      <c r="O5" s="337" t="s">
        <v>3102</v>
      </c>
      <c r="S5" s="2343"/>
      <c r="T5" s="2344"/>
    </row>
    <row r="6" spans="1:20" s="301" customFormat="1" ht="15.75" customHeight="1">
      <c r="A6" s="548"/>
      <c r="B6" s="2345" t="s">
        <v>3424</v>
      </c>
      <c r="C6" s="1215" t="s">
        <v>574</v>
      </c>
      <c r="D6" s="332"/>
      <c r="H6" s="2345" t="s">
        <v>3424</v>
      </c>
      <c r="I6" s="337" t="s">
        <v>4202</v>
      </c>
      <c r="K6" s="325"/>
      <c r="L6" s="325"/>
      <c r="N6" s="2345" t="s">
        <v>3424</v>
      </c>
      <c r="O6" s="1215" t="s">
        <v>1613</v>
      </c>
      <c r="Q6" s="580"/>
      <c r="S6" s="2346"/>
      <c r="T6" s="2347"/>
    </row>
    <row r="7" spans="1:20" s="301" customFormat="1" ht="15.75" customHeight="1">
      <c r="A7" s="332"/>
      <c r="B7" s="2345" t="s">
        <v>3424</v>
      </c>
      <c r="C7" s="1215" t="s">
        <v>1892</v>
      </c>
      <c r="H7" s="2345" t="s">
        <v>3424</v>
      </c>
      <c r="I7" s="1220" t="s">
        <v>2729</v>
      </c>
      <c r="N7" s="2345" t="s">
        <v>3424</v>
      </c>
      <c r="O7" s="1215" t="s">
        <v>573</v>
      </c>
      <c r="S7" s="2346"/>
      <c r="T7" s="2347"/>
    </row>
    <row r="8" spans="1:20" s="301" customFormat="1" ht="15.75" customHeight="1">
      <c r="A8" s="548"/>
      <c r="B8" s="2345" t="s">
        <v>3424</v>
      </c>
      <c r="C8" s="1215" t="s">
        <v>1893</v>
      </c>
      <c r="D8" s="332"/>
      <c r="H8" s="2345" t="s">
        <v>3424</v>
      </c>
      <c r="I8" s="353" t="s">
        <v>2730</v>
      </c>
      <c r="K8" s="337"/>
      <c r="L8" s="1215"/>
      <c r="N8" s="2348" t="s">
        <v>3424</v>
      </c>
      <c r="O8" s="332" t="s">
        <v>2738</v>
      </c>
      <c r="S8" s="2349"/>
      <c r="T8" s="2350"/>
    </row>
    <row r="9" spans="1:20" s="301" customFormat="1" ht="17.45" customHeight="1">
      <c r="A9" s="548"/>
      <c r="B9" s="2345" t="s">
        <v>3424</v>
      </c>
      <c r="C9" s="1215" t="s">
        <v>575</v>
      </c>
      <c r="H9" s="2348" t="s">
        <v>3424</v>
      </c>
      <c r="I9" s="332" t="s">
        <v>2736</v>
      </c>
      <c r="L9" s="332"/>
      <c r="P9" s="332"/>
      <c r="Q9" s="332"/>
    </row>
    <row r="10" spans="1:20" s="301" customFormat="1" ht="17.45" customHeight="1">
      <c r="A10" s="548"/>
      <c r="B10" s="2345" t="s">
        <v>3424</v>
      </c>
      <c r="C10" s="1215" t="s">
        <v>4034</v>
      </c>
      <c r="D10" s="332"/>
      <c r="G10" s="857" t="s">
        <v>4033</v>
      </c>
      <c r="H10" s="2351"/>
      <c r="I10" s="2352"/>
      <c r="N10" s="332"/>
      <c r="O10" s="332"/>
      <c r="Q10" s="332"/>
    </row>
    <row r="11" spans="1:20" s="301" customFormat="1" ht="17.45" customHeight="1">
      <c r="A11" s="548"/>
      <c r="B11" s="2345" t="s">
        <v>3424</v>
      </c>
      <c r="C11" s="1215" t="s">
        <v>2304</v>
      </c>
      <c r="H11" s="2353" t="s">
        <v>4032</v>
      </c>
      <c r="I11" s="2354"/>
      <c r="J11" s="2354"/>
      <c r="K11" s="2354"/>
      <c r="L11" s="2354"/>
      <c r="M11" s="2355"/>
      <c r="N11" s="332"/>
      <c r="O11" s="332"/>
      <c r="P11" s="332"/>
      <c r="Q11" s="332"/>
    </row>
    <row r="12" spans="1:20" s="301" customFormat="1" ht="17.45" customHeight="1">
      <c r="A12" s="548"/>
      <c r="B12" s="2348" t="s">
        <v>3424</v>
      </c>
      <c r="C12" s="2226" t="s">
        <v>4030</v>
      </c>
      <c r="D12" s="2227"/>
      <c r="E12" s="2227"/>
      <c r="F12" s="2227"/>
      <c r="G12" s="2228"/>
      <c r="H12" s="2353" t="s">
        <v>4031</v>
      </c>
      <c r="I12" s="2354"/>
      <c r="J12" s="2354"/>
      <c r="K12" s="2354"/>
      <c r="L12" s="2354"/>
      <c r="M12" s="2355"/>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1965</v>
      </c>
      <c r="C17" s="332"/>
      <c r="D17" s="332"/>
      <c r="E17" s="332"/>
      <c r="F17" s="332"/>
      <c r="G17" s="332"/>
      <c r="H17" s="1446" t="s">
        <v>1362</v>
      </c>
      <c r="I17" s="1446"/>
      <c r="J17" s="1446"/>
      <c r="K17" s="1446"/>
      <c r="L17" s="1362" t="s">
        <v>2089</v>
      </c>
      <c r="M17" s="1362"/>
      <c r="N17" s="1362" t="s">
        <v>1583</v>
      </c>
      <c r="O17" s="1362"/>
      <c r="P17" s="1362" t="s">
        <v>1709</v>
      </c>
      <c r="Q17" s="1362"/>
      <c r="S17" s="1447" t="s">
        <v>2826</v>
      </c>
      <c r="T17" s="1447"/>
    </row>
    <row r="18" spans="1:20" s="301" customFormat="1" ht="16.899999999999999" customHeight="1">
      <c r="A18" s="332"/>
      <c r="B18" s="1427" t="s">
        <v>1668</v>
      </c>
      <c r="C18" s="1428"/>
      <c r="D18" s="1428"/>
      <c r="E18" s="1221"/>
      <c r="F18" s="1221"/>
      <c r="G18" s="1221"/>
      <c r="H18" s="2356"/>
      <c r="I18" s="2357"/>
      <c r="J18" s="2357"/>
      <c r="K18" s="2358"/>
      <c r="L18" s="2359"/>
      <c r="M18" s="2360"/>
      <c r="N18" s="2361"/>
      <c r="O18" s="2362"/>
      <c r="P18" s="2363"/>
      <c r="Q18" s="2364"/>
      <c r="S18" s="2343"/>
      <c r="T18" s="2344"/>
    </row>
    <row r="19" spans="1:20" s="301" customFormat="1" ht="16.899999999999999" customHeight="1">
      <c r="A19" s="332"/>
      <c r="B19" s="1425" t="s">
        <v>1669</v>
      </c>
      <c r="C19" s="1426"/>
      <c r="D19" s="1426"/>
      <c r="E19" s="1220"/>
      <c r="F19" s="1220"/>
      <c r="G19" s="1220"/>
      <c r="H19" s="2365"/>
      <c r="I19" s="2366"/>
      <c r="J19" s="2366"/>
      <c r="K19" s="2367"/>
      <c r="L19" s="2368"/>
      <c r="M19" s="2369"/>
      <c r="N19" s="2370"/>
      <c r="O19" s="2371"/>
      <c r="P19" s="2372"/>
      <c r="Q19" s="2373"/>
      <c r="S19" s="2346"/>
      <c r="T19" s="2347"/>
    </row>
    <row r="20" spans="1:20" s="301" customFormat="1" ht="16.899999999999999" customHeight="1">
      <c r="A20" s="332"/>
      <c r="B20" s="1449" t="s">
        <v>1670</v>
      </c>
      <c r="C20" s="1450"/>
      <c r="D20" s="1450"/>
      <c r="E20" s="1224"/>
      <c r="F20" s="1224"/>
      <c r="G20" s="1224"/>
      <c r="H20" s="2374"/>
      <c r="I20" s="2375"/>
      <c r="J20" s="2375"/>
      <c r="K20" s="2376"/>
      <c r="L20" s="2377"/>
      <c r="M20" s="2378"/>
      <c r="N20" s="2379"/>
      <c r="O20" s="2380"/>
      <c r="P20" s="2381"/>
      <c r="Q20" s="2382"/>
      <c r="S20" s="2346"/>
      <c r="T20" s="2347"/>
    </row>
    <row r="21" spans="1:20" s="301" customFormat="1" ht="16.899999999999999" customHeight="1">
      <c r="A21" s="332"/>
      <c r="B21" s="1427" t="s">
        <v>2321</v>
      </c>
      <c r="C21" s="1428"/>
      <c r="D21" s="1428"/>
      <c r="E21" s="1220"/>
      <c r="F21" s="1220"/>
      <c r="G21" s="1220"/>
      <c r="H21" s="2383"/>
      <c r="I21" s="2384"/>
      <c r="J21" s="2384"/>
      <c r="K21" s="2385"/>
      <c r="L21" s="2386"/>
      <c r="M21" s="2387"/>
      <c r="N21" s="1438"/>
      <c r="O21" s="1439"/>
      <c r="P21" s="1440"/>
      <c r="Q21" s="1440"/>
      <c r="S21" s="2346"/>
      <c r="T21" s="2347"/>
    </row>
    <row r="22" spans="1:20" s="301" customFormat="1" ht="16.899999999999999" customHeight="1">
      <c r="A22" s="332"/>
      <c r="B22" s="1425" t="s">
        <v>843</v>
      </c>
      <c r="C22" s="1426"/>
      <c r="D22" s="1426"/>
      <c r="E22" s="1220"/>
      <c r="H22" s="2365"/>
      <c r="I22" s="2366"/>
      <c r="J22" s="2366"/>
      <c r="K22" s="2367"/>
      <c r="L22" s="2368"/>
      <c r="M22" s="2369"/>
      <c r="N22" s="1438"/>
      <c r="O22" s="1439"/>
      <c r="P22" s="1440"/>
      <c r="Q22" s="1440"/>
      <c r="S22" s="2346"/>
      <c r="T22" s="2347"/>
    </row>
    <row r="23" spans="1:20" s="301" customFormat="1" ht="16.899999999999999" customHeight="1">
      <c r="A23" s="332"/>
      <c r="B23" s="1425" t="s">
        <v>672</v>
      </c>
      <c r="C23" s="1426"/>
      <c r="D23" s="1426"/>
      <c r="E23" s="1220"/>
      <c r="H23" s="2365"/>
      <c r="I23" s="2366"/>
      <c r="J23" s="2366"/>
      <c r="K23" s="2367"/>
      <c r="L23" s="2368"/>
      <c r="M23" s="2369"/>
      <c r="N23" s="1438"/>
      <c r="O23" s="1439"/>
      <c r="P23" s="1440"/>
      <c r="Q23" s="1440"/>
      <c r="S23" s="2346"/>
      <c r="T23" s="2347"/>
    </row>
    <row r="24" spans="1:20" s="301" customFormat="1" ht="16.899999999999999" customHeight="1">
      <c r="A24" s="332"/>
      <c r="B24" s="1425" t="s">
        <v>844</v>
      </c>
      <c r="C24" s="1426"/>
      <c r="D24" s="1426"/>
      <c r="E24" s="1220"/>
      <c r="H24" s="2365" t="s">
        <v>4416</v>
      </c>
      <c r="I24" s="2366"/>
      <c r="J24" s="2366"/>
      <c r="K24" s="2367"/>
      <c r="L24" s="2368">
        <v>9998000</v>
      </c>
      <c r="M24" s="2369"/>
      <c r="N24" s="332"/>
      <c r="O24" s="332"/>
      <c r="P24" s="332"/>
      <c r="Q24" s="332"/>
      <c r="S24" s="2349"/>
      <c r="T24" s="2350"/>
    </row>
    <row r="25" spans="1:20" s="301" customFormat="1" ht="16.899999999999999" customHeight="1">
      <c r="A25" s="332"/>
      <c r="B25" s="1425" t="s">
        <v>845</v>
      </c>
      <c r="C25" s="1426"/>
      <c r="D25" s="1426"/>
      <c r="E25" s="1220"/>
      <c r="H25" s="2365" t="s">
        <v>4416</v>
      </c>
      <c r="I25" s="2366"/>
      <c r="J25" s="2366"/>
      <c r="K25" s="2367"/>
      <c r="L25" s="2368">
        <v>4999000</v>
      </c>
      <c r="M25" s="2369"/>
      <c r="N25" s="332"/>
      <c r="Q25" s="332"/>
      <c r="S25" s="2343"/>
      <c r="T25" s="2344"/>
    </row>
    <row r="26" spans="1:20" s="301" customFormat="1" ht="16.899999999999999" customHeight="1">
      <c r="A26" s="332"/>
      <c r="B26" s="1219" t="s">
        <v>253</v>
      </c>
      <c r="C26" s="1220"/>
      <c r="D26" s="2388"/>
      <c r="E26" s="2388"/>
      <c r="F26" s="2388"/>
      <c r="G26" s="2388"/>
      <c r="H26" s="2365"/>
      <c r="I26" s="2366"/>
      <c r="J26" s="2366"/>
      <c r="K26" s="2367"/>
      <c r="L26" s="2368"/>
      <c r="M26" s="2369"/>
      <c r="N26" s="332"/>
      <c r="Q26" s="332"/>
      <c r="S26" s="2346"/>
      <c r="T26" s="2347"/>
    </row>
    <row r="27" spans="1:20" s="301" customFormat="1" ht="16.899999999999999" customHeight="1">
      <c r="A27" s="332"/>
      <c r="B27" s="1219" t="s">
        <v>253</v>
      </c>
      <c r="C27" s="1220"/>
      <c r="D27" s="2389"/>
      <c r="E27" s="2389"/>
      <c r="F27" s="2389"/>
      <c r="G27" s="2389"/>
      <c r="H27" s="2365"/>
      <c r="I27" s="2366"/>
      <c r="J27" s="2366"/>
      <c r="K27" s="2367"/>
      <c r="L27" s="2368"/>
      <c r="M27" s="2369"/>
      <c r="N27" s="332"/>
      <c r="S27" s="2346"/>
      <c r="T27" s="2347"/>
    </row>
    <row r="28" spans="1:20" s="301" customFormat="1" ht="16.899999999999999" customHeight="1">
      <c r="A28" s="332"/>
      <c r="B28" s="1223" t="s">
        <v>253</v>
      </c>
      <c r="C28" s="1224"/>
      <c r="D28" s="2390"/>
      <c r="E28" s="2390"/>
      <c r="F28" s="2390"/>
      <c r="G28" s="2390"/>
      <c r="H28" s="2374"/>
      <c r="I28" s="2375"/>
      <c r="J28" s="2375"/>
      <c r="K28" s="2376"/>
      <c r="L28" s="2377"/>
      <c r="M28" s="2378"/>
      <c r="N28" s="332"/>
      <c r="S28" s="2346"/>
      <c r="T28" s="2347"/>
    </row>
    <row r="29" spans="1:20" s="301" customFormat="1" ht="16.899999999999999" customHeight="1">
      <c r="A29" s="332"/>
      <c r="B29" s="300" t="s">
        <v>1363</v>
      </c>
      <c r="C29" s="332"/>
      <c r="D29" s="332"/>
      <c r="E29" s="332"/>
      <c r="F29" s="332"/>
      <c r="G29" s="332"/>
      <c r="H29" s="332"/>
      <c r="I29" s="332"/>
      <c r="L29" s="1441">
        <f>SUM(L18:L28)</f>
        <v>14997000</v>
      </c>
      <c r="M29" s="1442"/>
      <c r="N29" s="348"/>
      <c r="S29" s="2346"/>
      <c r="T29" s="2347"/>
    </row>
    <row r="30" spans="1:20" s="301" customFormat="1" ht="16.899999999999999" customHeight="1">
      <c r="A30" s="332"/>
      <c r="B30" s="1215" t="s">
        <v>1364</v>
      </c>
      <c r="C30" s="332"/>
      <c r="D30" s="332"/>
      <c r="E30" s="332"/>
      <c r="F30" s="332"/>
      <c r="G30" s="332"/>
      <c r="H30" s="332"/>
      <c r="I30" s="332"/>
      <c r="L30" s="239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12234733</v>
      </c>
      <c r="M30" s="2392"/>
      <c r="N30" s="1184"/>
      <c r="S30" s="2346"/>
      <c r="T30" s="2347"/>
    </row>
    <row r="31" spans="1:20" s="301" customFormat="1" ht="16.899999999999999" customHeight="1">
      <c r="A31" s="332"/>
      <c r="B31" s="337" t="s">
        <v>2258</v>
      </c>
      <c r="C31" s="332"/>
      <c r="D31" s="332"/>
      <c r="E31" s="332"/>
      <c r="F31" s="332"/>
      <c r="G31" s="332"/>
      <c r="H31" s="332"/>
      <c r="I31" s="332"/>
      <c r="L31" s="1443">
        <f>L29-L30</f>
        <v>2762267</v>
      </c>
      <c r="M31" s="1444"/>
      <c r="N31" s="1184"/>
      <c r="S31" s="2349"/>
      <c r="T31" s="2350"/>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2200</v>
      </c>
      <c r="L34" s="1222" t="s">
        <v>1360</v>
      </c>
      <c r="M34" s="1222" t="s">
        <v>1365</v>
      </c>
      <c r="N34" s="1419" t="s">
        <v>36</v>
      </c>
      <c r="O34" s="1419"/>
      <c r="P34" s="1222"/>
      <c r="Q34" s="334"/>
      <c r="S34" s="379"/>
    </row>
    <row r="35" spans="1:20" s="301" customFormat="1" ht="13.15" customHeight="1">
      <c r="A35" s="332"/>
      <c r="B35" s="1225" t="s">
        <v>1965</v>
      </c>
      <c r="C35" s="1224"/>
      <c r="D35" s="1224"/>
      <c r="E35" s="1354" t="s">
        <v>1362</v>
      </c>
      <c r="F35" s="1354"/>
      <c r="G35" s="1354"/>
      <c r="H35" s="1354"/>
      <c r="I35" s="1362" t="s">
        <v>510</v>
      </c>
      <c r="J35" s="1362"/>
      <c r="K35" s="1216" t="s">
        <v>1897</v>
      </c>
      <c r="L35" s="1216" t="s">
        <v>2320</v>
      </c>
      <c r="M35" s="1216" t="s">
        <v>2320</v>
      </c>
      <c r="N35" s="2393"/>
      <c r="O35" s="2393"/>
      <c r="P35" s="1362" t="s">
        <v>76</v>
      </c>
      <c r="Q35" s="1362"/>
      <c r="S35" s="1447" t="s">
        <v>2826</v>
      </c>
      <c r="T35" s="1447"/>
    </row>
    <row r="36" spans="1:20" s="301" customFormat="1" ht="13.15" customHeight="1">
      <c r="A36" s="332"/>
      <c r="B36" s="1427" t="s">
        <v>2742</v>
      </c>
      <c r="C36" s="1428"/>
      <c r="D36" s="1428"/>
      <c r="E36" s="2356"/>
      <c r="F36" s="2357"/>
      <c r="G36" s="2357"/>
      <c r="H36" s="2358"/>
      <c r="I36" s="2394"/>
      <c r="J36" s="2395"/>
      <c r="K36" s="2396"/>
      <c r="L36" s="2342"/>
      <c r="M36" s="2342"/>
      <c r="N36" s="2397" t="str">
        <f t="shared" ref="N36:N41" si="0">IF(OR(I36&lt;=0,I36=""),"",IF(P36="Amortizing",-PMT(K36/12,M36*12,I36,0,0)*12,""))</f>
        <v/>
      </c>
      <c r="O36" s="2397"/>
      <c r="P36" s="2398"/>
      <c r="Q36" s="2398"/>
      <c r="S36" s="2343"/>
      <c r="T36" s="2344"/>
    </row>
    <row r="37" spans="1:20" s="301" customFormat="1" ht="13.15" customHeight="1">
      <c r="A37" s="332"/>
      <c r="B37" s="1425" t="s">
        <v>2743</v>
      </c>
      <c r="C37" s="1426"/>
      <c r="D37" s="1426"/>
      <c r="E37" s="2365"/>
      <c r="F37" s="2366"/>
      <c r="G37" s="2366"/>
      <c r="H37" s="2367"/>
      <c r="I37" s="2399"/>
      <c r="J37" s="2400"/>
      <c r="K37" s="2401"/>
      <c r="L37" s="2345"/>
      <c r="M37" s="2345"/>
      <c r="N37" s="2402" t="str">
        <f t="shared" si="0"/>
        <v/>
      </c>
      <c r="O37" s="2402"/>
      <c r="P37" s="2403"/>
      <c r="Q37" s="2403"/>
      <c r="S37" s="2346"/>
      <c r="T37" s="2347"/>
    </row>
    <row r="38" spans="1:20" s="301" customFormat="1" ht="13.15" customHeight="1">
      <c r="A38" s="332"/>
      <c r="B38" s="1425" t="s">
        <v>2744</v>
      </c>
      <c r="C38" s="1426"/>
      <c r="D38" s="1426"/>
      <c r="E38" s="2365"/>
      <c r="F38" s="2366"/>
      <c r="G38" s="2366"/>
      <c r="H38" s="2367"/>
      <c r="I38" s="2399"/>
      <c r="J38" s="2400"/>
      <c r="K38" s="2401"/>
      <c r="L38" s="2345"/>
      <c r="M38" s="2345"/>
      <c r="N38" s="2402" t="str">
        <f t="shared" si="0"/>
        <v/>
      </c>
      <c r="O38" s="2402"/>
      <c r="P38" s="2403"/>
      <c r="Q38" s="2403"/>
      <c r="S38" s="2346"/>
      <c r="T38" s="2347"/>
    </row>
    <row r="39" spans="1:20" s="301" customFormat="1" ht="13.15" customHeight="1">
      <c r="A39" s="332"/>
      <c r="B39" s="1219" t="s">
        <v>781</v>
      </c>
      <c r="C39" s="2226"/>
      <c r="D39" s="2228"/>
      <c r="E39" s="2365"/>
      <c r="F39" s="2366"/>
      <c r="G39" s="2366"/>
      <c r="H39" s="2367"/>
      <c r="I39" s="2399"/>
      <c r="J39" s="2400"/>
      <c r="K39" s="2404"/>
      <c r="L39" s="2348"/>
      <c r="M39" s="2348"/>
      <c r="N39" s="2405" t="str">
        <f t="shared" si="0"/>
        <v/>
      </c>
      <c r="O39" s="2405"/>
      <c r="P39" s="2406"/>
      <c r="Q39" s="2406"/>
      <c r="S39" s="2346"/>
      <c r="T39" s="2347"/>
    </row>
    <row r="40" spans="1:20" s="301" customFormat="1" ht="13.15" customHeight="1">
      <c r="A40" s="332"/>
      <c r="B40" s="1219" t="s">
        <v>2936</v>
      </c>
      <c r="C40" s="1220"/>
      <c r="D40" s="1226"/>
      <c r="E40" s="2365"/>
      <c r="F40" s="2366"/>
      <c r="G40" s="2366"/>
      <c r="H40" s="2367"/>
      <c r="I40" s="2399"/>
      <c r="J40" s="2400"/>
      <c r="K40" s="527"/>
      <c r="L40" s="1228"/>
      <c r="M40" s="1228"/>
      <c r="N40" s="1429" t="str">
        <f t="shared" si="0"/>
        <v/>
      </c>
      <c r="O40" s="1429"/>
      <c r="P40" s="1424"/>
      <c r="Q40" s="1424"/>
      <c r="S40" s="2346"/>
      <c r="T40" s="2347"/>
    </row>
    <row r="41" spans="1:20" s="301" customFormat="1" ht="13.15" customHeight="1">
      <c r="A41" s="332"/>
      <c r="B41" s="1223" t="s">
        <v>237</v>
      </c>
      <c r="C41" s="1224"/>
      <c r="D41" s="404">
        <f>IF(OR(I41="",I41=0,'Part IV-Uses of Funds'!$G$116="",'Part IV-Uses of Funds'!$G$116=0),"",I41/'Part IV-Uses of Funds'!$G$116)</f>
        <v>0.43507277777777775</v>
      </c>
      <c r="E41" s="2374" t="s">
        <v>4505</v>
      </c>
      <c r="F41" s="2375"/>
      <c r="G41" s="2375"/>
      <c r="H41" s="2376"/>
      <c r="I41" s="2407">
        <v>783131</v>
      </c>
      <c r="J41" s="2408"/>
      <c r="K41" s="2409">
        <v>0</v>
      </c>
      <c r="L41" s="2410">
        <v>10</v>
      </c>
      <c r="M41" s="2410"/>
      <c r="N41" s="2411" t="str">
        <f t="shared" si="0"/>
        <v/>
      </c>
      <c r="O41" s="2412"/>
      <c r="P41" s="2413" t="s">
        <v>1220</v>
      </c>
      <c r="Q41" s="2414"/>
      <c r="S41" s="2346"/>
      <c r="T41" s="2347"/>
    </row>
    <row r="42" spans="1:20" s="301" customFormat="1" ht="13.15" customHeight="1">
      <c r="A42" s="332"/>
      <c r="B42" s="1427" t="s">
        <v>2321</v>
      </c>
      <c r="C42" s="1428"/>
      <c r="D42" s="1436"/>
      <c r="E42" s="2383"/>
      <c r="F42" s="2384"/>
      <c r="G42" s="2384"/>
      <c r="H42" s="2385"/>
      <c r="I42" s="2415"/>
      <c r="J42" s="2416"/>
      <c r="K42" s="405"/>
      <c r="L42" s="405"/>
      <c r="M42" s="405"/>
      <c r="N42" s="405"/>
      <c r="O42" s="405"/>
      <c r="P42" s="405"/>
      <c r="Q42" s="405"/>
      <c r="S42" s="2343"/>
      <c r="T42" s="2344"/>
    </row>
    <row r="43" spans="1:20" s="301" customFormat="1" ht="13.15" customHeight="1">
      <c r="A43" s="332"/>
      <c r="B43" s="1425" t="s">
        <v>843</v>
      </c>
      <c r="C43" s="1426"/>
      <c r="D43" s="1437"/>
      <c r="E43" s="2365"/>
      <c r="F43" s="2366"/>
      <c r="G43" s="2366"/>
      <c r="H43" s="2367"/>
      <c r="I43" s="2399"/>
      <c r="J43" s="2400"/>
      <c r="L43" s="1434" t="s">
        <v>541</v>
      </c>
      <c r="M43" s="1434"/>
      <c r="N43" s="1433" t="s">
        <v>542</v>
      </c>
      <c r="O43" s="1433"/>
      <c r="P43" s="447" t="s">
        <v>540</v>
      </c>
      <c r="Q43" s="405"/>
      <c r="S43" s="2346"/>
      <c r="T43" s="2347"/>
    </row>
    <row r="44" spans="1:20" s="301" customFormat="1" ht="13.15" customHeight="1">
      <c r="A44" s="332"/>
      <c r="B44" s="1425" t="s">
        <v>844</v>
      </c>
      <c r="C44" s="1426"/>
      <c r="D44" s="1437"/>
      <c r="E44" s="2365" t="s">
        <v>4416</v>
      </c>
      <c r="F44" s="2366"/>
      <c r="G44" s="2366"/>
      <c r="H44" s="2367"/>
      <c r="I44" s="2399">
        <v>9998000</v>
      </c>
      <c r="J44" s="2399"/>
      <c r="L44" s="1435">
        <f>'Part IV-Uses of Funds'!$J$173*10*'Part IV-Uses of Funds'!$N$166</f>
        <v>10000000</v>
      </c>
      <c r="M44" s="1435"/>
      <c r="N44" s="1432">
        <f>I44-L44</f>
        <v>-2000</v>
      </c>
      <c r="O44" s="1432"/>
      <c r="P44" s="448" t="s">
        <v>2688</v>
      </c>
      <c r="Q44" s="405"/>
      <c r="S44" s="2346"/>
      <c r="T44" s="2347"/>
    </row>
    <row r="45" spans="1:20" s="301" customFormat="1" ht="13.15" customHeight="1">
      <c r="A45" s="332"/>
      <c r="B45" s="1425" t="s">
        <v>845</v>
      </c>
      <c r="C45" s="1426"/>
      <c r="D45" s="1437"/>
      <c r="E45" s="2365" t="s">
        <v>4416</v>
      </c>
      <c r="F45" s="2366"/>
      <c r="G45" s="2366"/>
      <c r="H45" s="2367"/>
      <c r="I45" s="2399">
        <v>4999000</v>
      </c>
      <c r="J45" s="2399"/>
      <c r="L45" s="1435">
        <f>'Part IV-Uses of Funds'!$J$173*10*'Part IV-Uses of Funds'!$Q$166</f>
        <v>5000000</v>
      </c>
      <c r="M45" s="1435"/>
      <c r="N45" s="1432">
        <f>I45-L45</f>
        <v>-1000</v>
      </c>
      <c r="O45" s="1432"/>
      <c r="P45" s="449">
        <f>I44/I54</f>
        <v>0.63358155898705781</v>
      </c>
      <c r="Q45" s="405"/>
      <c r="S45" s="2346"/>
      <c r="T45" s="2347"/>
    </row>
    <row r="46" spans="1:20" s="301" customFormat="1" ht="13.15" customHeight="1">
      <c r="A46" s="332"/>
      <c r="B46" s="1425" t="s">
        <v>1481</v>
      </c>
      <c r="C46" s="1426"/>
      <c r="D46" s="1437"/>
      <c r="E46" s="2365"/>
      <c r="F46" s="2366"/>
      <c r="G46" s="2366"/>
      <c r="H46" s="2367"/>
      <c r="I46" s="2399"/>
      <c r="J46" s="2399"/>
      <c r="P46" s="449">
        <f>I45/I54</f>
        <v>0.31679077949352891</v>
      </c>
      <c r="Q46" s="405"/>
      <c r="S46" s="2349"/>
      <c r="T46" s="2350"/>
    </row>
    <row r="47" spans="1:20" s="301" customFormat="1" ht="13.15" customHeight="1">
      <c r="A47" s="332"/>
      <c r="B47" s="1219" t="s">
        <v>555</v>
      </c>
      <c r="C47" s="1220"/>
      <c r="D47" s="1226"/>
      <c r="E47" s="2365"/>
      <c r="F47" s="2366"/>
      <c r="G47" s="2366"/>
      <c r="H47" s="2367"/>
      <c r="I47" s="2399"/>
      <c r="J47" s="2399"/>
      <c r="K47" s="332"/>
      <c r="P47" s="450">
        <f>SUM(P45:P46)</f>
        <v>0.95037233848058666</v>
      </c>
      <c r="Q47" s="405"/>
      <c r="S47" s="2346"/>
      <c r="T47" s="2347"/>
    </row>
    <row r="48" spans="1:20" s="301" customFormat="1" ht="13.15" customHeight="1">
      <c r="A48" s="332"/>
      <c r="B48" s="1219" t="s">
        <v>1963</v>
      </c>
      <c r="C48" s="1220"/>
      <c r="D48" s="1226"/>
      <c r="E48" s="2365"/>
      <c r="F48" s="2366"/>
      <c r="G48" s="2366"/>
      <c r="H48" s="2367"/>
      <c r="I48" s="2399"/>
      <c r="J48" s="2399"/>
      <c r="N48" s="406"/>
      <c r="O48" s="406"/>
      <c r="P48" s="406"/>
      <c r="Q48" s="405"/>
      <c r="S48" s="2346"/>
      <c r="T48" s="2347"/>
    </row>
    <row r="49" spans="1:23" s="301" customFormat="1" ht="13.15" customHeight="1">
      <c r="A49" s="332"/>
      <c r="B49" s="1219" t="s">
        <v>1964</v>
      </c>
      <c r="C49" s="1220"/>
      <c r="D49" s="1226"/>
      <c r="E49" s="2365"/>
      <c r="F49" s="2366"/>
      <c r="G49" s="2366"/>
      <c r="H49" s="2367"/>
      <c r="I49" s="2399"/>
      <c r="J49" s="2399"/>
      <c r="M49" s="406"/>
      <c r="N49" s="406"/>
      <c r="O49" s="406"/>
      <c r="P49" s="406"/>
      <c r="Q49" s="405"/>
      <c r="S49" s="2346"/>
      <c r="T49" s="2347"/>
    </row>
    <row r="50" spans="1:23" s="301" customFormat="1" ht="13.15" customHeight="1">
      <c r="A50" s="332"/>
      <c r="B50" s="1219" t="s">
        <v>781</v>
      </c>
      <c r="C50" s="2388"/>
      <c r="D50" s="2388"/>
      <c r="E50" s="2365"/>
      <c r="F50" s="2366"/>
      <c r="G50" s="2366"/>
      <c r="H50" s="2367"/>
      <c r="I50" s="2399"/>
      <c r="J50" s="2399"/>
      <c r="M50" s="406"/>
      <c r="N50" s="406"/>
      <c r="O50" s="406"/>
      <c r="P50" s="406"/>
      <c r="Q50" s="405"/>
      <c r="S50" s="2346"/>
      <c r="T50" s="2347"/>
    </row>
    <row r="51" spans="1:23" s="301" customFormat="1" ht="13.15" customHeight="1">
      <c r="A51" s="332"/>
      <c r="B51" s="1219" t="s">
        <v>781</v>
      </c>
      <c r="C51" s="2389"/>
      <c r="D51" s="2389"/>
      <c r="E51" s="2365"/>
      <c r="F51" s="2366"/>
      <c r="G51" s="2366"/>
      <c r="H51" s="2367"/>
      <c r="I51" s="2399"/>
      <c r="J51" s="2399"/>
      <c r="K51" s="332"/>
      <c r="L51" s="407"/>
      <c r="M51" s="406"/>
      <c r="N51" s="406"/>
      <c r="O51" s="406"/>
      <c r="P51" s="406"/>
      <c r="Q51" s="405"/>
      <c r="S51" s="2346"/>
      <c r="T51" s="2347"/>
    </row>
    <row r="52" spans="1:23" s="301" customFormat="1" ht="13.15" customHeight="1">
      <c r="A52" s="332"/>
      <c r="B52" s="1223" t="s">
        <v>781</v>
      </c>
      <c r="C52" s="2390"/>
      <c r="D52" s="2390"/>
      <c r="E52" s="2374"/>
      <c r="F52" s="2375"/>
      <c r="G52" s="2375"/>
      <c r="H52" s="2376"/>
      <c r="I52" s="2407"/>
      <c r="J52" s="2407"/>
      <c r="K52" s="332"/>
      <c r="L52" s="407"/>
      <c r="M52" s="406"/>
      <c r="N52" s="406"/>
      <c r="O52" s="406"/>
      <c r="P52" s="406"/>
      <c r="Q52" s="405"/>
      <c r="S52" s="2346"/>
      <c r="T52" s="2347"/>
    </row>
    <row r="53" spans="1:23" s="301" customFormat="1" ht="13.15" customHeight="1">
      <c r="A53" s="332"/>
      <c r="B53" s="1215" t="s">
        <v>2322</v>
      </c>
      <c r="C53" s="332"/>
      <c r="D53" s="332"/>
      <c r="E53" s="332"/>
      <c r="F53" s="332"/>
      <c r="G53" s="332"/>
      <c r="I53" s="1422">
        <f>SUM(I36:J52)</f>
        <v>15780131</v>
      </c>
      <c r="J53" s="1423"/>
      <c r="K53" s="332"/>
      <c r="L53" s="407"/>
      <c r="M53" s="406"/>
      <c r="N53" s="406"/>
      <c r="O53" s="406"/>
      <c r="P53" s="406"/>
      <c r="Q53" s="405"/>
      <c r="S53" s="2346"/>
      <c r="T53" s="2347"/>
    </row>
    <row r="54" spans="1:23" s="301" customFormat="1" ht="13.15" customHeight="1" thickBot="1">
      <c r="A54" s="332"/>
      <c r="B54" s="1215" t="s">
        <v>2323</v>
      </c>
      <c r="C54" s="332"/>
      <c r="D54" s="332"/>
      <c r="E54" s="332"/>
      <c r="F54" s="332"/>
      <c r="G54" s="332"/>
      <c r="I54" s="1420">
        <f>'Part IV-Uses of Funds'!$G$130</f>
        <v>15780131</v>
      </c>
      <c r="J54" s="1421"/>
      <c r="K54" s="332"/>
      <c r="L54" s="407"/>
      <c r="M54" s="406"/>
      <c r="N54" s="406"/>
      <c r="O54" s="406"/>
      <c r="P54" s="406"/>
      <c r="Q54" s="405"/>
      <c r="S54" s="2346"/>
      <c r="T54" s="2347"/>
    </row>
    <row r="55" spans="1:23" s="301" customFormat="1" ht="13.15" customHeight="1" thickBot="1">
      <c r="A55" s="332"/>
      <c r="B55" s="337" t="s">
        <v>1601</v>
      </c>
      <c r="C55" s="332"/>
      <c r="D55" s="332"/>
      <c r="E55" s="332"/>
      <c r="F55" s="332"/>
      <c r="G55" s="332"/>
      <c r="I55" s="1430">
        <f>I53-I54</f>
        <v>0</v>
      </c>
      <c r="J55" s="1431"/>
      <c r="K55" s="332"/>
      <c r="L55" s="407"/>
      <c r="M55" s="406"/>
      <c r="N55" s="406"/>
      <c r="O55" s="406"/>
      <c r="P55" s="406"/>
      <c r="Q55" s="405"/>
      <c r="S55" s="2349"/>
      <c r="T55" s="2350"/>
    </row>
    <row r="56" spans="1:23" s="301" customFormat="1" ht="13.15" customHeight="1">
      <c r="A56" s="332" t="s">
        <v>4168</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c r="B60" s="2417"/>
      <c r="C60" s="2417"/>
      <c r="D60" s="2417"/>
      <c r="E60" s="2417"/>
      <c r="F60" s="2417"/>
      <c r="G60" s="2417"/>
      <c r="H60" s="2417"/>
      <c r="I60" s="2417"/>
      <c r="J60" s="2418"/>
      <c r="K60" s="2285"/>
      <c r="L60" s="2417"/>
      <c r="M60" s="2417"/>
      <c r="N60" s="2417"/>
      <c r="O60" s="2417"/>
      <c r="P60" s="2417"/>
      <c r="Q60" s="2418"/>
      <c r="S60" s="1445" t="s">
        <v>2854</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Mj1lptTe6PeUKV88czIWUWi3aeUV2pMUqWS91J1BFQwVrqJfNsf+jMKxcQnlvSusqojnaO+9U626mYBjecqoPA==" saltValue="f3RdLQm9TGAfBdnLDXR48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2015-056 Lakeview Apartments, Fort Valley, Peach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2603</v>
      </c>
      <c r="B16" s="229" t="s">
        <v>2600</v>
      </c>
      <c r="C16" s="229" t="s">
        <v>2601</v>
      </c>
      <c r="D16" s="1457" t="s">
        <v>2363</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2015-056 Lakeview Apartments, Fort Valley, Peach County</v>
      </c>
      <c r="B58" s="1458"/>
      <c r="C58" s="1458"/>
      <c r="D58" s="1458"/>
      <c r="E58" s="1458"/>
      <c r="F58" s="1458"/>
      <c r="G58" s="1458" t="str">
        <f>CONCATENATE('Part I-Project Information'!$O$4," ",'Part I-Project Information'!$F$24,", ",'Part I-Project Information'!$F$28,", ",'Part I-Project Information'!$J$29," County")</f>
        <v>2015-056 Lakeview Apartments, Fort Valley, Peach County</v>
      </c>
      <c r="H58" s="1458"/>
      <c r="I58" s="1458"/>
      <c r="J58" s="1458"/>
      <c r="K58" s="1458"/>
      <c r="L58" s="1458"/>
    </row>
    <row r="59" spans="1:12" ht="15">
      <c r="A59" s="1459" t="s">
        <v>2594</v>
      </c>
      <c r="B59" s="1459"/>
      <c r="C59" s="1459"/>
      <c r="D59" s="1459"/>
      <c r="E59" s="1459"/>
      <c r="F59" s="1459"/>
      <c r="G59" s="1459" t="s">
        <v>2594</v>
      </c>
      <c r="H59" s="1459"/>
      <c r="I59" s="1459"/>
      <c r="J59" s="1459"/>
      <c r="K59" s="1459"/>
      <c r="L59" s="1459"/>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2015-056 Lakeview Apartments, Fort Valley, Peach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2015-056 Lakeview Apartments, Fort Valley, Peach County</v>
      </c>
      <c r="B50" s="1458"/>
      <c r="C50" s="1458"/>
      <c r="D50" s="1458"/>
      <c r="E50" s="1458"/>
      <c r="F50" s="1458"/>
      <c r="G50" s="238"/>
      <c r="H50" s="238"/>
    </row>
    <row r="51" spans="1:10" ht="15">
      <c r="A51" s="1459" t="s">
        <v>2594</v>
      </c>
      <c r="B51" s="1459"/>
      <c r="C51" s="1459"/>
      <c r="D51" s="1459"/>
      <c r="E51" s="1459"/>
      <c r="F51" s="1459"/>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40" zoomScaleNormal="14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2015-056 Lakeview Apartments, Fort Valley, Peach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2015-056 Lakeview Apartments, Fort Valley, Peach County</v>
      </c>
      <c r="X1" s="1504"/>
    </row>
    <row r="2" spans="1:24" ht="2.25" customHeight="1"/>
    <row r="3" spans="1:24" s="332" customFormat="1" ht="9.75" customHeight="1">
      <c r="A3" s="334"/>
      <c r="B3" s="334"/>
      <c r="C3" s="334"/>
      <c r="D3" s="1722" t="s">
        <v>4384</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2826</v>
      </c>
      <c r="X6" s="1470"/>
    </row>
    <row r="7" spans="1:24" s="332" customFormat="1" ht="12" customHeight="1">
      <c r="B7" s="334" t="s">
        <v>104</v>
      </c>
      <c r="O7" s="548" t="str">
        <f>B7</f>
        <v>PRE-DEVELOPMENT COSTS</v>
      </c>
      <c r="W7" s="332" t="str">
        <f>B7</f>
        <v>PRE-DEVELOPMENT COSTS</v>
      </c>
    </row>
    <row r="8" spans="1:24" s="332" customFormat="1" ht="12.6" customHeight="1">
      <c r="B8" s="332" t="s">
        <v>2099</v>
      </c>
      <c r="G8" s="2419">
        <v>6500</v>
      </c>
      <c r="H8" s="2420"/>
      <c r="J8" s="2419"/>
      <c r="K8" s="2420"/>
      <c r="L8" s="1229"/>
      <c r="M8" s="2419"/>
      <c r="N8" s="2420"/>
      <c r="P8" s="2419">
        <v>6500</v>
      </c>
      <c r="Q8" s="2420"/>
      <c r="S8" s="2419"/>
      <c r="T8" s="2420"/>
      <c r="V8" s="2421"/>
      <c r="W8" s="2422"/>
      <c r="X8" s="2423"/>
    </row>
    <row r="9" spans="1:24" s="332" customFormat="1" ht="12.6" customHeight="1">
      <c r="B9" s="332" t="s">
        <v>476</v>
      </c>
      <c r="G9" s="2419">
        <v>11000</v>
      </c>
      <c r="H9" s="2420"/>
      <c r="J9" s="2419"/>
      <c r="K9" s="2420"/>
      <c r="L9" s="1229"/>
      <c r="M9" s="2419"/>
      <c r="N9" s="2420"/>
      <c r="P9" s="2419">
        <v>11000</v>
      </c>
      <c r="Q9" s="2420"/>
      <c r="S9" s="2419"/>
      <c r="T9" s="2420"/>
      <c r="V9" s="2421"/>
      <c r="W9" s="2424"/>
      <c r="X9" s="2425"/>
    </row>
    <row r="10" spans="1:24" s="332" customFormat="1" ht="12.6" customHeight="1">
      <c r="B10" s="332" t="s">
        <v>508</v>
      </c>
      <c r="G10" s="2419">
        <v>22288</v>
      </c>
      <c r="H10" s="2420"/>
      <c r="J10" s="2419"/>
      <c r="K10" s="2420"/>
      <c r="L10" s="1229"/>
      <c r="M10" s="2419"/>
      <c r="N10" s="2420"/>
      <c r="P10" s="2419">
        <v>22288</v>
      </c>
      <c r="Q10" s="2420"/>
      <c r="S10" s="2419"/>
      <c r="T10" s="2420"/>
      <c r="V10" s="2421"/>
      <c r="W10" s="2424"/>
      <c r="X10" s="2425"/>
    </row>
    <row r="11" spans="1:24" s="332" customFormat="1" ht="12.6" customHeight="1">
      <c r="B11" s="332" t="s">
        <v>509</v>
      </c>
      <c r="G11" s="2419"/>
      <c r="H11" s="2420"/>
      <c r="J11" s="2419"/>
      <c r="K11" s="2420"/>
      <c r="L11" s="1229"/>
      <c r="M11" s="2419"/>
      <c r="N11" s="2420"/>
      <c r="P11" s="2419"/>
      <c r="Q11" s="2420"/>
      <c r="S11" s="2419"/>
      <c r="T11" s="2420"/>
      <c r="V11" s="2421"/>
      <c r="W11" s="2424"/>
      <c r="X11" s="2425"/>
    </row>
    <row r="12" spans="1:24" s="332" customFormat="1" ht="12.6" customHeight="1">
      <c r="B12" s="332" t="s">
        <v>2623</v>
      </c>
      <c r="G12" s="2419"/>
      <c r="H12" s="2420"/>
      <c r="J12" s="2419"/>
      <c r="K12" s="2420"/>
      <c r="L12" s="1229"/>
      <c r="M12" s="2419"/>
      <c r="N12" s="2420"/>
      <c r="P12" s="2419"/>
      <c r="Q12" s="2420"/>
      <c r="S12" s="2419"/>
      <c r="T12" s="2420"/>
      <c r="V12" s="2421"/>
      <c r="W12" s="2424"/>
      <c r="X12" s="2425"/>
    </row>
    <row r="13" spans="1:24" s="332" customFormat="1" ht="12.6" customHeight="1">
      <c r="B13" s="332" t="s">
        <v>196</v>
      </c>
      <c r="G13" s="2419"/>
      <c r="H13" s="2420"/>
      <c r="J13" s="2419"/>
      <c r="K13" s="2420"/>
      <c r="L13" s="1229"/>
      <c r="M13" s="2419"/>
      <c r="N13" s="2420"/>
      <c r="P13" s="2419"/>
      <c r="Q13" s="2420"/>
      <c r="S13" s="2419"/>
      <c r="T13" s="2420"/>
      <c r="V13" s="2421"/>
      <c r="W13" s="2424"/>
      <c r="X13" s="2425"/>
    </row>
    <row r="14" spans="1:24" s="332" customFormat="1" ht="12.6" customHeight="1">
      <c r="A14" s="409" t="str">
        <f>IF(AND(G14&gt;0,OR(C14="",C14="&lt;Enter detailed description here; use Comments section if needed&gt;")),"X","")</f>
        <v/>
      </c>
      <c r="B14" s="332" t="s">
        <v>781</v>
      </c>
      <c r="C14" s="2208" t="s">
        <v>2535</v>
      </c>
      <c r="D14" s="2208"/>
      <c r="E14" s="2208"/>
      <c r="F14" s="2209"/>
      <c r="G14" s="2419"/>
      <c r="H14" s="2420"/>
      <c r="J14" s="2419"/>
      <c r="K14" s="2420"/>
      <c r="L14" s="1229"/>
      <c r="M14" s="2419"/>
      <c r="N14" s="2420"/>
      <c r="P14" s="2419"/>
      <c r="Q14" s="2420"/>
      <c r="S14" s="2419"/>
      <c r="T14" s="2420"/>
      <c r="U14" s="408" t="str">
        <f>IF(AND(G14&gt;0,OR(C14="",C14="&lt;Enter detailed description here; use Comments section if needed&gt;")),"NO DESCRIPTION PROVIDED - please enter detailed description in Other box at left; use Comments section below if needed.","")</f>
        <v/>
      </c>
      <c r="V14" s="2426"/>
      <c r="W14" s="2424"/>
      <c r="X14" s="2425"/>
    </row>
    <row r="15" spans="1:24" s="332" customFormat="1" ht="12.6" customHeight="1">
      <c r="A15" s="409" t="str">
        <f>IF(AND(G15&gt;0,OR(C15="",C15="&lt;Enter detailed description here; use Comments section if needed&gt;")),"X","")</f>
        <v/>
      </c>
      <c r="B15" s="332" t="s">
        <v>781</v>
      </c>
      <c r="C15" s="2208" t="s">
        <v>2535</v>
      </c>
      <c r="D15" s="2208"/>
      <c r="E15" s="2208"/>
      <c r="F15" s="2209"/>
      <c r="G15" s="2419"/>
      <c r="H15" s="2420"/>
      <c r="J15" s="2419"/>
      <c r="K15" s="2420"/>
      <c r="L15" s="1229"/>
      <c r="M15" s="2419"/>
      <c r="N15" s="2420"/>
      <c r="P15" s="2419"/>
      <c r="Q15" s="2420"/>
      <c r="S15" s="2419"/>
      <c r="T15" s="2420"/>
      <c r="U15" s="408" t="str">
        <f>IF(AND(G15&gt;0,OR(C15="",C15="&lt;Enter detailed description here; use Comments section if needed&gt;")),"NO DESCRIPTION PROVIDED - please enter detailed description in Other box at left; use Comments section below if needed.","")</f>
        <v/>
      </c>
      <c r="V15" s="2426"/>
      <c r="W15" s="2424"/>
      <c r="X15" s="2425"/>
    </row>
    <row r="16" spans="1:24" s="332" customFormat="1" ht="12.6" customHeight="1" thickBot="1">
      <c r="A16" s="409" t="str">
        <f>IF(AND(G16&gt;0,OR(C16="",C16="&lt;Enter detailed description here; use Comments section if needed&gt;")),"X","")</f>
        <v/>
      </c>
      <c r="B16" s="332" t="s">
        <v>781</v>
      </c>
      <c r="C16" s="2208" t="s">
        <v>2535</v>
      </c>
      <c r="D16" s="2208"/>
      <c r="E16" s="2208"/>
      <c r="F16" s="2209"/>
      <c r="G16" s="2419"/>
      <c r="H16" s="2420"/>
      <c r="J16" s="2427"/>
      <c r="K16" s="2428"/>
      <c r="L16" s="1229"/>
      <c r="M16" s="2419"/>
      <c r="N16" s="2420"/>
      <c r="P16" s="2419"/>
      <c r="Q16" s="2420"/>
      <c r="S16" s="2427"/>
      <c r="T16" s="2428"/>
      <c r="U16" s="408" t="str">
        <f>IF(AND(G16&gt;0,OR(C16="",C16="&lt;Enter detailed description here; use Comments section if needed&gt;")),"NO DESCRIPTION PROVIDED - please enter detailed description in Other box at left; use Comments section below if needed.","")</f>
        <v/>
      </c>
      <c r="V16" s="2426"/>
      <c r="W16" s="2424"/>
      <c r="X16" s="2425"/>
    </row>
    <row r="17" spans="2:24" s="332" customFormat="1" ht="12.6" customHeight="1" thickTop="1">
      <c r="F17" s="385" t="s">
        <v>197</v>
      </c>
      <c r="G17" s="1467">
        <f>SUM(G8:H16)</f>
        <v>39788</v>
      </c>
      <c r="H17" s="1471"/>
      <c r="J17" s="1467">
        <f>SUM(J8:K16)</f>
        <v>0</v>
      </c>
      <c r="K17" s="1468"/>
      <c r="L17" s="1229"/>
      <c r="M17" s="1467">
        <f>SUM(M8:N16)</f>
        <v>0</v>
      </c>
      <c r="N17" s="1471"/>
      <c r="P17" s="1467">
        <f>SUM(P8:Q16)</f>
        <v>39788</v>
      </c>
      <c r="Q17" s="1471"/>
      <c r="S17" s="1467">
        <f>SUM(S8:T16)</f>
        <v>0</v>
      </c>
      <c r="T17" s="1471"/>
      <c r="V17" s="2429">
        <f>SUM(V8:V16)</f>
        <v>0</v>
      </c>
      <c r="W17" s="2430"/>
      <c r="X17" s="2431"/>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9">
        <v>440000</v>
      </c>
      <c r="H19" s="2420"/>
      <c r="J19" s="387"/>
      <c r="K19" s="384"/>
      <c r="L19" s="387"/>
      <c r="M19" s="387"/>
      <c r="N19" s="384"/>
      <c r="P19" s="387"/>
      <c r="Q19" s="384"/>
      <c r="S19" s="2419">
        <v>440000</v>
      </c>
      <c r="T19" s="2420"/>
      <c r="V19" s="2421"/>
      <c r="W19" s="2422"/>
      <c r="X19" s="2423"/>
    </row>
    <row r="20" spans="2:24" s="332" customFormat="1" ht="12.6" customHeight="1">
      <c r="B20" s="332" t="s">
        <v>1170</v>
      </c>
      <c r="G20" s="2419"/>
      <c r="H20" s="2420"/>
      <c r="J20" s="387"/>
      <c r="K20" s="384"/>
      <c r="L20" s="387"/>
      <c r="M20" s="387"/>
      <c r="N20" s="384"/>
      <c r="P20" s="387"/>
      <c r="Q20" s="384"/>
      <c r="S20" s="2419"/>
      <c r="T20" s="2420"/>
      <c r="V20" s="2421"/>
      <c r="W20" s="2424"/>
      <c r="X20" s="2425"/>
    </row>
    <row r="21" spans="2:24" s="332" customFormat="1" ht="12.6" customHeight="1">
      <c r="B21" s="332" t="s">
        <v>477</v>
      </c>
      <c r="G21" s="2419">
        <v>10000</v>
      </c>
      <c r="H21" s="2420"/>
      <c r="J21" s="387"/>
      <c r="K21" s="384"/>
      <c r="L21" s="387"/>
      <c r="M21" s="2419">
        <v>10000</v>
      </c>
      <c r="N21" s="2420"/>
      <c r="P21" s="387"/>
      <c r="Q21" s="384"/>
      <c r="S21" s="2419"/>
      <c r="T21" s="2420"/>
      <c r="V21" s="2421"/>
      <c r="W21" s="2424"/>
      <c r="X21" s="2425"/>
    </row>
    <row r="22" spans="2:24" s="332" customFormat="1" ht="12.6" customHeight="1" thickBot="1">
      <c r="B22" s="332" t="s">
        <v>446</v>
      </c>
      <c r="G22" s="2432">
        <v>1760000</v>
      </c>
      <c r="H22" s="2433"/>
      <c r="J22" s="387"/>
      <c r="K22" s="384"/>
      <c r="L22" s="387"/>
      <c r="M22" s="2432">
        <v>1760000</v>
      </c>
      <c r="N22" s="2433"/>
      <c r="P22" s="387"/>
      <c r="Q22" s="384"/>
      <c r="S22" s="2419"/>
      <c r="T22" s="2420"/>
      <c r="V22" s="2421"/>
      <c r="W22" s="2424"/>
      <c r="X22" s="2425"/>
    </row>
    <row r="23" spans="2:24" s="332" customFormat="1" ht="12.6" customHeight="1" thickTop="1">
      <c r="F23" s="385" t="s">
        <v>197</v>
      </c>
      <c r="G23" s="1467">
        <f>SUM(G19:H22)</f>
        <v>2210000</v>
      </c>
      <c r="H23" s="1471"/>
      <c r="J23" s="387"/>
      <c r="K23" s="384"/>
      <c r="L23" s="387"/>
      <c r="M23" s="1467">
        <f>SUM(M21:N22)</f>
        <v>1770000</v>
      </c>
      <c r="N23" s="1471"/>
      <c r="P23" s="387"/>
      <c r="Q23" s="384"/>
      <c r="S23" s="1467">
        <f>SUM(S19:T22)</f>
        <v>440000</v>
      </c>
      <c r="T23" s="1471"/>
      <c r="V23" s="2429">
        <f>SUM(V19:V22)</f>
        <v>0</v>
      </c>
      <c r="W23" s="2430"/>
      <c r="X23" s="243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9">
        <v>1423189</v>
      </c>
      <c r="H25" s="2420"/>
      <c r="J25" s="2427"/>
      <c r="K25" s="2428"/>
      <c r="L25" s="1229"/>
      <c r="M25" s="2427"/>
      <c r="N25" s="2428"/>
      <c r="P25" s="2427">
        <v>1423189</v>
      </c>
      <c r="Q25" s="2428"/>
      <c r="S25" s="2419"/>
      <c r="T25" s="2420"/>
      <c r="V25" s="2421"/>
      <c r="W25" s="2422"/>
      <c r="X25" s="2423"/>
    </row>
    <row r="26" spans="2:24" s="332" customFormat="1" ht="12.6" customHeight="1" thickBot="1">
      <c r="B26" s="332" t="s">
        <v>1173</v>
      </c>
      <c r="G26" s="2419"/>
      <c r="H26" s="2420"/>
      <c r="J26" s="2427"/>
      <c r="K26" s="2428"/>
      <c r="L26" s="388"/>
      <c r="M26" s="1469"/>
      <c r="N26" s="1469"/>
      <c r="P26" s="1469"/>
      <c r="Q26" s="1469"/>
      <c r="S26" s="2419"/>
      <c r="T26" s="2420"/>
      <c r="V26" s="2421"/>
      <c r="W26" s="2424"/>
      <c r="X26" s="2425"/>
    </row>
    <row r="27" spans="2:24" s="332" customFormat="1" ht="12.6" customHeight="1" thickTop="1">
      <c r="F27" s="385" t="s">
        <v>197</v>
      </c>
      <c r="G27" s="1467">
        <f>SUM(G25:H26)</f>
        <v>1423189</v>
      </c>
      <c r="H27" s="1471"/>
      <c r="J27" s="1467">
        <f>SUM(J25:K26)</f>
        <v>0</v>
      </c>
      <c r="K27" s="1471"/>
      <c r="L27" s="387"/>
      <c r="M27" s="1467">
        <f>M25</f>
        <v>0</v>
      </c>
      <c r="N27" s="1471"/>
      <c r="P27" s="1467">
        <f>P25</f>
        <v>1423189</v>
      </c>
      <c r="Q27" s="1471"/>
      <c r="S27" s="1467">
        <f>SUM(S25:T26)</f>
        <v>0</v>
      </c>
      <c r="T27" s="1471"/>
      <c r="V27" s="2429">
        <f>SUM(V25:V26)</f>
        <v>0</v>
      </c>
      <c r="W27" s="2430"/>
      <c r="X27" s="243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9"/>
      <c r="H29" s="2420"/>
      <c r="J29" s="2419"/>
      <c r="K29" s="2420"/>
      <c r="L29" s="1229"/>
      <c r="M29" s="2419"/>
      <c r="N29" s="2420"/>
      <c r="P29" s="2419"/>
      <c r="Q29" s="2420"/>
      <c r="S29" s="2419"/>
      <c r="T29" s="2420"/>
      <c r="V29" s="2421"/>
      <c r="W29" s="2422"/>
      <c r="X29" s="2423"/>
    </row>
    <row r="30" spans="2:24" s="332" customFormat="1" ht="12.6" customHeight="1">
      <c r="B30" s="332" t="s">
        <v>1176</v>
      </c>
      <c r="G30" s="2419">
        <v>6216616</v>
      </c>
      <c r="H30" s="2420"/>
      <c r="J30" s="2419"/>
      <c r="K30" s="2420"/>
      <c r="L30" s="1229"/>
      <c r="M30" s="2419"/>
      <c r="N30" s="2420"/>
      <c r="P30" s="2419">
        <v>6216616</v>
      </c>
      <c r="Q30" s="2420"/>
      <c r="S30" s="2419"/>
      <c r="T30" s="2420"/>
      <c r="V30" s="2421"/>
      <c r="W30" s="2424"/>
      <c r="X30" s="2425"/>
    </row>
    <row r="31" spans="2:24" s="332" customFormat="1" ht="12.6" customHeight="1">
      <c r="B31" s="332" t="s">
        <v>3085</v>
      </c>
      <c r="G31" s="2419"/>
      <c r="H31" s="2420"/>
      <c r="J31" s="2419"/>
      <c r="K31" s="2420"/>
      <c r="L31" s="1229"/>
      <c r="M31" s="2419"/>
      <c r="N31" s="2420"/>
      <c r="P31" s="2419"/>
      <c r="Q31" s="2420"/>
      <c r="S31" s="2419"/>
      <c r="T31" s="2420"/>
      <c r="V31" s="2421"/>
      <c r="W31" s="2424"/>
      <c r="X31" s="2425"/>
    </row>
    <row r="32" spans="2:24" ht="12.6" customHeight="1" thickBot="1">
      <c r="B32" s="332" t="s">
        <v>3084</v>
      </c>
      <c r="G32" s="2419">
        <v>297500</v>
      </c>
      <c r="H32" s="2420"/>
      <c r="I32" s="332"/>
      <c r="J32" s="2419"/>
      <c r="K32" s="2420"/>
      <c r="L32" s="1229"/>
      <c r="M32" s="2419"/>
      <c r="N32" s="2420"/>
      <c r="O32" s="332"/>
      <c r="P32" s="2419">
        <v>297500</v>
      </c>
      <c r="Q32" s="2420"/>
      <c r="R32" s="332"/>
      <c r="S32" s="2419"/>
      <c r="T32" s="2420"/>
      <c r="V32" s="2421"/>
      <c r="W32" s="2424"/>
      <c r="X32" s="2425"/>
    </row>
    <row r="33" spans="1:24" s="332" customFormat="1" ht="12.6" customHeight="1" thickTop="1">
      <c r="C33" s="1542"/>
      <c r="D33" s="1542"/>
      <c r="E33" s="1230"/>
      <c r="F33" s="385" t="s">
        <v>197</v>
      </c>
      <c r="G33" s="1467">
        <f>SUM(G29:H32)</f>
        <v>6514116</v>
      </c>
      <c r="H33" s="1471"/>
      <c r="J33" s="1467">
        <f>SUM(J29:K32)</f>
        <v>0</v>
      </c>
      <c r="K33" s="1471"/>
      <c r="L33" s="1229"/>
      <c r="M33" s="1467">
        <f>SUM(M29:N32)</f>
        <v>0</v>
      </c>
      <c r="N33" s="1471"/>
      <c r="P33" s="1467">
        <f>SUM(P29:Q32)</f>
        <v>6514116</v>
      </c>
      <c r="Q33" s="1471"/>
      <c r="S33" s="1467">
        <f>SUM(S29:T32)</f>
        <v>0</v>
      </c>
      <c r="T33" s="1471"/>
      <c r="V33" s="2429">
        <f>SUM(V29:V32)</f>
        <v>0</v>
      </c>
      <c r="W33" s="2430"/>
      <c r="X33" s="2431"/>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476238.3</v>
      </c>
      <c r="G35" s="2419">
        <v>476238</v>
      </c>
      <c r="H35" s="2420"/>
      <c r="I35" s="348"/>
      <c r="J35" s="2419"/>
      <c r="K35" s="2420"/>
      <c r="L35" s="1229"/>
      <c r="M35" s="2419"/>
      <c r="N35" s="2420"/>
      <c r="P35" s="2419">
        <v>476238</v>
      </c>
      <c r="Q35" s="2420"/>
      <c r="S35" s="2419"/>
      <c r="T35" s="2420"/>
      <c r="V35" s="2421"/>
      <c r="W35" s="2422"/>
      <c r="X35" s="2423"/>
    </row>
    <row r="36" spans="1:24" s="332" customFormat="1" ht="12.6" customHeight="1">
      <c r="B36" s="332" t="s">
        <v>2922</v>
      </c>
      <c r="E36" s="442">
        <f>'DCA Underwriting Assumptions'!$R$72</f>
        <v>0.02</v>
      </c>
      <c r="F36" s="443">
        <f>E36*(G27+G33)</f>
        <v>158746.1</v>
      </c>
      <c r="G36" s="2419">
        <v>158746</v>
      </c>
      <c r="H36" s="2420"/>
      <c r="I36" s="348"/>
      <c r="J36" s="2419"/>
      <c r="K36" s="2420"/>
      <c r="L36" s="1229"/>
      <c r="M36" s="2419"/>
      <c r="N36" s="2420"/>
      <c r="P36" s="2419">
        <v>158746</v>
      </c>
      <c r="Q36" s="2420"/>
      <c r="S36" s="2419"/>
      <c r="T36" s="2420"/>
      <c r="V36" s="2421"/>
      <c r="W36" s="2424"/>
      <c r="X36" s="2425"/>
    </row>
    <row r="37" spans="1:24" s="332" customFormat="1" ht="12.6" customHeight="1" thickBot="1">
      <c r="B37" s="332" t="s">
        <v>2923</v>
      </c>
      <c r="E37" s="442">
        <f>'DCA Underwriting Assumptions'!$R$73</f>
        <v>0.06</v>
      </c>
      <c r="F37" s="443">
        <f>E37*(G27+G33)</f>
        <v>476238.3</v>
      </c>
      <c r="G37" s="2419">
        <v>476238</v>
      </c>
      <c r="H37" s="2420"/>
      <c r="I37" s="348"/>
      <c r="J37" s="2419"/>
      <c r="K37" s="2420"/>
      <c r="L37" s="1229"/>
      <c r="M37" s="2419"/>
      <c r="N37" s="2420"/>
      <c r="P37" s="2419">
        <v>476238</v>
      </c>
      <c r="Q37" s="2420"/>
      <c r="S37" s="2419"/>
      <c r="T37" s="2420"/>
      <c r="V37" s="2421"/>
      <c r="W37" s="2424"/>
      <c r="X37" s="2425"/>
    </row>
    <row r="38" spans="1:24" s="332" customFormat="1" ht="12.6" customHeight="1" thickTop="1">
      <c r="B38" s="332" t="s">
        <v>2140</v>
      </c>
      <c r="D38" s="392"/>
      <c r="E38" s="1220"/>
      <c r="F38" s="444" t="s">
        <v>197</v>
      </c>
      <c r="G38" s="1467">
        <f>SUM(G35:H37)</f>
        <v>1111222</v>
      </c>
      <c r="H38" s="1471"/>
      <c r="J38" s="1467">
        <f>SUM(J35:K37)</f>
        <v>0</v>
      </c>
      <c r="K38" s="1471"/>
      <c r="L38" s="387"/>
      <c r="M38" s="1467">
        <f>SUM(M35:N37)</f>
        <v>0</v>
      </c>
      <c r="N38" s="1471"/>
      <c r="P38" s="1467">
        <f>SUM(P35:Q37)</f>
        <v>1111222</v>
      </c>
      <c r="Q38" s="1471"/>
      <c r="S38" s="1467">
        <f>SUM(S35:T37)</f>
        <v>0</v>
      </c>
      <c r="T38" s="1471"/>
      <c r="V38" s="2429">
        <f>SUM(V35:V37)</f>
        <v>0</v>
      </c>
      <c r="W38" s="2430"/>
      <c r="X38" s="243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2535</v>
      </c>
      <c r="D41" s="2434"/>
      <c r="E41" s="2434"/>
      <c r="F41" s="2435"/>
      <c r="G41" s="2419"/>
      <c r="H41" s="2420"/>
      <c r="I41" s="332"/>
      <c r="J41" s="2419"/>
      <c r="K41" s="2420"/>
      <c r="L41" s="1229"/>
      <c r="M41" s="2419"/>
      <c r="N41" s="2420"/>
      <c r="O41" s="332"/>
      <c r="P41" s="2419"/>
      <c r="Q41" s="2420"/>
      <c r="R41" s="332"/>
      <c r="S41" s="2419"/>
      <c r="T41" s="2420"/>
      <c r="V41" s="2421"/>
      <c r="W41" s="2422"/>
      <c r="X41" s="2423"/>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24"/>
      <c r="X42" s="2425"/>
    </row>
    <row r="43" spans="1:24" s="332" customFormat="1" ht="12.6" customHeight="1">
      <c r="B43" s="589" t="s">
        <v>2932</v>
      </c>
      <c r="C43" s="590"/>
      <c r="E43" s="1498" t="s">
        <v>2931</v>
      </c>
      <c r="F43" s="1232">
        <f>B44/'Part VI-Revenues &amp; Expenses'!$M$60</f>
        <v>94255.489583333328</v>
      </c>
      <c r="G43" s="587" t="s">
        <v>3076</v>
      </c>
      <c r="H43" s="549"/>
      <c r="I43" s="549"/>
      <c r="J43" s="1501">
        <f>B44/'Part VI-Revenues &amp; Expenses'!$M$62</f>
        <v>94255.489583333328</v>
      </c>
      <c r="K43" s="1501"/>
      <c r="L43" s="549"/>
      <c r="M43" s="1502" t="s">
        <v>1471</v>
      </c>
      <c r="N43" s="1502"/>
      <c r="O43" s="549"/>
      <c r="P43" s="1501">
        <f>B44/'Part I-Project Information'!$P$60</f>
        <v>82.893851114897672</v>
      </c>
      <c r="Q43" s="1501"/>
      <c r="R43" s="549"/>
      <c r="S43" s="1472" t="s">
        <v>3083</v>
      </c>
      <c r="T43" s="1473"/>
      <c r="W43" s="2424"/>
      <c r="X43" s="2425"/>
    </row>
    <row r="44" spans="1:24" s="332" customFormat="1" ht="12.6" customHeight="1">
      <c r="B44" s="1490">
        <f>G27+G33+G38+G41</f>
        <v>9048527</v>
      </c>
      <c r="C44" s="1491"/>
      <c r="E44" s="1499"/>
      <c r="F44" s="1233">
        <f>B44/'Part VI-Revenues &amp; Expenses'!$M$118</f>
        <v>101.4886717961372</v>
      </c>
      <c r="G44" s="588" t="s">
        <v>3077</v>
      </c>
      <c r="H44" s="1224"/>
      <c r="I44" s="1224"/>
      <c r="J44" s="1500">
        <f>B44/'Part VI-Revenues &amp; Expenses'!$M$120</f>
        <v>101.4886717961372</v>
      </c>
      <c r="K44" s="1500"/>
      <c r="L44" s="1224"/>
      <c r="M44" s="1503" t="s">
        <v>3082</v>
      </c>
      <c r="N44" s="1503"/>
      <c r="O44" s="1224"/>
      <c r="P44" s="1224"/>
      <c r="Q44" s="1224"/>
      <c r="R44" s="1224"/>
      <c r="S44" s="1224"/>
      <c r="T44" s="377"/>
      <c r="W44" s="2430"/>
      <c r="X44" s="243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5.5257612647892855E-2</v>
      </c>
      <c r="G47" s="2419">
        <v>500000</v>
      </c>
      <c r="H47" s="2420"/>
      <c r="I47" s="332"/>
      <c r="J47" s="2419"/>
      <c r="K47" s="2420"/>
      <c r="L47" s="1229"/>
      <c r="M47" s="2419"/>
      <c r="N47" s="2420"/>
      <c r="O47" s="332"/>
      <c r="P47" s="2419">
        <v>500000</v>
      </c>
      <c r="Q47" s="2420"/>
      <c r="R47" s="332"/>
      <c r="S47" s="2419"/>
      <c r="T47" s="2420"/>
      <c r="V47" s="2421"/>
      <c r="W47" s="2436"/>
      <c r="X47" s="243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2826</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9"/>
      <c r="H53" s="2420"/>
      <c r="J53" s="2419"/>
      <c r="K53" s="2420"/>
      <c r="L53" s="1229"/>
      <c r="M53" s="2419"/>
      <c r="N53" s="2420"/>
      <c r="P53" s="2419"/>
      <c r="Q53" s="2420"/>
      <c r="S53" s="2419"/>
      <c r="T53" s="2420"/>
    </row>
    <row r="54" spans="1:24" s="332" customFormat="1" ht="12" customHeight="1">
      <c r="B54" s="332" t="s">
        <v>2456</v>
      </c>
      <c r="G54" s="2419"/>
      <c r="H54" s="2420"/>
      <c r="J54" s="2419"/>
      <c r="K54" s="2420"/>
      <c r="L54" s="1229"/>
      <c r="M54" s="2419"/>
      <c r="N54" s="2420"/>
      <c r="P54" s="2419"/>
      <c r="Q54" s="2420"/>
      <c r="S54" s="2419"/>
      <c r="T54" s="2420"/>
      <c r="V54" s="2421"/>
      <c r="W54" s="2422"/>
      <c r="X54" s="2423"/>
    </row>
    <row r="55" spans="1:24" s="332" customFormat="1" ht="12" customHeight="1">
      <c r="B55" s="332" t="s">
        <v>2457</v>
      </c>
      <c r="G55" s="2419"/>
      <c r="H55" s="2420"/>
      <c r="J55" s="2419"/>
      <c r="K55" s="2420"/>
      <c r="L55" s="1229"/>
      <c r="M55" s="2419"/>
      <c r="N55" s="2420"/>
      <c r="P55" s="2419"/>
      <c r="Q55" s="2420"/>
      <c r="S55" s="2419"/>
      <c r="T55" s="2420"/>
      <c r="V55" s="2421"/>
      <c r="W55" s="2424"/>
      <c r="X55" s="2425"/>
    </row>
    <row r="56" spans="1:24" s="332" customFormat="1" ht="12" customHeight="1">
      <c r="B56" s="332" t="s">
        <v>2458</v>
      </c>
      <c r="G56" s="2419"/>
      <c r="H56" s="2420"/>
      <c r="J56" s="2419"/>
      <c r="K56" s="2420"/>
      <c r="L56" s="1229"/>
      <c r="M56" s="2419"/>
      <c r="N56" s="2420"/>
      <c r="P56" s="2419"/>
      <c r="Q56" s="2420"/>
      <c r="S56" s="2419"/>
      <c r="T56" s="2420"/>
      <c r="V56" s="2421"/>
      <c r="W56" s="2424"/>
      <c r="X56" s="2425"/>
    </row>
    <row r="57" spans="1:24" s="332" customFormat="1" ht="12" customHeight="1">
      <c r="B57" s="332" t="s">
        <v>2844</v>
      </c>
      <c r="G57" s="2419">
        <v>25100</v>
      </c>
      <c r="H57" s="2420"/>
      <c r="J57" s="2419"/>
      <c r="K57" s="2420"/>
      <c r="L57" s="1229"/>
      <c r="M57" s="2419"/>
      <c r="N57" s="2420"/>
      <c r="P57" s="2419">
        <v>25100</v>
      </c>
      <c r="Q57" s="2420"/>
      <c r="S57" s="2419"/>
      <c r="T57" s="2420"/>
      <c r="V57" s="2421"/>
      <c r="W57" s="2424"/>
      <c r="X57" s="2425"/>
    </row>
    <row r="58" spans="1:24" s="332" customFormat="1" ht="12" customHeight="1">
      <c r="B58" s="332" t="s">
        <v>763</v>
      </c>
      <c r="G58" s="2419">
        <v>50655</v>
      </c>
      <c r="H58" s="2420"/>
      <c r="J58" s="2419"/>
      <c r="K58" s="2420"/>
      <c r="L58" s="1229"/>
      <c r="M58" s="2419"/>
      <c r="N58" s="2420"/>
      <c r="P58" s="2419">
        <v>8443</v>
      </c>
      <c r="Q58" s="2420"/>
      <c r="S58" s="2419">
        <v>42213</v>
      </c>
      <c r="T58" s="2420"/>
      <c r="V58" s="2421"/>
      <c r="W58" s="2424"/>
      <c r="X58" s="2425"/>
    </row>
    <row r="59" spans="1:24" s="332" customFormat="1" ht="12" customHeight="1">
      <c r="B59" s="332" t="s">
        <v>2459</v>
      </c>
      <c r="G59" s="2419">
        <v>35729</v>
      </c>
      <c r="H59" s="2420"/>
      <c r="J59" s="2419"/>
      <c r="K59" s="2420"/>
      <c r="L59" s="1229"/>
      <c r="M59" s="2419"/>
      <c r="N59" s="2420"/>
      <c r="P59" s="2419">
        <v>5955</v>
      </c>
      <c r="Q59" s="2420"/>
      <c r="S59" s="2419">
        <v>29774</v>
      </c>
      <c r="T59" s="2420"/>
      <c r="V59" s="2421"/>
      <c r="W59" s="2424"/>
      <c r="X59" s="2425"/>
    </row>
    <row r="60" spans="1:24" s="332" customFormat="1" ht="12" customHeight="1">
      <c r="B60" s="332" t="s">
        <v>1336</v>
      </c>
      <c r="G60" s="2419">
        <v>44693</v>
      </c>
      <c r="H60" s="2420"/>
      <c r="J60" s="2419"/>
      <c r="K60" s="2420"/>
      <c r="L60" s="1229"/>
      <c r="M60" s="2419">
        <v>44693</v>
      </c>
      <c r="N60" s="2420"/>
      <c r="P60" s="2419"/>
      <c r="Q60" s="2420"/>
      <c r="S60" s="2419"/>
      <c r="T60" s="2420"/>
      <c r="V60" s="2421"/>
      <c r="W60" s="2424"/>
      <c r="X60" s="2425"/>
    </row>
    <row r="61" spans="1:24" s="332" customFormat="1" ht="12" customHeight="1">
      <c r="B61" s="391" t="s">
        <v>1208</v>
      </c>
      <c r="D61" s="389"/>
      <c r="E61" s="389"/>
      <c r="F61" s="390"/>
      <c r="G61" s="2419">
        <v>85000</v>
      </c>
      <c r="H61" s="2420"/>
      <c r="I61" s="348"/>
      <c r="J61" s="2419"/>
      <c r="K61" s="2420"/>
      <c r="L61" s="1229"/>
      <c r="M61" s="2419"/>
      <c r="N61" s="2420"/>
      <c r="P61" s="2419">
        <v>85000</v>
      </c>
      <c r="Q61" s="2420"/>
      <c r="S61" s="2419"/>
      <c r="T61" s="2420"/>
      <c r="V61" s="2421"/>
      <c r="W61" s="2424"/>
      <c r="X61" s="2425"/>
    </row>
    <row r="62" spans="1:24" s="332" customFormat="1" ht="12" customHeight="1">
      <c r="A62" s="409" t="str">
        <f>IF(AND(G62&gt;0,OR(C62="",C62="&lt;Enter detailed description here; use Comments section if needed&gt;")),"X","")</f>
        <v/>
      </c>
      <c r="B62" s="332" t="s">
        <v>781</v>
      </c>
      <c r="C62" s="2208" t="s">
        <v>2535</v>
      </c>
      <c r="D62" s="2208"/>
      <c r="E62" s="2208"/>
      <c r="F62" s="2209"/>
      <c r="G62" s="2419"/>
      <c r="H62" s="2420"/>
      <c r="J62" s="2419"/>
      <c r="K62" s="2420"/>
      <c r="L62" s="1229"/>
      <c r="M62" s="2419"/>
      <c r="N62" s="2420"/>
      <c r="P62" s="2419"/>
      <c r="Q62" s="2420"/>
      <c r="S62" s="2419"/>
      <c r="T62" s="2420"/>
      <c r="U62" s="408" t="str">
        <f>IF(AND(G62&gt;0,OR(C62="",C62="&lt;Enter detailed description here; use Comments section if needed&gt;")),"NO DESCRIPTION PROVIDED - please enter detailed description in Other box at left; use Comments section below if needed.","")</f>
        <v/>
      </c>
      <c r="V62" s="2421"/>
      <c r="W62" s="2424"/>
      <c r="X62" s="2425"/>
    </row>
    <row r="63" spans="1:24" s="332" customFormat="1" ht="12" customHeight="1" thickBot="1">
      <c r="A63" s="409" t="str">
        <f>IF(AND(G63&gt;0,OR(C63="",C63="&lt;Enter detailed description here; use Comments section if needed&gt;")),"X","")</f>
        <v/>
      </c>
      <c r="B63" s="332" t="s">
        <v>781</v>
      </c>
      <c r="C63" s="2208" t="s">
        <v>2535</v>
      </c>
      <c r="D63" s="2208"/>
      <c r="E63" s="2208"/>
      <c r="F63" s="2209"/>
      <c r="G63" s="2419"/>
      <c r="H63" s="2420"/>
      <c r="J63" s="2419"/>
      <c r="K63" s="2420"/>
      <c r="L63" s="1229"/>
      <c r="M63" s="2419"/>
      <c r="N63" s="2420"/>
      <c r="P63" s="2419"/>
      <c r="Q63" s="2420"/>
      <c r="S63" s="2419"/>
      <c r="T63" s="2420"/>
      <c r="U63" s="408" t="str">
        <f>IF(AND(G63&gt;0,OR(C63="",C63="&lt;Enter detailed description here; use Comments section if needed&gt;")),"NO DESCRIPTION PROVIDED - please enter detailed description in Other box at left; use Comments section below if needed.","")</f>
        <v/>
      </c>
      <c r="V63" s="2421"/>
      <c r="W63" s="2424"/>
      <c r="X63" s="2425"/>
    </row>
    <row r="64" spans="1:24" s="332" customFormat="1" ht="12" customHeight="1" thickTop="1">
      <c r="F64" s="385" t="s">
        <v>197</v>
      </c>
      <c r="G64" s="1467">
        <f>SUM(G53:H63)</f>
        <v>241177</v>
      </c>
      <c r="H64" s="1471"/>
      <c r="J64" s="1467">
        <f>SUM(J53:K63)</f>
        <v>0</v>
      </c>
      <c r="K64" s="1471"/>
      <c r="L64" s="387"/>
      <c r="M64" s="1467">
        <f>SUM(M53:N63)</f>
        <v>44693</v>
      </c>
      <c r="N64" s="1471"/>
      <c r="P64" s="1467">
        <f>SUM(P53:Q63)</f>
        <v>124498</v>
      </c>
      <c r="Q64" s="1471"/>
      <c r="S64" s="1467">
        <f>SUM(S53:T63)</f>
        <v>71987</v>
      </c>
      <c r="T64" s="1471"/>
      <c r="V64" s="2429">
        <f>SUM(V54:V63)</f>
        <v>0</v>
      </c>
      <c r="W64" s="2430"/>
      <c r="X64" s="243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9">
        <v>290993</v>
      </c>
      <c r="H66" s="2420"/>
      <c r="J66" s="2419"/>
      <c r="K66" s="2420"/>
      <c r="L66" s="1229"/>
      <c r="M66" s="2419"/>
      <c r="N66" s="2420"/>
      <c r="P66" s="2419">
        <v>290993</v>
      </c>
      <c r="Q66" s="2420"/>
      <c r="S66" s="2419"/>
      <c r="T66" s="2420"/>
      <c r="V66" s="2421"/>
      <c r="W66" s="2422"/>
      <c r="X66" s="2423"/>
    </row>
    <row r="67" spans="1:24" s="332" customFormat="1" ht="12" customHeight="1">
      <c r="B67" s="332" t="s">
        <v>499</v>
      </c>
      <c r="G67" s="2419">
        <v>67748</v>
      </c>
      <c r="H67" s="2420"/>
      <c r="J67" s="2419"/>
      <c r="K67" s="2420"/>
      <c r="L67" s="1229"/>
      <c r="M67" s="2419"/>
      <c r="N67" s="2420"/>
      <c r="P67" s="2419">
        <v>67748</v>
      </c>
      <c r="Q67" s="2420"/>
      <c r="S67" s="2419"/>
      <c r="T67" s="2420"/>
      <c r="V67" s="2421"/>
      <c r="W67" s="2424"/>
      <c r="X67" s="2425"/>
    </row>
    <row r="68" spans="1:24" s="332" customFormat="1" ht="12" customHeight="1">
      <c r="B68" s="332" t="s">
        <v>1179</v>
      </c>
      <c r="F68" s="332" t="s">
        <v>3028</v>
      </c>
      <c r="G68" s="2419">
        <v>20000</v>
      </c>
      <c r="H68" s="2420"/>
      <c r="J68" s="2419"/>
      <c r="K68" s="2420"/>
      <c r="L68" s="1229"/>
      <c r="M68" s="2419"/>
      <c r="N68" s="2420"/>
      <c r="P68" s="2419">
        <v>20000</v>
      </c>
      <c r="Q68" s="2420"/>
      <c r="S68" s="2419"/>
      <c r="T68" s="2420"/>
      <c r="V68" s="2421"/>
      <c r="W68" s="2424"/>
      <c r="X68" s="2425"/>
    </row>
    <row r="69" spans="1:24" s="332" customFormat="1" ht="12" customHeight="1">
      <c r="B69" s="332" t="s">
        <v>1180</v>
      </c>
      <c r="G69" s="2419">
        <v>25000</v>
      </c>
      <c r="H69" s="2420"/>
      <c r="J69" s="2419"/>
      <c r="K69" s="2420"/>
      <c r="L69" s="1229"/>
      <c r="M69" s="2419"/>
      <c r="N69" s="2420"/>
      <c r="P69" s="2419">
        <v>25000</v>
      </c>
      <c r="Q69" s="2420"/>
      <c r="S69" s="2419"/>
      <c r="T69" s="2420"/>
      <c r="V69" s="2421"/>
      <c r="W69" s="2424"/>
      <c r="X69" s="2425"/>
    </row>
    <row r="70" spans="1:24" s="332" customFormat="1" ht="12" customHeight="1">
      <c r="B70" s="332" t="s">
        <v>1181</v>
      </c>
      <c r="G70" s="2419">
        <v>5000</v>
      </c>
      <c r="H70" s="2420"/>
      <c r="J70" s="2419"/>
      <c r="K70" s="2420"/>
      <c r="L70" s="1229"/>
      <c r="M70" s="2419"/>
      <c r="N70" s="2420"/>
      <c r="P70" s="2419">
        <v>5000</v>
      </c>
      <c r="Q70" s="2420"/>
      <c r="S70" s="2419"/>
      <c r="T70" s="2420"/>
      <c r="V70" s="2421"/>
      <c r="W70" s="2424"/>
      <c r="X70" s="2425"/>
    </row>
    <row r="71" spans="1:24" s="332" customFormat="1" ht="12" customHeight="1">
      <c r="B71" s="332" t="s">
        <v>1182</v>
      </c>
      <c r="G71" s="2419"/>
      <c r="H71" s="2420"/>
      <c r="J71" s="2419"/>
      <c r="K71" s="2420"/>
      <c r="L71" s="1229"/>
      <c r="M71" s="2419"/>
      <c r="N71" s="2420"/>
      <c r="P71" s="2419"/>
      <c r="Q71" s="2420"/>
      <c r="S71" s="2419"/>
      <c r="T71" s="2420"/>
      <c r="V71" s="2421"/>
      <c r="W71" s="2424"/>
      <c r="X71" s="2425"/>
    </row>
    <row r="72" spans="1:24" s="332" customFormat="1" ht="12" customHeight="1">
      <c r="B72" s="332" t="s">
        <v>500</v>
      </c>
      <c r="G72" s="2419">
        <v>35000</v>
      </c>
      <c r="H72" s="2420"/>
      <c r="J72" s="2419"/>
      <c r="K72" s="2420"/>
      <c r="L72" s="1229"/>
      <c r="M72" s="2419"/>
      <c r="N72" s="2420"/>
      <c r="P72" s="2419">
        <v>35000</v>
      </c>
      <c r="Q72" s="2420"/>
      <c r="S72" s="2419"/>
      <c r="T72" s="2420"/>
      <c r="V72" s="2421"/>
      <c r="W72" s="2424"/>
      <c r="X72" s="2425"/>
    </row>
    <row r="73" spans="1:24" s="332" customFormat="1" ht="12" customHeight="1">
      <c r="B73" s="332" t="s">
        <v>501</v>
      </c>
      <c r="G73" s="2419">
        <v>90000</v>
      </c>
      <c r="H73" s="2420"/>
      <c r="J73" s="2419"/>
      <c r="K73" s="2420"/>
      <c r="L73" s="1229"/>
      <c r="M73" s="2419"/>
      <c r="N73" s="2420"/>
      <c r="P73" s="2419">
        <v>35000</v>
      </c>
      <c r="Q73" s="2420"/>
      <c r="S73" s="2419">
        <v>55000</v>
      </c>
      <c r="T73" s="2420"/>
      <c r="V73" s="2421"/>
      <c r="W73" s="2424"/>
      <c r="X73" s="2425"/>
    </row>
    <row r="74" spans="1:24" s="332" customFormat="1" ht="12" customHeight="1">
      <c r="B74" s="332" t="s">
        <v>2150</v>
      </c>
      <c r="G74" s="2419">
        <v>35000</v>
      </c>
      <c r="H74" s="2420"/>
      <c r="J74" s="2419"/>
      <c r="K74" s="2420"/>
      <c r="L74" s="1229"/>
      <c r="M74" s="2419"/>
      <c r="N74" s="2420"/>
      <c r="P74" s="2419">
        <v>10000</v>
      </c>
      <c r="Q74" s="2420"/>
      <c r="S74" s="2419">
        <v>25000</v>
      </c>
      <c r="T74" s="2420"/>
      <c r="V74" s="2421"/>
      <c r="W74" s="2424"/>
      <c r="X74" s="2425"/>
    </row>
    <row r="75" spans="1:24" s="332" customFormat="1" ht="12" customHeight="1">
      <c r="B75" s="332" t="s">
        <v>1337</v>
      </c>
      <c r="G75" s="2419"/>
      <c r="H75" s="2420"/>
      <c r="J75" s="2419"/>
      <c r="K75" s="2420"/>
      <c r="L75" s="1229"/>
      <c r="M75" s="2419"/>
      <c r="N75" s="2420"/>
      <c r="P75" s="2419"/>
      <c r="Q75" s="2420"/>
      <c r="S75" s="2419"/>
      <c r="T75" s="2420"/>
      <c r="V75" s="2421"/>
      <c r="W75" s="2424"/>
      <c r="X75" s="2425"/>
    </row>
    <row r="76" spans="1:24" s="332" customFormat="1" ht="12" customHeight="1" thickBot="1">
      <c r="A76" s="409" t="str">
        <f>IF(AND(G76&gt;0,OR(C76="",C76="&lt;Enter detailed description here; use Comments section if needed&gt;")),"X","")</f>
        <v/>
      </c>
      <c r="B76" s="332" t="s">
        <v>781</v>
      </c>
      <c r="C76" s="2208" t="s">
        <v>4484</v>
      </c>
      <c r="D76" s="2208"/>
      <c r="E76" s="2208"/>
      <c r="F76" s="2209"/>
      <c r="G76" s="2419">
        <v>10500</v>
      </c>
      <c r="H76" s="2420"/>
      <c r="J76" s="2419"/>
      <c r="K76" s="2420"/>
      <c r="L76" s="1229"/>
      <c r="M76" s="2419"/>
      <c r="N76" s="2420"/>
      <c r="P76" s="2419">
        <v>10500</v>
      </c>
      <c r="Q76" s="2420"/>
      <c r="S76" s="2419"/>
      <c r="T76" s="2420"/>
      <c r="U76" s="408" t="str">
        <f>IF(AND(G76&gt;0,OR(C76="",C76="&lt;Enter detailed description here; use Comments section if needed&gt;")),"NO DESCRIPTION PROVIDED - please enter detailed description in Other box at left; use Comments section below if needed.","")</f>
        <v/>
      </c>
      <c r="V76" s="2421"/>
      <c r="W76" s="2424"/>
      <c r="X76" s="2425"/>
    </row>
    <row r="77" spans="1:24" s="332" customFormat="1" ht="12" customHeight="1" thickTop="1">
      <c r="F77" s="385" t="s">
        <v>197</v>
      </c>
      <c r="G77" s="1467">
        <f>SUM(G66:H76)</f>
        <v>579241</v>
      </c>
      <c r="H77" s="1471"/>
      <c r="J77" s="1467">
        <f>SUM(J66:K76)</f>
        <v>0</v>
      </c>
      <c r="K77" s="1471"/>
      <c r="L77" s="387"/>
      <c r="M77" s="1467">
        <f>SUM(M66:N76)</f>
        <v>0</v>
      </c>
      <c r="N77" s="1471"/>
      <c r="P77" s="1467">
        <f>SUM(P66:Q76)</f>
        <v>499241</v>
      </c>
      <c r="Q77" s="1471"/>
      <c r="S77" s="1467">
        <f>SUM(S66:T76)</f>
        <v>80000</v>
      </c>
      <c r="T77" s="1471"/>
      <c r="V77" s="2429">
        <f>SUM(V66:V76)</f>
        <v>0</v>
      </c>
      <c r="W77" s="2430"/>
      <c r="X77" s="243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9">
        <v>25000</v>
      </c>
      <c r="H79" s="2420"/>
      <c r="J79" s="2419"/>
      <c r="K79" s="2420"/>
      <c r="L79" s="1229"/>
      <c r="M79" s="2419"/>
      <c r="N79" s="2420"/>
      <c r="P79" s="2419">
        <v>25000</v>
      </c>
      <c r="Q79" s="2420"/>
      <c r="S79" s="2419"/>
      <c r="T79" s="2420"/>
      <c r="V79" s="2421"/>
      <c r="W79" s="2438"/>
      <c r="X79" s="2439"/>
    </row>
    <row r="80" spans="1:24" s="332" customFormat="1" ht="12" customHeight="1">
      <c r="B80" s="332" t="s">
        <v>1331</v>
      </c>
      <c r="G80" s="2419"/>
      <c r="H80" s="2420"/>
      <c r="J80" s="2419"/>
      <c r="K80" s="2420"/>
      <c r="L80" s="1229"/>
      <c r="M80" s="2419"/>
      <c r="N80" s="2420"/>
      <c r="P80" s="2419"/>
      <c r="Q80" s="2420"/>
      <c r="S80" s="2419"/>
      <c r="T80" s="2420"/>
      <c r="V80" s="2421"/>
      <c r="W80" s="2440"/>
      <c r="X80" s="2441"/>
    </row>
    <row r="81" spans="1:24" s="332" customFormat="1" ht="12" customHeight="1">
      <c r="B81" s="332" t="s">
        <v>1332</v>
      </c>
      <c r="D81" s="394" t="s">
        <v>1472</v>
      </c>
      <c r="E81" s="2442"/>
      <c r="G81" s="2419"/>
      <c r="H81" s="2420"/>
      <c r="I81" s="348"/>
      <c r="J81" s="2419"/>
      <c r="K81" s="2420"/>
      <c r="L81" s="1229"/>
      <c r="M81" s="2419"/>
      <c r="N81" s="2420"/>
      <c r="P81" s="2419"/>
      <c r="Q81" s="2420"/>
      <c r="S81" s="2419"/>
      <c r="T81" s="2420"/>
      <c r="V81" s="2421"/>
      <c r="W81" s="2440"/>
      <c r="X81" s="2441"/>
    </row>
    <row r="82" spans="1:24" s="332" customFormat="1" ht="12" customHeight="1" thickBot="1">
      <c r="B82" s="332" t="s">
        <v>1333</v>
      </c>
      <c r="D82" s="394" t="s">
        <v>1472</v>
      </c>
      <c r="E82" s="2442"/>
      <c r="G82" s="2419"/>
      <c r="H82" s="2420"/>
      <c r="I82" s="348"/>
      <c r="J82" s="2419"/>
      <c r="K82" s="2420"/>
      <c r="L82" s="1229"/>
      <c r="M82" s="2419"/>
      <c r="N82" s="2420"/>
      <c r="P82" s="2419"/>
      <c r="Q82" s="2420"/>
      <c r="S82" s="2419"/>
      <c r="T82" s="2420"/>
      <c r="V82" s="2421"/>
      <c r="W82" s="2440"/>
      <c r="X82" s="2441"/>
    </row>
    <row r="83" spans="1:24" s="332" customFormat="1" ht="12" customHeight="1" thickTop="1">
      <c r="F83" s="385" t="s">
        <v>197</v>
      </c>
      <c r="G83" s="1467">
        <f>SUM(G79:H82)</f>
        <v>25000</v>
      </c>
      <c r="H83" s="1471"/>
      <c r="J83" s="1467">
        <f>SUM(J79:K82)</f>
        <v>0</v>
      </c>
      <c r="K83" s="1471"/>
      <c r="L83" s="387"/>
      <c r="M83" s="1467">
        <f>SUM(M79:N82)</f>
        <v>0</v>
      </c>
      <c r="N83" s="1471"/>
      <c r="P83" s="1467">
        <f>SUM(P79:Q82)</f>
        <v>25000</v>
      </c>
      <c r="Q83" s="1471"/>
      <c r="S83" s="1467">
        <f>SUM(S79:T82)</f>
        <v>0</v>
      </c>
      <c r="T83" s="1471"/>
      <c r="V83" s="2429">
        <f>SUM(V79:V82)</f>
        <v>0</v>
      </c>
      <c r="W83" s="2443"/>
      <c r="X83" s="244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9"/>
      <c r="H85" s="2420"/>
      <c r="J85" s="1474"/>
      <c r="K85" s="1474"/>
      <c r="L85" s="1229"/>
      <c r="M85" s="1474"/>
      <c r="N85" s="1474"/>
      <c r="P85" s="1474"/>
      <c r="Q85" s="1474"/>
      <c r="S85" s="2419"/>
      <c r="T85" s="2420"/>
      <c r="V85" s="2421"/>
      <c r="W85" s="2438"/>
      <c r="X85" s="2439"/>
    </row>
    <row r="86" spans="1:24" s="332" customFormat="1" ht="12" customHeight="1">
      <c r="B86" s="332" t="s">
        <v>1335</v>
      </c>
      <c r="G86" s="2419"/>
      <c r="H86" s="2420"/>
      <c r="J86" s="1474"/>
      <c r="K86" s="1474"/>
      <c r="L86" s="1229"/>
      <c r="M86" s="1474"/>
      <c r="N86" s="1474"/>
      <c r="P86" s="1474"/>
      <c r="Q86" s="1474"/>
      <c r="S86" s="2419"/>
      <c r="T86" s="2420"/>
      <c r="V86" s="2421"/>
      <c r="W86" s="2440"/>
      <c r="X86" s="2441"/>
    </row>
    <row r="87" spans="1:24" s="332" customFormat="1" ht="12" customHeight="1">
      <c r="B87" s="332" t="s">
        <v>1336</v>
      </c>
      <c r="G87" s="2419"/>
      <c r="H87" s="2420"/>
      <c r="J87" s="1474"/>
      <c r="K87" s="1474"/>
      <c r="L87" s="1229"/>
      <c r="M87" s="1474"/>
      <c r="N87" s="1474"/>
      <c r="P87" s="1474"/>
      <c r="Q87" s="1474"/>
      <c r="S87" s="2419"/>
      <c r="T87" s="2420"/>
      <c r="V87" s="2421"/>
      <c r="W87" s="2440"/>
      <c r="X87" s="2441"/>
    </row>
    <row r="88" spans="1:24" s="332" customFormat="1" ht="12" customHeight="1">
      <c r="B88" s="332" t="s">
        <v>1338</v>
      </c>
      <c r="G88" s="2419"/>
      <c r="H88" s="2420"/>
      <c r="J88" s="1474"/>
      <c r="K88" s="1474"/>
      <c r="L88" s="1229"/>
      <c r="M88" s="1474"/>
      <c r="N88" s="1474"/>
      <c r="P88" s="1474"/>
      <c r="Q88" s="1474"/>
      <c r="S88" s="2419"/>
      <c r="T88" s="2420"/>
      <c r="V88" s="2421"/>
      <c r="W88" s="2440"/>
      <c r="X88" s="2441"/>
    </row>
    <row r="89" spans="1:24" s="332" customFormat="1" ht="12" customHeight="1">
      <c r="B89" s="332" t="s">
        <v>2407</v>
      </c>
      <c r="G89" s="2419"/>
      <c r="H89" s="2420"/>
      <c r="J89" s="1474"/>
      <c r="K89" s="1474"/>
      <c r="L89" s="1229"/>
      <c r="M89" s="1474"/>
      <c r="N89" s="1474"/>
      <c r="P89" s="1474"/>
      <c r="Q89" s="1474"/>
      <c r="S89" s="2419"/>
      <c r="T89" s="2420"/>
      <c r="V89" s="2421"/>
      <c r="W89" s="2440"/>
      <c r="X89" s="2441"/>
    </row>
    <row r="90" spans="1:24" s="332" customFormat="1" ht="12" customHeight="1" thickBot="1">
      <c r="A90" s="409" t="str">
        <f>IF(AND(G90&gt;0,OR(C90="",C90="&lt;Enter detailed description here; use Comments section if needed&gt;")),"X","")</f>
        <v/>
      </c>
      <c r="B90" s="332" t="s">
        <v>781</v>
      </c>
      <c r="C90" s="2208" t="s">
        <v>2535</v>
      </c>
      <c r="D90" s="2208"/>
      <c r="E90" s="2208"/>
      <c r="F90" s="2209"/>
      <c r="G90" s="2419"/>
      <c r="H90" s="2420"/>
      <c r="J90" s="1474"/>
      <c r="K90" s="1474"/>
      <c r="L90" s="1229"/>
      <c r="M90" s="1474"/>
      <c r="N90" s="1474"/>
      <c r="P90" s="1474"/>
      <c r="Q90" s="1474"/>
      <c r="S90" s="2419"/>
      <c r="T90" s="2420"/>
      <c r="U90" s="408" t="str">
        <f>IF(AND(G90&gt;0,OR(C90="",C90="&lt;Enter detailed description here; use Comments section if needed&gt;")),"NO DESCRIPTION PROVIDED - please enter detailed description in Other box at left; use Comments section below if needed.","")</f>
        <v/>
      </c>
      <c r="V90" s="2421"/>
      <c r="W90" s="2440"/>
      <c r="X90" s="2441"/>
    </row>
    <row r="91" spans="1:24" s="332" customFormat="1" ht="12" customHeight="1" thickTop="1">
      <c r="F91" s="385" t="s">
        <v>197</v>
      </c>
      <c r="G91" s="1467">
        <f>SUM(G85:H90)</f>
        <v>0</v>
      </c>
      <c r="H91" s="1471"/>
      <c r="J91" s="1474"/>
      <c r="K91" s="1474"/>
      <c r="L91" s="387"/>
      <c r="M91" s="1474"/>
      <c r="N91" s="1474"/>
      <c r="P91" s="1474"/>
      <c r="Q91" s="1474"/>
      <c r="S91" s="1467">
        <f>SUM(S85:T90)</f>
        <v>0</v>
      </c>
      <c r="T91" s="1471"/>
      <c r="V91" s="2429">
        <f>SUM(V85:V90)</f>
        <v>0</v>
      </c>
      <c r="W91" s="2443"/>
      <c r="X91" s="244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2826</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9"/>
      <c r="H96" s="2420"/>
      <c r="J96" s="387"/>
      <c r="K96" s="387"/>
      <c r="L96" s="1229"/>
      <c r="M96" s="387"/>
      <c r="N96" s="387"/>
      <c r="P96" s="387"/>
      <c r="Q96" s="387"/>
      <c r="S96" s="2419"/>
      <c r="T96" s="2420"/>
      <c r="V96" s="2421"/>
      <c r="W96" s="2438"/>
      <c r="X96" s="243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9">
        <v>6500</v>
      </c>
      <c r="H97" s="2420"/>
      <c r="J97" s="387"/>
      <c r="K97" s="387"/>
      <c r="L97" s="395"/>
      <c r="M97" s="387"/>
      <c r="N97" s="387"/>
      <c r="P97" s="387"/>
      <c r="Q97" s="387"/>
      <c r="S97" s="2419">
        <v>6500</v>
      </c>
      <c r="T97" s="2420"/>
      <c r="V97" s="2421"/>
      <c r="W97" s="2440"/>
      <c r="X97" s="2441"/>
    </row>
    <row r="98" spans="1:24" s="332" customFormat="1" ht="12.6" customHeight="1">
      <c r="B98" s="332" t="s">
        <v>2848</v>
      </c>
      <c r="G98" s="2419">
        <v>1500</v>
      </c>
      <c r="H98" s="2420"/>
      <c r="J98" s="387"/>
      <c r="K98" s="387"/>
      <c r="L98" s="395"/>
      <c r="M98" s="387"/>
      <c r="N98" s="387"/>
      <c r="O98" s="1220"/>
      <c r="P98" s="387"/>
      <c r="Q98" s="387"/>
      <c r="S98" s="2419">
        <v>1500</v>
      </c>
      <c r="T98" s="2420"/>
      <c r="V98" s="2421"/>
      <c r="W98" s="2440"/>
      <c r="X98" s="2441"/>
    </row>
    <row r="99" spans="1:24" s="332" customFormat="1" ht="12.6" customHeight="1">
      <c r="B99" s="332" t="s">
        <v>543</v>
      </c>
      <c r="E99" s="1492">
        <f>'DCA Underwriting Assumptions'!$Q$74*J173</f>
        <v>80000</v>
      </c>
      <c r="F99" s="1493"/>
      <c r="G99" s="2419">
        <v>80000</v>
      </c>
      <c r="H99" s="2420"/>
      <c r="J99" s="387"/>
      <c r="K99" s="387"/>
      <c r="L99" s="1229"/>
      <c r="M99" s="387"/>
      <c r="N99" s="387"/>
      <c r="O99" s="1220"/>
      <c r="P99" s="387"/>
      <c r="Q99" s="387"/>
      <c r="S99" s="2419">
        <v>80000</v>
      </c>
      <c r="T99" s="2420"/>
      <c r="V99" s="2421"/>
      <c r="W99" s="2440"/>
      <c r="X99" s="2441"/>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100" s="1493"/>
      <c r="G100" s="2419">
        <v>76800</v>
      </c>
      <c r="H100" s="2420"/>
      <c r="J100" s="302"/>
      <c r="K100" s="302"/>
      <c r="L100" s="302"/>
      <c r="M100" s="302"/>
      <c r="N100" s="302"/>
      <c r="O100" s="302"/>
      <c r="P100" s="302"/>
      <c r="Q100" s="302"/>
      <c r="S100" s="2419">
        <v>76800</v>
      </c>
      <c r="T100" s="2420"/>
      <c r="V100" s="2421"/>
      <c r="W100" s="2440"/>
      <c r="X100" s="2441"/>
    </row>
    <row r="101" spans="1:24" s="332" customFormat="1" ht="12.6" customHeight="1">
      <c r="B101" s="332" t="str">
        <f>CONCATENATE("DCA HOME Front End Analysis Fee (when ID of Interest; $",'DCA Underwriting Assumptions'!$Q$76,")")</f>
        <v>DCA HOME Front End Analysis Fee (when ID of Interest; $2700)</v>
      </c>
      <c r="G101" s="2419"/>
      <c r="H101" s="2420"/>
      <c r="J101" s="302"/>
      <c r="K101" s="302"/>
      <c r="L101" s="302"/>
      <c r="M101" s="302"/>
      <c r="N101" s="302"/>
      <c r="O101" s="302"/>
      <c r="P101" s="302"/>
      <c r="Q101" s="302"/>
      <c r="S101" s="2419"/>
      <c r="T101" s="2420"/>
      <c r="V101" s="2421"/>
      <c r="W101" s="2440"/>
      <c r="X101" s="2441"/>
    </row>
    <row r="102" spans="1:24" s="332" customFormat="1" ht="12.6" customHeight="1">
      <c r="B102" s="332" t="str">
        <f>CONCATENATE("DCA Final Inspection Fee (Tax Credit only - no HOME; $",'DCA Underwriting Assumptions'!$Q$97,")")</f>
        <v>DCA Final Inspection Fee (Tax Credit only - no HOME; $3000)</v>
      </c>
      <c r="G102" s="2419">
        <v>3000</v>
      </c>
      <c r="H102" s="2420"/>
      <c r="J102" s="302"/>
      <c r="K102" s="302"/>
      <c r="L102" s="302"/>
      <c r="M102" s="302"/>
      <c r="N102" s="302"/>
      <c r="O102" s="302"/>
      <c r="P102" s="302"/>
      <c r="Q102" s="302"/>
      <c r="S102" s="2419">
        <v>3000</v>
      </c>
      <c r="T102" s="2420"/>
      <c r="V102" s="2421"/>
      <c r="W102" s="2440"/>
      <c r="X102" s="2441"/>
    </row>
    <row r="103" spans="1:24" s="332" customFormat="1" ht="12.6" customHeight="1">
      <c r="A103" s="409" t="str">
        <f>IF(AND(G103&gt;0,OR(C103="",C103="&lt;Enter detailed description here; use Comments section if needed&gt;")),"X","")</f>
        <v/>
      </c>
      <c r="B103" s="332" t="s">
        <v>781</v>
      </c>
      <c r="C103" s="2208" t="s">
        <v>2535</v>
      </c>
      <c r="D103" s="2208"/>
      <c r="E103" s="2208"/>
      <c r="F103" s="2209"/>
      <c r="G103" s="2419"/>
      <c r="H103" s="2420"/>
      <c r="J103" s="302"/>
      <c r="K103" s="302"/>
      <c r="L103" s="302"/>
      <c r="M103" s="302"/>
      <c r="N103" s="302"/>
      <c r="O103" s="302"/>
      <c r="P103" s="302"/>
      <c r="Q103" s="302"/>
      <c r="S103" s="2419"/>
      <c r="T103" s="2420"/>
      <c r="U103" s="408" t="str">
        <f>IF(AND(G103&gt;0,OR(C103="",C103="&lt;Enter detailed description here; use Comments section if needed&gt;")),"NO DESCRIPTION PROVIDED - please enter detailed description in Other box at left; use Comments section below if needed.","")</f>
        <v/>
      </c>
      <c r="V103" s="2421"/>
      <c r="W103" s="2440"/>
      <c r="X103" s="2441"/>
    </row>
    <row r="104" spans="1:24" s="332" customFormat="1" ht="12.6" customHeight="1" thickBot="1">
      <c r="A104" s="409" t="str">
        <f>IF(AND(G104&gt;0,OR(C104="",C104="&lt;Enter detailed description here; use Comments section if needed&gt;")),"X","")</f>
        <v/>
      </c>
      <c r="B104" s="332" t="s">
        <v>781</v>
      </c>
      <c r="C104" s="2208" t="s">
        <v>2535</v>
      </c>
      <c r="D104" s="2208"/>
      <c r="E104" s="2208"/>
      <c r="F104" s="2209"/>
      <c r="G104" s="2419"/>
      <c r="H104" s="2420"/>
      <c r="J104" s="302"/>
      <c r="K104" s="302"/>
      <c r="L104" s="302"/>
      <c r="M104" s="302"/>
      <c r="N104" s="302"/>
      <c r="O104" s="302"/>
      <c r="P104" s="302"/>
      <c r="Q104" s="302"/>
      <c r="S104" s="2419"/>
      <c r="T104" s="2420"/>
      <c r="U104" s="408" t="str">
        <f>IF(AND(G104&gt;0,OR(C104="",C104="&lt;Enter detailed description here; use Comments section if needed&gt;")),"NO DESCRIPTION PROVIDED - please enter detailed description in Other box at left; use Comments section below if needed.","")</f>
        <v/>
      </c>
      <c r="V104" s="2421"/>
      <c r="W104" s="2440"/>
      <c r="X104" s="2441"/>
    </row>
    <row r="105" spans="1:24" s="332" customFormat="1" ht="12.6" customHeight="1" thickTop="1">
      <c r="F105" s="385" t="s">
        <v>197</v>
      </c>
      <c r="G105" s="1467">
        <f>SUM(G96:H104)</f>
        <v>167800</v>
      </c>
      <c r="H105" s="1471"/>
      <c r="J105" s="387"/>
      <c r="K105" s="387"/>
      <c r="L105" s="1229"/>
      <c r="M105" s="387"/>
      <c r="N105" s="387"/>
      <c r="P105" s="387"/>
      <c r="Q105" s="387"/>
      <c r="S105" s="1467">
        <f>SUM(S96:T104)</f>
        <v>167800</v>
      </c>
      <c r="T105" s="1471"/>
      <c r="V105" s="2429">
        <f>SUM(V96:V104)</f>
        <v>0</v>
      </c>
      <c r="W105" s="2443"/>
      <c r="X105" s="2444"/>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9"/>
      <c r="H107" s="2420"/>
      <c r="J107" s="1474"/>
      <c r="K107" s="1474"/>
      <c r="L107" s="1229"/>
      <c r="M107" s="1474"/>
      <c r="N107" s="1474"/>
      <c r="O107" s="1220"/>
      <c r="P107" s="1474"/>
      <c r="Q107" s="1474"/>
      <c r="S107" s="2419"/>
      <c r="T107" s="2420"/>
      <c r="V107" s="2421"/>
      <c r="W107" s="2438"/>
      <c r="X107" s="2439"/>
    </row>
    <row r="108" spans="1:24" s="332" customFormat="1" ht="12.6" customHeight="1">
      <c r="B108" s="332" t="s">
        <v>293</v>
      </c>
      <c r="G108" s="2419"/>
      <c r="H108" s="2420"/>
      <c r="J108" s="1474"/>
      <c r="K108" s="1474"/>
      <c r="L108" s="1229"/>
      <c r="M108" s="1474"/>
      <c r="N108" s="1474"/>
      <c r="O108" s="1220"/>
      <c r="P108" s="1474"/>
      <c r="Q108" s="1474"/>
      <c r="S108" s="2419"/>
      <c r="T108" s="2420"/>
      <c r="V108" s="2421"/>
      <c r="W108" s="2440"/>
      <c r="X108" s="2441"/>
    </row>
    <row r="109" spans="1:24" s="332" customFormat="1" ht="12.6" customHeight="1">
      <c r="B109" s="332" t="s">
        <v>2500</v>
      </c>
      <c r="G109" s="2419"/>
      <c r="H109" s="2420"/>
      <c r="J109" s="1474"/>
      <c r="K109" s="1474"/>
      <c r="L109" s="1229"/>
      <c r="M109" s="1474"/>
      <c r="N109" s="1474"/>
      <c r="O109" s="1220"/>
      <c r="P109" s="1474"/>
      <c r="Q109" s="1474"/>
      <c r="S109" s="2419"/>
      <c r="T109" s="2420"/>
      <c r="V109" s="2421"/>
      <c r="W109" s="2440"/>
      <c r="X109" s="2441"/>
    </row>
    <row r="110" spans="1:24" s="332" customFormat="1" ht="12.6" customHeight="1" thickBot="1">
      <c r="A110" s="409" t="str">
        <f>IF(AND(G110&gt;0,OR(C110="",C110="&lt;Enter detailed description here; use Comments section if needed&gt;")),"X","")</f>
        <v/>
      </c>
      <c r="B110" s="332" t="s">
        <v>781</v>
      </c>
      <c r="C110" s="2208" t="s">
        <v>4423</v>
      </c>
      <c r="D110" s="2208"/>
      <c r="E110" s="2208"/>
      <c r="F110" s="2209"/>
      <c r="G110" s="2419">
        <v>47880</v>
      </c>
      <c r="H110" s="2420"/>
      <c r="J110" s="1474"/>
      <c r="K110" s="1474"/>
      <c r="L110" s="1229"/>
      <c r="M110" s="1474"/>
      <c r="N110" s="1474"/>
      <c r="O110" s="1220"/>
      <c r="P110" s="1474"/>
      <c r="Q110" s="1474"/>
      <c r="S110" s="2419">
        <v>47880</v>
      </c>
      <c r="T110" s="2420"/>
      <c r="U110" s="408" t="str">
        <f>IF(AND(G110&gt;0,OR(C110="",C110="&lt;Enter detailed description here; use Comments section if needed&gt;")),"NO DESCRIPTION PROVIDED - please enter detailed description in Other box at left; use Comments section below if needed.","")</f>
        <v/>
      </c>
      <c r="V110" s="2421"/>
      <c r="W110" s="2440"/>
      <c r="X110" s="2441"/>
    </row>
    <row r="111" spans="1:24" s="332" customFormat="1" ht="12.6" customHeight="1" thickTop="1">
      <c r="F111" s="385" t="s">
        <v>197</v>
      </c>
      <c r="G111" s="1467">
        <f>SUM(G107:H110)</f>
        <v>47880</v>
      </c>
      <c r="H111" s="1471"/>
      <c r="J111" s="1474"/>
      <c r="K111" s="1474"/>
      <c r="L111" s="1229"/>
      <c r="M111" s="1474"/>
      <c r="N111" s="1474"/>
      <c r="O111" s="1220"/>
      <c r="P111" s="1474"/>
      <c r="Q111" s="1474"/>
      <c r="S111" s="1467">
        <f>SUM(S107:T110)</f>
        <v>47880</v>
      </c>
      <c r="T111" s="1471"/>
      <c r="V111" s="2429">
        <f>SUM(V107:V110)</f>
        <v>0</v>
      </c>
      <c r="W111" s="2443"/>
      <c r="X111" s="244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419"/>
      <c r="H113" s="2420"/>
      <c r="J113" s="2419"/>
      <c r="K113" s="2420"/>
      <c r="L113" s="386"/>
      <c r="M113" s="2419"/>
      <c r="N113" s="2420"/>
      <c r="P113" s="2419"/>
      <c r="Q113" s="2420"/>
      <c r="S113" s="2419"/>
      <c r="T113" s="2420"/>
      <c r="V113" s="2421"/>
      <c r="W113" s="2438"/>
      <c r="X113" s="2439"/>
    </row>
    <row r="114" spans="1:24" s="332" customFormat="1" ht="12.6" customHeight="1">
      <c r="B114" s="332" t="s">
        <v>1954</v>
      </c>
      <c r="F114" s="446">
        <f>G114/G116</f>
        <v>0</v>
      </c>
      <c r="G114" s="2419"/>
      <c r="H114" s="2420"/>
      <c r="J114" s="2419"/>
      <c r="K114" s="2420"/>
      <c r="L114" s="1229"/>
      <c r="M114" s="2419"/>
      <c r="N114" s="2420"/>
      <c r="P114" s="2419"/>
      <c r="Q114" s="2420"/>
      <c r="S114" s="2419"/>
      <c r="T114" s="2420"/>
      <c r="V114" s="2421"/>
      <c r="W114" s="2440"/>
      <c r="X114" s="2441"/>
    </row>
    <row r="115" spans="1:24" s="332" customFormat="1" ht="12.6" customHeight="1" thickBot="1">
      <c r="B115" s="332" t="s">
        <v>1946</v>
      </c>
      <c r="F115" s="446">
        <f>G115/G116</f>
        <v>1</v>
      </c>
      <c r="G115" s="2419">
        <v>1800000</v>
      </c>
      <c r="H115" s="2420"/>
      <c r="J115" s="2419"/>
      <c r="K115" s="2420"/>
      <c r="L115" s="1229"/>
      <c r="M115" s="2419">
        <v>90000</v>
      </c>
      <c r="N115" s="2420"/>
      <c r="P115" s="2419">
        <v>1710000</v>
      </c>
      <c r="Q115" s="2420"/>
      <c r="S115" s="2419"/>
      <c r="T115" s="2420"/>
      <c r="V115" s="2421"/>
      <c r="W115" s="2440"/>
      <c r="X115" s="2441"/>
    </row>
    <row r="116" spans="1:24" s="332" customFormat="1" ht="12.6" customHeight="1" thickTop="1">
      <c r="C116" s="408" t="str">
        <f>IF(G116&lt;='DCA Underwriting Assumptions'!$Q$83,"","Developer Fee exceeds DCA Program Maximum !!!")</f>
        <v/>
      </c>
      <c r="F116" s="385" t="s">
        <v>197</v>
      </c>
      <c r="G116" s="1467">
        <f>SUM(G113:H115)</f>
        <v>1800000</v>
      </c>
      <c r="H116" s="1471"/>
      <c r="J116" s="1467">
        <f>SUM(J113:K115)</f>
        <v>0</v>
      </c>
      <c r="K116" s="1471"/>
      <c r="L116" s="1229"/>
      <c r="M116" s="1467">
        <f>SUM(M113:N115)</f>
        <v>90000</v>
      </c>
      <c r="N116" s="1471"/>
      <c r="P116" s="1467">
        <f>SUM(P113:Q115)</f>
        <v>1710000</v>
      </c>
      <c r="Q116" s="1471"/>
      <c r="S116" s="1467">
        <f>SUM(S113:T115)</f>
        <v>0</v>
      </c>
      <c r="T116" s="1471"/>
      <c r="V116" s="2429">
        <f>SUM(V113:V115)</f>
        <v>0</v>
      </c>
      <c r="W116" s="2443"/>
      <c r="X116" s="244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9"/>
      <c r="H118" s="2420"/>
      <c r="J118" s="396"/>
      <c r="K118" s="396"/>
      <c r="L118" s="396"/>
      <c r="M118" s="396"/>
      <c r="N118" s="396"/>
      <c r="P118" s="396"/>
      <c r="Q118" s="396"/>
      <c r="S118" s="2419"/>
      <c r="T118" s="2420"/>
      <c r="V118" s="2421"/>
      <c r="W118" s="2438"/>
      <c r="X118" s="2439"/>
    </row>
    <row r="119" spans="1:24" s="332" customFormat="1" ht="12.6" customHeight="1">
      <c r="B119" s="332" t="s">
        <v>1612</v>
      </c>
      <c r="F119" s="572">
        <f>+'Part VI-Revenues &amp; Expenses'!$P$178*('DCA Underwriting Assumptions'!$Q$96/12)</f>
        <v>142822.75</v>
      </c>
      <c r="G119" s="2419">
        <v>142823</v>
      </c>
      <c r="H119" s="2420"/>
      <c r="J119" s="1474"/>
      <c r="K119" s="1474"/>
      <c r="L119" s="1229"/>
      <c r="M119" s="1474"/>
      <c r="N119" s="1474"/>
      <c r="O119" s="1220"/>
      <c r="P119" s="1474"/>
      <c r="Q119" s="1474"/>
      <c r="R119" s="1220"/>
      <c r="S119" s="2419">
        <v>142823</v>
      </c>
      <c r="T119" s="2420"/>
      <c r="V119" s="2421"/>
      <c r="W119" s="2440"/>
      <c r="X119" s="244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285645.5</v>
      </c>
      <c r="G120" s="2419">
        <v>313395</v>
      </c>
      <c r="H120" s="2420"/>
      <c r="J120" s="395"/>
      <c r="K120" s="395"/>
      <c r="L120" s="395"/>
      <c r="M120" s="395"/>
      <c r="N120" s="395"/>
      <c r="O120" s="1220"/>
      <c r="P120" s="395"/>
      <c r="Q120" s="395"/>
      <c r="R120" s="1220"/>
      <c r="S120" s="2419">
        <v>313395</v>
      </c>
      <c r="T120" s="2420"/>
      <c r="V120" s="2421"/>
      <c r="W120" s="2440"/>
      <c r="X120" s="2441"/>
    </row>
    <row r="121" spans="1:24" s="332" customFormat="1" ht="12.6" customHeight="1">
      <c r="B121" s="332" t="s">
        <v>1304</v>
      </c>
      <c r="G121" s="2419">
        <v>405000</v>
      </c>
      <c r="H121" s="2420"/>
      <c r="J121" s="396"/>
      <c r="K121" s="396"/>
      <c r="L121" s="396"/>
      <c r="M121" s="396"/>
      <c r="N121" s="396"/>
      <c r="P121" s="396"/>
      <c r="Q121" s="396"/>
      <c r="S121" s="2419">
        <v>405000</v>
      </c>
      <c r="T121" s="2420"/>
      <c r="V121" s="2421"/>
      <c r="W121" s="2440"/>
      <c r="X121" s="2441"/>
    </row>
    <row r="122" spans="1:24" s="332" customFormat="1" ht="12.6" customHeight="1">
      <c r="B122" s="332" t="s">
        <v>1305</v>
      </c>
      <c r="E122" s="1186" t="s">
        <v>4362</v>
      </c>
      <c r="F122" s="528">
        <f>G122/'Part VI-Revenues &amp; Expenses'!$M$62</f>
        <v>0</v>
      </c>
      <c r="G122" s="2419"/>
      <c r="H122" s="2420"/>
      <c r="J122" s="2419"/>
      <c r="K122" s="2420"/>
      <c r="L122" s="1229"/>
      <c r="M122" s="2419"/>
      <c r="N122" s="2420"/>
      <c r="P122" s="2419"/>
      <c r="Q122" s="2420"/>
      <c r="S122" s="2419"/>
      <c r="T122" s="2420"/>
      <c r="V122" s="2421"/>
      <c r="W122" s="2440"/>
      <c r="X122" s="2441"/>
    </row>
    <row r="123" spans="1:24" s="332" customFormat="1" ht="12.6" customHeight="1" thickBot="1">
      <c r="A123" s="409" t="str">
        <f>IF(AND(G123&gt;0,OR(C123="",C123="&lt;Enter detailed description here; use Comments section if needed&gt;")),"X","")</f>
        <v/>
      </c>
      <c r="B123" s="332" t="s">
        <v>781</v>
      </c>
      <c r="C123" s="2208" t="s">
        <v>2535</v>
      </c>
      <c r="D123" s="2208"/>
      <c r="E123" s="2208"/>
      <c r="F123" s="2209"/>
      <c r="G123" s="2419"/>
      <c r="H123" s="2420"/>
      <c r="J123" s="2419"/>
      <c r="K123" s="2420"/>
      <c r="L123" s="1229"/>
      <c r="M123" s="2419"/>
      <c r="N123" s="2420"/>
      <c r="P123" s="2419"/>
      <c r="Q123" s="2420"/>
      <c r="S123" s="2419"/>
      <c r="T123" s="2420"/>
      <c r="U123" s="408" t="str">
        <f>IF(AND(G123&gt;0,OR(C123="",C123="&lt;Enter detailed description here; use Comments section if needed&gt;")),"NO DESCRIPTION PROVIDED - please enter detailed description in Other box at left; use Comments section below if needed.","")</f>
        <v/>
      </c>
      <c r="V123" s="2421"/>
      <c r="W123" s="2440"/>
      <c r="X123" s="2441"/>
    </row>
    <row r="124" spans="1:24" s="332" customFormat="1" ht="12.6" customHeight="1" thickTop="1">
      <c r="B124" s="397"/>
      <c r="F124" s="385" t="s">
        <v>197</v>
      </c>
      <c r="G124" s="1467">
        <f>SUM(G118:H123)</f>
        <v>861218</v>
      </c>
      <c r="H124" s="1471"/>
      <c r="J124" s="1467">
        <f>SUM(J122:K123)</f>
        <v>0</v>
      </c>
      <c r="K124" s="1471"/>
      <c r="L124" s="1229"/>
      <c r="M124" s="1467">
        <f>SUM(M122:N123)</f>
        <v>0</v>
      </c>
      <c r="N124" s="1471"/>
      <c r="P124" s="1467">
        <f>SUM(P122:Q123)</f>
        <v>0</v>
      </c>
      <c r="Q124" s="1471"/>
      <c r="S124" s="1467">
        <f>SUM(S118:T123)</f>
        <v>861218</v>
      </c>
      <c r="T124" s="1471"/>
      <c r="V124" s="2429">
        <f>SUM(V118:V123)</f>
        <v>0</v>
      </c>
      <c r="W124" s="2443"/>
      <c r="X124" s="2444"/>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19">
        <v>259500</v>
      </c>
      <c r="H126" s="2420"/>
      <c r="J126" s="2419"/>
      <c r="K126" s="2420"/>
      <c r="L126" s="386"/>
      <c r="M126" s="2419"/>
      <c r="N126" s="2420"/>
      <c r="P126" s="2419">
        <v>259500</v>
      </c>
      <c r="Q126" s="2420"/>
      <c r="S126" s="2419"/>
      <c r="T126" s="2420"/>
      <c r="V126" s="2421"/>
      <c r="W126" s="2438"/>
      <c r="X126" s="2439"/>
    </row>
    <row r="127" spans="1:24" s="332" customFormat="1" ht="12.6" customHeight="1" thickBot="1">
      <c r="A127" s="409" t="str">
        <f>IF(AND(G127&gt;0,OR(C127="",C127="&lt;Enter detailed description here; use Comments section if needed&gt;")),"X","")</f>
        <v/>
      </c>
      <c r="B127" s="332" t="s">
        <v>781</v>
      </c>
      <c r="C127" s="2208"/>
      <c r="D127" s="2208"/>
      <c r="E127" s="2208"/>
      <c r="F127" s="2209"/>
      <c r="G127" s="2419"/>
      <c r="H127" s="2420"/>
      <c r="J127" s="2419"/>
      <c r="K127" s="2420"/>
      <c r="L127" s="1229"/>
      <c r="M127" s="2419"/>
      <c r="N127" s="2420"/>
      <c r="P127" s="2419"/>
      <c r="Q127" s="2420"/>
      <c r="S127" s="2419"/>
      <c r="T127" s="2420"/>
      <c r="U127" s="408" t="str">
        <f>IF(AND(G127&gt;0,OR(C127="",C127="&lt;Enter detailed description here; use Comments section if needed&gt;")),"NO DESCRIPTION PROVIDED - please enter detailed description in Other box at left; use Comments section below if needed.","")</f>
        <v/>
      </c>
      <c r="V127" s="2421"/>
      <c r="W127" s="2440"/>
      <c r="X127" s="2441"/>
    </row>
    <row r="128" spans="1:24" s="332" customFormat="1" ht="12.6" customHeight="1" thickTop="1">
      <c r="C128" s="1215"/>
      <c r="F128" s="385" t="s">
        <v>197</v>
      </c>
      <c r="G128" s="1467">
        <f>SUM(G126:H127)</f>
        <v>259500</v>
      </c>
      <c r="H128" s="1471"/>
      <c r="J128" s="1467">
        <f>SUM(J126:K127)</f>
        <v>0</v>
      </c>
      <c r="K128" s="1471"/>
      <c r="L128" s="1229"/>
      <c r="M128" s="1467">
        <f>SUM(M126:N127)</f>
        <v>0</v>
      </c>
      <c r="N128" s="1471"/>
      <c r="P128" s="1467">
        <f>SUM(P126:Q127)</f>
        <v>259500</v>
      </c>
      <c r="Q128" s="1471"/>
      <c r="S128" s="1467">
        <f>SUM(S126:T127)</f>
        <v>0</v>
      </c>
      <c r="T128" s="1471"/>
      <c r="V128" s="2429">
        <f>SUM(V126:V127)</f>
        <v>0</v>
      </c>
      <c r="W128" s="2440"/>
      <c r="X128" s="2441"/>
    </row>
    <row r="129" spans="1:24" s="332" customFormat="1" ht="3" customHeight="1" thickBot="1">
      <c r="C129" s="1215"/>
      <c r="H129" s="393"/>
      <c r="I129" s="393"/>
      <c r="L129" s="1220"/>
      <c r="W129" s="2440"/>
      <c r="X129" s="2441"/>
    </row>
    <row r="130" spans="1:24" s="332" customFormat="1" ht="13.9" customHeight="1" thickBot="1">
      <c r="B130" s="338" t="s">
        <v>3069</v>
      </c>
      <c r="G130" s="1479">
        <f>G17+G23+G27+G33+G38+G41+G47+G64+G77+G83+G91+G105+G111+G116+G124+G128</f>
        <v>15780131</v>
      </c>
      <c r="H130" s="1480"/>
      <c r="J130" s="1479">
        <f>J17+J23+J27+J33+J38+J41+J47+J64+J77+J83+J91+J105+J111+J116+J124+J128</f>
        <v>0</v>
      </c>
      <c r="K130" s="1480"/>
      <c r="M130" s="1479">
        <f>M17+M23+M27+M33+M38+M41+M47+M64+M77+M83+M91+M105+M111+M116+M124+M128</f>
        <v>1904693</v>
      </c>
      <c r="N130" s="1480"/>
      <c r="P130" s="1479">
        <f>P17+P23+P27+P33+P38+P41+P47+P64+P77+P83+P91+P105+P111+P116+P124+P128</f>
        <v>12206554</v>
      </c>
      <c r="Q130" s="1480"/>
      <c r="S130" s="1479">
        <f>S17+S23+S27+S33+S38+S41+S47+S64+S77+S83+S91+S105+S111+S116+S124+S128</f>
        <v>1668885</v>
      </c>
      <c r="T130" s="1480"/>
      <c r="V130" s="2445">
        <f>V17+V23+V27+V33+V38+V41+V47+V64+V77+V83+V91+V105+V111+V116+V124+V128</f>
        <v>0</v>
      </c>
      <c r="W130" s="2446"/>
      <c r="X130" s="2444"/>
    </row>
    <row r="131" spans="1:24" s="332" customFormat="1" ht="3" customHeight="1">
      <c r="C131" s="1215"/>
      <c r="H131" s="393"/>
      <c r="I131" s="393"/>
      <c r="L131" s="1220"/>
    </row>
    <row r="132" spans="1:24" s="332" customFormat="1" ht="13.9" customHeight="1">
      <c r="B132" s="583" t="s">
        <v>3035</v>
      </c>
      <c r="C132" s="581"/>
      <c r="D132" s="1486">
        <f>G130/'Part VI-Revenues &amp; Expenses'!$M$62</f>
        <v>164376.36458333334</v>
      </c>
      <c r="E132" s="1486"/>
      <c r="F132" s="582" t="s">
        <v>3034</v>
      </c>
      <c r="G132" s="1486">
        <f>G130/'Part VI-Revenues &amp; Expenses'!$M$120</f>
        <v>176.99063460373719</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47"/>
      <c r="K138" s="2448"/>
      <c r="P138" s="2447"/>
      <c r="Q138" s="2448"/>
      <c r="V138" s="2421"/>
      <c r="W138" s="2438"/>
      <c r="X138" s="2439"/>
    </row>
    <row r="139" spans="1:24" s="332" customFormat="1" ht="13.9" customHeight="1">
      <c r="B139" s="1220" t="s">
        <v>2253</v>
      </c>
      <c r="D139" s="1220"/>
      <c r="E139" s="1220"/>
      <c r="F139" s="1220"/>
      <c r="G139" s="1220"/>
      <c r="H139" s="1220"/>
      <c r="I139" s="399"/>
      <c r="J139" s="2447"/>
      <c r="K139" s="2448"/>
      <c r="P139" s="2447"/>
      <c r="Q139" s="2448"/>
      <c r="V139" s="2421"/>
      <c r="W139" s="2440"/>
      <c r="X139" s="2441"/>
    </row>
    <row r="140" spans="1:24" s="332" customFormat="1" ht="13.9" customHeight="1">
      <c r="B140" s="1220" t="s">
        <v>1956</v>
      </c>
      <c r="D140" s="1220"/>
      <c r="E140" s="1220"/>
      <c r="I140" s="399"/>
      <c r="J140" s="2447"/>
      <c r="K140" s="2448"/>
      <c r="P140" s="2447"/>
      <c r="Q140" s="2448"/>
      <c r="V140" s="2421"/>
      <c r="W140" s="2440"/>
      <c r="X140" s="2441"/>
    </row>
    <row r="141" spans="1:24" s="332" customFormat="1" ht="13.9" customHeight="1">
      <c r="B141" s="1220" t="s">
        <v>1957</v>
      </c>
      <c r="D141" s="1220"/>
      <c r="E141" s="1220"/>
      <c r="I141" s="399"/>
      <c r="J141" s="2447"/>
      <c r="K141" s="2448"/>
      <c r="P141" s="2447"/>
      <c r="Q141" s="2448"/>
      <c r="V141" s="2421"/>
      <c r="W141" s="2440"/>
      <c r="X141" s="2441"/>
    </row>
    <row r="142" spans="1:24" s="332" customFormat="1" ht="13.9" customHeight="1">
      <c r="B142" s="1220" t="s">
        <v>265</v>
      </c>
      <c r="D142" s="1220"/>
      <c r="E142" s="1220"/>
      <c r="I142" s="399"/>
      <c r="J142" s="2447"/>
      <c r="K142" s="2448"/>
      <c r="P142" s="2447"/>
      <c r="Q142" s="2448"/>
      <c r="V142" s="2421"/>
      <c r="W142" s="2440"/>
      <c r="X142" s="2441"/>
    </row>
    <row r="143" spans="1:24" s="332" customFormat="1" ht="13.9" customHeight="1" thickBot="1">
      <c r="B143" s="1220" t="s">
        <v>1679</v>
      </c>
      <c r="C143" s="2208" t="s">
        <v>2535</v>
      </c>
      <c r="D143" s="2208"/>
      <c r="E143" s="2208"/>
      <c r="F143" s="2208"/>
      <c r="G143" s="2208"/>
      <c r="H143" s="2208"/>
      <c r="I143" s="2209"/>
      <c r="J143" s="2447"/>
      <c r="K143" s="2448"/>
      <c r="P143" s="2447"/>
      <c r="Q143" s="2448"/>
      <c r="V143" s="2421"/>
      <c r="W143" s="2440"/>
      <c r="X143" s="2441"/>
    </row>
    <row r="144" spans="1:24" s="332" customFormat="1" ht="13.9" customHeight="1" thickBot="1">
      <c r="B144" s="342" t="s">
        <v>1958</v>
      </c>
      <c r="C144" s="345"/>
      <c r="J144" s="1430">
        <f>SUM(J138:K143)</f>
        <v>0</v>
      </c>
      <c r="K144" s="1431"/>
      <c r="P144" s="1430">
        <f>SUM(P138:Q143)</f>
        <v>0</v>
      </c>
      <c r="Q144" s="1431"/>
      <c r="V144" s="2429">
        <f>SUM(V138:V143)</f>
        <v>0</v>
      </c>
      <c r="W144" s="2443"/>
      <c r="X144" s="2444"/>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5">
        <f>J130</f>
        <v>0</v>
      </c>
      <c r="K147" s="1536"/>
      <c r="M147" s="1537">
        <f>M130</f>
        <v>1904693</v>
      </c>
      <c r="N147" s="1538"/>
      <c r="P147" s="1535">
        <f>P130</f>
        <v>12206554</v>
      </c>
      <c r="Q147" s="1536"/>
      <c r="V147" s="2421"/>
      <c r="W147" s="2438"/>
      <c r="X147" s="2439"/>
    </row>
    <row r="148" spans="1:24" s="332" customFormat="1" ht="13.9" customHeight="1">
      <c r="B148" s="332" t="s">
        <v>2327</v>
      </c>
      <c r="J148" s="1481">
        <f>J144</f>
        <v>0</v>
      </c>
      <c r="K148" s="1482"/>
      <c r="M148" s="1485"/>
      <c r="N148" s="1485"/>
      <c r="P148" s="1481">
        <f>P144</f>
        <v>0</v>
      </c>
      <c r="Q148" s="1482"/>
      <c r="V148" s="2421"/>
      <c r="W148" s="2440"/>
      <c r="X148" s="2441"/>
    </row>
    <row r="149" spans="1:24" s="332" customFormat="1" ht="13.9" customHeight="1">
      <c r="B149" s="332" t="s">
        <v>2328</v>
      </c>
      <c r="J149" s="1481">
        <f>J147-J148</f>
        <v>0</v>
      </c>
      <c r="K149" s="1482"/>
      <c r="M149" s="1481">
        <f>M147</f>
        <v>1904693</v>
      </c>
      <c r="N149" s="1482"/>
      <c r="P149" s="1481">
        <f>P147-P148</f>
        <v>12206554</v>
      </c>
      <c r="Q149" s="1482"/>
      <c r="V149" s="2421"/>
      <c r="W149" s="2440"/>
      <c r="X149" s="2441"/>
    </row>
    <row r="150" spans="1:24" s="332" customFormat="1" ht="13.9" customHeight="1">
      <c r="B150" s="332" t="s">
        <v>1561</v>
      </c>
      <c r="G150" s="1212" t="s">
        <v>1799</v>
      </c>
      <c r="H150" s="2200" t="s">
        <v>4385</v>
      </c>
      <c r="I150" s="2201"/>
      <c r="J150" s="2449"/>
      <c r="K150" s="2450"/>
      <c r="M150" s="1534"/>
      <c r="N150" s="1534"/>
      <c r="P150" s="2449">
        <v>1.3</v>
      </c>
      <c r="Q150" s="2450"/>
      <c r="V150" s="2421"/>
      <c r="W150" s="2440"/>
      <c r="X150" s="2441"/>
    </row>
    <row r="151" spans="1:24" s="332" customFormat="1" ht="13.9" customHeight="1">
      <c r="B151" s="332" t="s">
        <v>2155</v>
      </c>
      <c r="J151" s="1481">
        <f>J149*J150</f>
        <v>0</v>
      </c>
      <c r="K151" s="1482"/>
      <c r="M151" s="1481">
        <f>+M149</f>
        <v>1904693</v>
      </c>
      <c r="N151" s="1482"/>
      <c r="P151" s="1481">
        <f>P149*P150</f>
        <v>15868520.200000001</v>
      </c>
      <c r="Q151" s="1482"/>
      <c r="V151" s="2421"/>
      <c r="W151" s="2440"/>
      <c r="X151" s="2441"/>
    </row>
    <row r="152" spans="1:24" s="332" customFormat="1" ht="13.9" customHeight="1">
      <c r="B152" s="332" t="s">
        <v>2669</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21"/>
      <c r="W152" s="2440"/>
      <c r="X152" s="2441"/>
    </row>
    <row r="153" spans="1:24" s="332" customFormat="1" ht="13.9" customHeight="1">
      <c r="B153" s="332" t="s">
        <v>2146</v>
      </c>
      <c r="J153" s="1481">
        <f>J151*J152</f>
        <v>0</v>
      </c>
      <c r="K153" s="1482"/>
      <c r="M153" s="1481">
        <f>M151*M152</f>
        <v>1904693</v>
      </c>
      <c r="N153" s="1482"/>
      <c r="P153" s="1481">
        <f>P151*P152</f>
        <v>15868520.200000001</v>
      </c>
      <c r="Q153" s="1482"/>
      <c r="V153" s="2421"/>
      <c r="W153" s="2440"/>
      <c r="X153" s="2441"/>
    </row>
    <row r="154" spans="1:24" s="332" customFormat="1" ht="13.9" customHeight="1">
      <c r="B154" s="332" t="s">
        <v>2147</v>
      </c>
      <c r="J154" s="2449"/>
      <c r="K154" s="2450"/>
      <c r="M154" s="2449">
        <v>3.1899999999999998E-2</v>
      </c>
      <c r="N154" s="2450"/>
      <c r="P154" s="2449">
        <v>7.4399999999999994E-2</v>
      </c>
      <c r="Q154" s="2450"/>
      <c r="V154" s="2421"/>
      <c r="W154" s="2440"/>
      <c r="X154" s="2441"/>
    </row>
    <row r="155" spans="1:24" s="332" customFormat="1" ht="13.9" customHeight="1" thickBot="1">
      <c r="B155" s="332" t="s">
        <v>2670</v>
      </c>
      <c r="J155" s="1532">
        <f>J153*J154</f>
        <v>0</v>
      </c>
      <c r="K155" s="1533"/>
      <c r="M155" s="1532">
        <f>M153*M154</f>
        <v>60759.706699999995</v>
      </c>
      <c r="N155" s="1533"/>
      <c r="P155" s="1532">
        <f>P153*P154</f>
        <v>1180617.90288</v>
      </c>
      <c r="Q155" s="1533"/>
      <c r="V155" s="2451"/>
      <c r="W155" s="2440"/>
      <c r="X155" s="2441"/>
    </row>
    <row r="156" spans="1:24" s="332" customFormat="1" ht="13.9" customHeight="1" thickBot="1">
      <c r="B156" s="334" t="s">
        <v>1496</v>
      </c>
      <c r="J156" s="1430">
        <f>J155+M155+P155</f>
        <v>1241377.6095799999</v>
      </c>
      <c r="K156" s="1507"/>
      <c r="L156" s="1507"/>
      <c r="M156" s="1507"/>
      <c r="N156" s="1507"/>
      <c r="O156" s="1507"/>
      <c r="P156" s="1507"/>
      <c r="Q156" s="1431"/>
      <c r="V156" s="2429">
        <f>SUM(V147:V155)</f>
        <v>0</v>
      </c>
      <c r="W156" s="2443"/>
      <c r="X156" s="2444"/>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21" t="str">
        <f>IF(J161&gt;J160,"TDC exceeds QAP PUCL!","")</f>
        <v/>
      </c>
      <c r="H160" s="1521"/>
      <c r="I160" s="1522"/>
      <c r="J160" s="1523">
        <f>'Part VIII-Threshold Criteria'!$P$60</f>
        <v>16227932</v>
      </c>
      <c r="K160" s="1524"/>
      <c r="L160" s="1525"/>
      <c r="M160" s="1511" t="s">
        <v>2933</v>
      </c>
      <c r="N160" s="1512"/>
      <c r="O160" s="1512"/>
      <c r="P160" s="1512"/>
      <c r="Q160" s="1512"/>
      <c r="R160" s="1513"/>
      <c r="S160" s="1517" t="s">
        <v>2895</v>
      </c>
      <c r="T160" s="1518"/>
      <c r="V160" s="2421"/>
      <c r="W160" s="2438"/>
      <c r="X160" s="2439"/>
    </row>
    <row r="161" spans="1:24" s="332" customFormat="1" ht="13.9" customHeight="1">
      <c r="B161" s="332" t="s">
        <v>2935</v>
      </c>
      <c r="J161" s="2452">
        <f>MIN(G130,J160,(G130-O163))</f>
        <v>15780131</v>
      </c>
      <c r="K161" s="2453"/>
      <c r="L161" s="2454"/>
      <c r="M161" s="1514"/>
      <c r="N161" s="1515"/>
      <c r="O161" s="1515"/>
      <c r="P161" s="1515"/>
      <c r="Q161" s="1515"/>
      <c r="R161" s="1516"/>
      <c r="S161" s="1519"/>
      <c r="T161" s="1520"/>
      <c r="V161" s="2421"/>
      <c r="W161" s="2440"/>
      <c r="X161" s="2441"/>
    </row>
    <row r="162" spans="1:24" s="332" customFormat="1" ht="13.9" customHeight="1">
      <c r="B162" s="332" t="s">
        <v>275</v>
      </c>
      <c r="J162" s="1481">
        <f>'Part III-Sources of Funds'!$I$53-'Part III-Sources of Funds'!$I$40-'Part III-Sources of Funds'!$I$41-'Part III-Sources of Funds'!$I$44-'Part III-Sources of Funds'!$I$45</f>
        <v>0</v>
      </c>
      <c r="K162" s="1485"/>
      <c r="L162" s="1526"/>
      <c r="M162" s="1514"/>
      <c r="N162" s="1515"/>
      <c r="O162" s="1515"/>
      <c r="P162" s="1515"/>
      <c r="Q162" s="1515"/>
      <c r="R162" s="1516"/>
      <c r="S162" s="1519"/>
      <c r="T162" s="1520"/>
      <c r="V162" s="2421"/>
      <c r="W162" s="2440"/>
      <c r="X162" s="2441"/>
    </row>
    <row r="163" spans="1:24" s="332" customFormat="1" ht="13.9" customHeight="1" thickBot="1">
      <c r="B163" s="332" t="s">
        <v>2339</v>
      </c>
      <c r="J163" s="1481">
        <f>+J161-J162</f>
        <v>15780131</v>
      </c>
      <c r="K163" s="1485"/>
      <c r="L163" s="1526"/>
      <c r="M163" s="1540" t="s">
        <v>2934</v>
      </c>
      <c r="N163" s="1541"/>
      <c r="O163" s="1527">
        <f>'Part III-Sources of Funds'!$I$40</f>
        <v>0</v>
      </c>
      <c r="P163" s="1527"/>
      <c r="Q163" s="1527"/>
      <c r="R163" s="1528"/>
      <c r="S163" s="458" t="s">
        <v>1742</v>
      </c>
      <c r="T163" s="2455"/>
      <c r="V163" s="2421"/>
      <c r="W163" s="2440"/>
      <c r="X163" s="2441"/>
    </row>
    <row r="164" spans="1:24" s="332" customFormat="1" ht="13.9" customHeight="1">
      <c r="B164" s="332" t="s">
        <v>1351</v>
      </c>
      <c r="J164" s="1539" t="str">
        <f>"/ 10"</f>
        <v>/ 10</v>
      </c>
      <c r="K164" s="1539"/>
      <c r="L164" s="1539"/>
      <c r="M164" s="1220"/>
      <c r="N164" s="541"/>
      <c r="O164" s="541"/>
      <c r="P164" s="541"/>
      <c r="Q164" s="541"/>
      <c r="R164" s="541"/>
      <c r="W164" s="2440"/>
      <c r="X164" s="2441"/>
    </row>
    <row r="165" spans="1:24" s="332" customFormat="1" ht="13.9" customHeight="1">
      <c r="B165" s="332" t="s">
        <v>1352</v>
      </c>
      <c r="J165" s="1481">
        <f>J163/10</f>
        <v>1578013.1</v>
      </c>
      <c r="K165" s="1485"/>
      <c r="L165" s="1482"/>
      <c r="M165" s="348"/>
      <c r="N165" s="1362" t="s">
        <v>1353</v>
      </c>
      <c r="O165" s="1362"/>
      <c r="Q165" s="1362" t="s">
        <v>1887</v>
      </c>
      <c r="R165" s="1362"/>
      <c r="V165" s="2421"/>
      <c r="W165" s="2440"/>
      <c r="X165" s="2441"/>
    </row>
    <row r="166" spans="1:24" s="332" customFormat="1" ht="13.9" customHeight="1" thickBot="1">
      <c r="B166" s="332" t="s">
        <v>1560</v>
      </c>
      <c r="J166" s="1529">
        <f>N166+Q166</f>
        <v>1.5</v>
      </c>
      <c r="K166" s="1530"/>
      <c r="L166" s="1531"/>
      <c r="M166" s="1212" t="s">
        <v>1354</v>
      </c>
      <c r="N166" s="2456">
        <v>1</v>
      </c>
      <c r="O166" s="2457"/>
      <c r="P166" s="1212" t="s">
        <v>643</v>
      </c>
      <c r="Q166" s="2456">
        <v>0.5</v>
      </c>
      <c r="R166" s="2457"/>
      <c r="V166" s="2421"/>
      <c r="W166" s="2440"/>
      <c r="X166" s="2441"/>
    </row>
    <row r="167" spans="1:24" s="332" customFormat="1" ht="13.9" customHeight="1" thickBot="1">
      <c r="B167" s="334" t="s">
        <v>1497</v>
      </c>
      <c r="J167" s="1430">
        <f>IF(J166=0,"",J165/J166)</f>
        <v>1052008.7333333334</v>
      </c>
      <c r="K167" s="1507"/>
      <c r="L167" s="1431"/>
      <c r="M167" s="348"/>
      <c r="N167" s="1220"/>
      <c r="O167" s="1220"/>
      <c r="V167" s="2421"/>
      <c r="W167" s="2440"/>
      <c r="X167" s="2441"/>
    </row>
    <row r="168" spans="1:24" s="332" customFormat="1" ht="6" customHeight="1">
      <c r="J168" s="1271"/>
      <c r="K168" s="1271"/>
      <c r="L168" s="1271"/>
      <c r="M168" s="348"/>
      <c r="N168" s="1222"/>
      <c r="O168" s="1222"/>
      <c r="W168" s="2440"/>
      <c r="X168" s="2441"/>
    </row>
    <row r="169" spans="1:24" s="332" customFormat="1" ht="16.149999999999999" customHeight="1">
      <c r="B169" s="334" t="s">
        <v>3295</v>
      </c>
      <c r="J169" s="1508">
        <f>IF('Part I-Project Information'!$I$166 = "Yes",+MIN(J156,J167,'Part I-Project Information'!$O$166,'DCA Underwriting Assumptions'!$R$7),+MIN(J156,J167,'DCA Underwriting Assumptions'!$R$6))</f>
        <v>1000000</v>
      </c>
      <c r="K169" s="1509"/>
      <c r="L169" s="1510"/>
      <c r="M169" s="348"/>
      <c r="N169" s="1222"/>
      <c r="O169" s="1222"/>
      <c r="V169" s="2421"/>
      <c r="W169" s="2440"/>
      <c r="X169" s="2441"/>
    </row>
    <row r="170" spans="1:24" s="332" customFormat="1" ht="3" customHeight="1">
      <c r="J170" s="1271"/>
      <c r="K170" s="1271"/>
      <c r="L170" s="1271"/>
      <c r="M170" s="348"/>
      <c r="N170" s="1222"/>
      <c r="O170" s="1222"/>
      <c r="W170" s="2440"/>
      <c r="X170" s="2441"/>
    </row>
    <row r="171" spans="1:24" s="332" customFormat="1" ht="16.149999999999999" customHeight="1">
      <c r="B171" s="334" t="s">
        <v>362</v>
      </c>
      <c r="J171" s="2458">
        <v>1000000</v>
      </c>
      <c r="K171" s="2459"/>
      <c r="L171" s="2460"/>
      <c r="M171" s="401" t="str">
        <f>IF(J169=0,"",IF(J171&gt;J169,"ALLOCATION CANNOT EXCEED MAXIMUM - REVISE REQUEST!",""))</f>
        <v/>
      </c>
      <c r="N171" s="1222"/>
      <c r="O171" s="1222"/>
      <c r="V171" s="2421"/>
      <c r="W171" s="2440"/>
      <c r="X171" s="2441"/>
    </row>
    <row r="172" spans="1:24" s="332" customFormat="1" ht="3" customHeight="1">
      <c r="J172" s="1271"/>
      <c r="K172" s="1271"/>
      <c r="L172" s="1271"/>
      <c r="M172" s="348"/>
      <c r="N172" s="1222"/>
      <c r="O172" s="1222"/>
      <c r="W172" s="2440"/>
      <c r="X172" s="2441"/>
    </row>
    <row r="173" spans="1:24" s="332" customFormat="1" ht="16.149999999999999" customHeight="1">
      <c r="A173" s="474" t="s">
        <v>1880</v>
      </c>
      <c r="B173" s="474" t="s">
        <v>2748</v>
      </c>
      <c r="D173" s="348"/>
      <c r="E173" s="348"/>
      <c r="F173" s="337"/>
      <c r="J173" s="1508">
        <f>IF(J171="",0,+MIN(J169,J171))</f>
        <v>1000000</v>
      </c>
      <c r="K173" s="1509"/>
      <c r="L173" s="1510"/>
      <c r="N173" s="2461"/>
      <c r="O173" s="2461"/>
      <c r="P173" s="2461"/>
      <c r="Q173" s="2461"/>
      <c r="R173" s="2461"/>
      <c r="S173" s="2461"/>
      <c r="T173" s="2461"/>
      <c r="V173" s="2421"/>
      <c r="W173" s="2443"/>
      <c r="X173" s="2444"/>
    </row>
    <row r="174" spans="1:24" ht="3" customHeight="1"/>
    <row r="175" spans="1:24" ht="6" customHeight="1"/>
    <row r="176" spans="1:24" ht="12" customHeight="1">
      <c r="A176" s="334" t="s">
        <v>1882</v>
      </c>
      <c r="B176" s="357" t="s">
        <v>599</v>
      </c>
      <c r="K176" s="334" t="s">
        <v>554</v>
      </c>
      <c r="L176" s="334" t="s">
        <v>81</v>
      </c>
    </row>
    <row r="177" spans="1:24" ht="304.5" customHeight="1">
      <c r="A177" s="2462" t="s">
        <v>4508</v>
      </c>
      <c r="B177" s="2463"/>
      <c r="C177" s="2463"/>
      <c r="D177" s="2463"/>
      <c r="E177" s="2463"/>
      <c r="F177" s="2463"/>
      <c r="G177" s="2463"/>
      <c r="H177" s="2463"/>
      <c r="I177" s="2463"/>
      <c r="J177" s="2464"/>
      <c r="K177" s="2465"/>
      <c r="L177" s="2466"/>
      <c r="M177" s="2466"/>
      <c r="N177" s="2466"/>
      <c r="O177" s="2466"/>
      <c r="P177" s="2466"/>
      <c r="Q177" s="2466"/>
      <c r="R177" s="2466"/>
      <c r="S177" s="2466"/>
      <c r="T177" s="2467"/>
      <c r="W177" s="1445" t="s">
        <v>2854</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2nT03CVPn9HGXwHwSNpAFqkp7TSwcowomppKHhJVZ1RjlpS6/iFaVut0yBlLo6K6q1P0aVQSit7h+8L2+um8QA==" saltValue="ApVNYIGD10Ce3d9MH9ktTA=="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30" zoomScaleNormal="13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2015-056 Lakeview Apartments, Fort Valley, Peach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4384</v>
      </c>
      <c r="G2" s="1723"/>
      <c r="H2" s="1724"/>
    </row>
    <row r="3" spans="1:20" s="8" customFormat="1">
      <c r="F3" s="4" t="s">
        <v>539</v>
      </c>
      <c r="I3" s="1246" t="str">
        <f>VLOOKUP('Part I-Project Information'!$J$29,'DCA Underwriting Assumptions'!$G$127:$H$286,2)</f>
        <v>Middle</v>
      </c>
    </row>
    <row r="4" spans="1:20" s="8" customFormat="1"/>
    <row r="5" spans="1:20" s="8" customFormat="1">
      <c r="A5" s="14" t="s">
        <v>647</v>
      </c>
      <c r="B5" s="14" t="s">
        <v>2334</v>
      </c>
      <c r="F5" s="8" t="s">
        <v>2645</v>
      </c>
      <c r="I5" s="2468" t="s">
        <v>4389</v>
      </c>
      <c r="J5" s="2469"/>
      <c r="K5" s="2469"/>
      <c r="L5" s="2469"/>
      <c r="M5" s="2470"/>
    </row>
    <row r="6" spans="1:20" s="8" customFormat="1" ht="13.15" customHeight="1">
      <c r="A6" s="14"/>
      <c r="F6" s="8" t="s">
        <v>667</v>
      </c>
      <c r="H6" s="28"/>
      <c r="I6" s="2471"/>
      <c r="J6" s="2472"/>
      <c r="K6" s="64" t="s">
        <v>564</v>
      </c>
      <c r="L6" s="2473"/>
      <c r="M6" s="2470"/>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4" t="s">
        <v>1673</v>
      </c>
      <c r="E10" s="2475"/>
      <c r="F10" s="2476"/>
      <c r="G10" s="2476" t="s">
        <v>458</v>
      </c>
      <c r="H10" s="274"/>
      <c r="I10" s="2477">
        <v>0</v>
      </c>
      <c r="J10" s="2477">
        <v>0</v>
      </c>
      <c r="K10" s="2477">
        <v>0</v>
      </c>
      <c r="L10" s="2477">
        <v>0</v>
      </c>
      <c r="M10" s="2477">
        <v>0</v>
      </c>
    </row>
    <row r="11" spans="1:20" s="8" customFormat="1">
      <c r="B11" s="275" t="s">
        <v>486</v>
      </c>
      <c r="C11" s="276"/>
      <c r="D11" s="275" t="s">
        <v>1673</v>
      </c>
      <c r="E11" s="276"/>
      <c r="F11" s="2478"/>
      <c r="G11" s="2478" t="s">
        <v>458</v>
      </c>
      <c r="H11" s="277"/>
      <c r="I11" s="2479">
        <v>0</v>
      </c>
      <c r="J11" s="2479">
        <v>0</v>
      </c>
      <c r="K11" s="2479">
        <v>0</v>
      </c>
      <c r="L11" s="2480">
        <v>0</v>
      </c>
      <c r="M11" s="2480">
        <v>0</v>
      </c>
    </row>
    <row r="12" spans="1:20" s="8" customFormat="1">
      <c r="B12" s="275" t="s">
        <v>1674</v>
      </c>
      <c r="C12" s="276"/>
      <c r="D12" s="2481" t="s">
        <v>1673</v>
      </c>
      <c r="E12" s="2482"/>
      <c r="F12" s="2478"/>
      <c r="G12" s="2478" t="s">
        <v>458</v>
      </c>
      <c r="H12" s="277"/>
      <c r="I12" s="2479">
        <v>0</v>
      </c>
      <c r="J12" s="2479">
        <v>0</v>
      </c>
      <c r="K12" s="2479">
        <v>0</v>
      </c>
      <c r="L12" s="2480">
        <v>0</v>
      </c>
      <c r="M12" s="2480">
        <v>0</v>
      </c>
    </row>
    <row r="13" spans="1:20" s="8" customFormat="1">
      <c r="B13" s="275" t="s">
        <v>1675</v>
      </c>
      <c r="C13" s="276"/>
      <c r="D13" s="2481" t="s">
        <v>1673</v>
      </c>
      <c r="E13" s="2482"/>
      <c r="F13" s="2478"/>
      <c r="G13" s="2478" t="s">
        <v>458</v>
      </c>
      <c r="H13" s="277"/>
      <c r="I13" s="2479">
        <v>0</v>
      </c>
      <c r="J13" s="2479">
        <v>0</v>
      </c>
      <c r="K13" s="2479">
        <v>0</v>
      </c>
      <c r="L13" s="2480">
        <v>0</v>
      </c>
      <c r="M13" s="2480">
        <v>0</v>
      </c>
    </row>
    <row r="14" spans="1:20" s="8" customFormat="1">
      <c r="B14" s="275" t="s">
        <v>1676</v>
      </c>
      <c r="C14" s="276"/>
      <c r="D14" s="275" t="s">
        <v>1673</v>
      </c>
      <c r="E14" s="278"/>
      <c r="F14" s="2478"/>
      <c r="G14" s="2478" t="s">
        <v>458</v>
      </c>
      <c r="H14" s="277"/>
      <c r="I14" s="2479">
        <v>0</v>
      </c>
      <c r="J14" s="2479">
        <v>0</v>
      </c>
      <c r="K14" s="2479">
        <v>0</v>
      </c>
      <c r="L14" s="2480">
        <v>0</v>
      </c>
      <c r="M14" s="2480">
        <v>0</v>
      </c>
    </row>
    <row r="15" spans="1:20" s="8" customFormat="1">
      <c r="B15" s="275" t="s">
        <v>1436</v>
      </c>
      <c r="C15" s="276"/>
      <c r="D15" s="894" t="s">
        <v>4169</v>
      </c>
      <c r="E15" s="2483" t="s">
        <v>3424</v>
      </c>
      <c r="F15" s="2478"/>
      <c r="G15" s="2478" t="s">
        <v>458</v>
      </c>
      <c r="H15" s="277"/>
      <c r="I15" s="2479">
        <v>0</v>
      </c>
      <c r="J15" s="2479">
        <v>0</v>
      </c>
      <c r="K15" s="2479">
        <v>0</v>
      </c>
      <c r="L15" s="2480">
        <v>0</v>
      </c>
      <c r="M15" s="2480">
        <v>0</v>
      </c>
    </row>
    <row r="16" spans="1:20" s="8" customFormat="1">
      <c r="B16" s="279" t="s">
        <v>1944</v>
      </c>
      <c r="C16" s="280"/>
      <c r="D16" s="279"/>
      <c r="E16" s="246"/>
      <c r="F16" s="2484"/>
      <c r="G16" s="2484" t="s">
        <v>458</v>
      </c>
      <c r="H16" s="281"/>
      <c r="I16" s="2485">
        <v>0</v>
      </c>
      <c r="J16" s="2485">
        <v>0</v>
      </c>
      <c r="K16" s="2485">
        <v>0</v>
      </c>
      <c r="L16" s="2486">
        <v>0</v>
      </c>
      <c r="M16" s="2486">
        <v>0</v>
      </c>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0</v>
      </c>
      <c r="K17" s="1234">
        <f>IF(SUM(K10:K16)=0,0,IF(OR($D10="&lt;&lt;Select Fuel &gt;&gt;",$D12="&lt;&lt;Select Fuel &gt;&gt;",$D13="&lt;&lt;Select Fuel &gt;&gt;"),"Select Fuel",IF($E15="&lt;Select&gt;","Submeter?",SUM(K10:K16))))</f>
        <v>0</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3"/>
      <c r="J20" s="2469"/>
      <c r="K20" s="2469"/>
      <c r="L20" s="2469"/>
      <c r="M20" s="2470"/>
    </row>
    <row r="21" spans="1:19" s="8" customFormat="1" ht="13.15" customHeight="1">
      <c r="A21" s="14"/>
      <c r="B21" s="14"/>
      <c r="F21" s="8" t="s">
        <v>667</v>
      </c>
      <c r="H21" s="28"/>
      <c r="I21" s="2471"/>
      <c r="J21" s="2472"/>
      <c r="K21" s="64" t="s">
        <v>564</v>
      </c>
      <c r="L21" s="2473"/>
      <c r="M21" s="2470"/>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4" t="s">
        <v>1911</v>
      </c>
      <c r="E25" s="2475"/>
      <c r="F25" s="2476"/>
      <c r="G25" s="2476"/>
      <c r="H25" s="274"/>
      <c r="I25" s="2477"/>
      <c r="J25" s="2477"/>
      <c r="K25" s="2477"/>
      <c r="L25" s="2477"/>
      <c r="M25" s="2477"/>
    </row>
    <row r="26" spans="1:19" s="8" customFormat="1">
      <c r="B26" s="275" t="s">
        <v>486</v>
      </c>
      <c r="C26" s="276"/>
      <c r="D26" s="275" t="s">
        <v>1673</v>
      </c>
      <c r="E26" s="276"/>
      <c r="F26" s="2478"/>
      <c r="G26" s="2478"/>
      <c r="H26" s="277"/>
      <c r="I26" s="2479"/>
      <c r="J26" s="2479"/>
      <c r="K26" s="2479"/>
      <c r="L26" s="2480"/>
      <c r="M26" s="2480"/>
    </row>
    <row r="27" spans="1:19" s="8" customFormat="1">
      <c r="B27" s="275" t="s">
        <v>1674</v>
      </c>
      <c r="C27" s="276"/>
      <c r="D27" s="2481" t="s">
        <v>1911</v>
      </c>
      <c r="E27" s="2482"/>
      <c r="F27" s="2478"/>
      <c r="G27" s="2478"/>
      <c r="H27" s="277"/>
      <c r="I27" s="2479"/>
      <c r="J27" s="2479"/>
      <c r="K27" s="2479"/>
      <c r="L27" s="2480"/>
      <c r="M27" s="2480"/>
    </row>
    <row r="28" spans="1:19" s="8" customFormat="1">
      <c r="B28" s="275" t="s">
        <v>1675</v>
      </c>
      <c r="C28" s="276"/>
      <c r="D28" s="2481" t="s">
        <v>1911</v>
      </c>
      <c r="E28" s="2482"/>
      <c r="F28" s="2478"/>
      <c r="G28" s="2478"/>
      <c r="H28" s="277"/>
      <c r="I28" s="2479"/>
      <c r="J28" s="2479"/>
      <c r="K28" s="2479"/>
      <c r="L28" s="2480"/>
      <c r="M28" s="2480"/>
    </row>
    <row r="29" spans="1:19" s="8" customFormat="1">
      <c r="B29" s="275" t="s">
        <v>1676</v>
      </c>
      <c r="C29" s="276"/>
      <c r="D29" s="275" t="s">
        <v>1673</v>
      </c>
      <c r="E29" s="278"/>
      <c r="F29" s="2478"/>
      <c r="G29" s="2478"/>
      <c r="H29" s="277"/>
      <c r="I29" s="2479"/>
      <c r="J29" s="2479"/>
      <c r="K29" s="2479"/>
      <c r="L29" s="2480"/>
      <c r="M29" s="2480"/>
    </row>
    <row r="30" spans="1:19" s="8" customFormat="1">
      <c r="B30" s="275" t="s">
        <v>1436</v>
      </c>
      <c r="C30" s="276"/>
      <c r="D30" s="894" t="s">
        <v>4169</v>
      </c>
      <c r="E30" s="2483" t="s">
        <v>207</v>
      </c>
      <c r="F30" s="2478"/>
      <c r="G30" s="2478"/>
      <c r="H30" s="277"/>
      <c r="I30" s="2479"/>
      <c r="J30" s="2479"/>
      <c r="K30" s="2479"/>
      <c r="L30" s="2480"/>
      <c r="M30" s="2480"/>
    </row>
    <row r="31" spans="1:19" s="8" customFormat="1">
      <c r="B31" s="279" t="s">
        <v>1944</v>
      </c>
      <c r="C31" s="280"/>
      <c r="D31" s="279"/>
      <c r="E31" s="246"/>
      <c r="F31" s="2484"/>
      <c r="G31" s="2484"/>
      <c r="H31" s="281"/>
      <c r="I31" s="2485"/>
      <c r="J31" s="2485"/>
      <c r="K31" s="2485"/>
      <c r="L31" s="2486"/>
      <c r="M31" s="2486"/>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7" t="s">
        <v>4390</v>
      </c>
      <c r="C38" s="2488"/>
      <c r="D38" s="2488"/>
      <c r="E38" s="2488"/>
      <c r="F38" s="2488"/>
      <c r="G38" s="2488"/>
      <c r="H38" s="2488"/>
      <c r="I38" s="2488"/>
      <c r="J38" s="2488"/>
      <c r="K38" s="2488"/>
      <c r="L38" s="2488"/>
      <c r="M38" s="2489"/>
      <c r="N38" s="28"/>
      <c r="O38" s="1351" t="s">
        <v>2854</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490"/>
      <c r="C41" s="2491"/>
      <c r="D41" s="2491"/>
      <c r="E41" s="2491"/>
      <c r="F41" s="2491"/>
      <c r="G41" s="2491"/>
      <c r="H41" s="2491"/>
      <c r="I41" s="2491"/>
      <c r="J41" s="2491"/>
      <c r="K41" s="2491"/>
      <c r="L41" s="2491"/>
      <c r="M41" s="2492"/>
      <c r="N41" s="28"/>
      <c r="O41" s="1351"/>
      <c r="P41" s="1351"/>
      <c r="Q41" s="1351"/>
      <c r="R41" s="1351"/>
      <c r="S41" s="1351"/>
    </row>
  </sheetData>
  <sheetProtection algorithmName="SHA-512" hashValue="6UKG9rmbaCz6VjsivX9RKDZzA9/iZk3qtfrTNLbw0bZqhOsDzy8DWpvGpXMoZu0WJ6DhaKS1KWwTBUg7aC4c1w==" saltValue="gwt4SETGsWgF/xNYde5Gh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2015-06-10T20:43:41Z</cp:lastPrinted>
  <dcterms:created xsi:type="dcterms:W3CDTF">2005-09-15T20:51:37Z</dcterms:created>
  <dcterms:modified xsi:type="dcterms:W3CDTF">2015-07-09T18:06:17Z</dcterms:modified>
</cp:coreProperties>
</file>