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1785" yWindow="585" windowWidth="21840" windowHeight="12195"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K184" i="36" l="1"/>
  <c r="I1469" i="59"/>
  <c r="I1468" i="59"/>
  <c r="P1467" i="59"/>
  <c r="O1467" i="59"/>
  <c r="A1467" i="59"/>
  <c r="A94" i="11"/>
  <c r="A4" i="41"/>
  <c r="A1756" i="59"/>
  <c r="O163" i="15"/>
  <c r="O561" i="59"/>
  <c r="P1384" i="59"/>
  <c r="P1385" i="59"/>
  <c r="P1383" i="59"/>
  <c r="L1512" i="59"/>
  <c r="A2" i="41"/>
  <c r="A1754" i="59"/>
  <c r="A1758" i="59"/>
  <c r="K351" i="11"/>
  <c r="K1724" i="59"/>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c r="O1457" i="59"/>
  <c r="I1452" i="59"/>
  <c r="K1444" i="59"/>
  <c r="K1443" i="59"/>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c r="O1548" i="59"/>
  <c r="P1546" i="59"/>
  <c r="O1546" i="59"/>
  <c r="P1543" i="59"/>
  <c r="O1543" i="59"/>
  <c r="P1541" i="59"/>
  <c r="O1541" i="59"/>
  <c r="P1540" i="59"/>
  <c r="O1540" i="59"/>
  <c r="P1530" i="59"/>
  <c r="O1530" i="59"/>
  <c r="G1530" i="59"/>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c r="P1687" i="59"/>
  <c r="P1749" i="59"/>
  <c r="P1724" i="59"/>
  <c r="O1724" i="59"/>
  <c r="P1595" i="59"/>
  <c r="O1595" i="59"/>
  <c r="N1595" i="59"/>
  <c r="P1574" i="59"/>
  <c r="P1747" i="59"/>
  <c r="P1488" i="59"/>
  <c r="P1475" i="59"/>
  <c r="P1442" i="59"/>
  <c r="O1442" i="59"/>
  <c r="N1442" i="59"/>
  <c r="M1746" i="59"/>
  <c r="M1379" i="59"/>
  <c r="O1718" i="59"/>
  <c r="M1718" i="59"/>
  <c r="O1717" i="59"/>
  <c r="M1717" i="59"/>
  <c r="O1716" i="59"/>
  <c r="M1716" i="59"/>
  <c r="J1713" i="59"/>
  <c r="G1677" i="59"/>
  <c r="P1655" i="59"/>
  <c r="L1640" i="59"/>
  <c r="I1640" i="59"/>
  <c r="L1631" i="59"/>
  <c r="I1631" i="59"/>
  <c r="L1623" i="59"/>
  <c r="I1623" i="59"/>
  <c r="L1607" i="59"/>
  <c r="L1605" i="59"/>
  <c r="I1591" i="59"/>
  <c r="I1584" i="59"/>
  <c r="K1585" i="59"/>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c r="G1384" i="59"/>
  <c r="F1389" i="59"/>
  <c r="G1383" i="59"/>
  <c r="K1389" i="59"/>
  <c r="G1385" i="59"/>
  <c r="L1595" i="59"/>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A953" i="59"/>
  <c r="H953" i="59"/>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c r="A909" i="59"/>
  <c r="A938" i="59"/>
  <c r="A872" i="59"/>
  <c r="A901" i="59"/>
  <c r="A930" i="59"/>
  <c r="A871" i="59"/>
  <c r="A900" i="59"/>
  <c r="A929" i="59"/>
  <c r="A870" i="59"/>
  <c r="A899" i="59"/>
  <c r="A928" i="59"/>
  <c r="A869" i="59"/>
  <c r="A898" i="59"/>
  <c r="A927" i="59"/>
  <c r="A850" i="59"/>
  <c r="A879" i="59"/>
  <c r="A908" i="59"/>
  <c r="A937" i="59"/>
  <c r="A849" i="59"/>
  <c r="A878" i="59"/>
  <c r="A907" i="59"/>
  <c r="A936" i="59"/>
  <c r="A848" i="59"/>
  <c r="A877" i="59"/>
  <c r="A906" i="59"/>
  <c r="A935" i="59"/>
  <c r="C830" i="59"/>
  <c r="M828" i="59"/>
  <c r="K824" i="59"/>
  <c r="K822" i="59"/>
  <c r="M820" i="59"/>
  <c r="A818" i="59"/>
  <c r="M818" i="59" s="1"/>
  <c r="D830" i="59"/>
  <c r="K815" i="59"/>
  <c r="A815" i="59"/>
  <c r="E830" i="59"/>
  <c r="P787" i="59"/>
  <c r="P788" i="59"/>
  <c r="P786" i="59"/>
  <c r="K806" i="59"/>
  <c r="K787" i="59"/>
  <c r="F806" i="59"/>
  <c r="F807" i="59"/>
  <c r="F808" i="59"/>
  <c r="F809" i="59"/>
  <c r="F797" i="59"/>
  <c r="F798" i="59"/>
  <c r="K786" i="59"/>
  <c r="K788" i="59" s="1"/>
  <c r="K805" i="59"/>
  <c r="K804" i="59"/>
  <c r="K803" i="59"/>
  <c r="K802" i="59"/>
  <c r="K796" i="59"/>
  <c r="K795" i="59"/>
  <c r="K794" i="59"/>
  <c r="K793" i="59"/>
  <c r="K797" i="59" s="1"/>
  <c r="F805" i="59"/>
  <c r="F804" i="59"/>
  <c r="F803" i="59"/>
  <c r="F802" i="59"/>
  <c r="F810" i="59" s="1"/>
  <c r="F796" i="59"/>
  <c r="F795" i="59"/>
  <c r="F794" i="59"/>
  <c r="F793" i="59"/>
  <c r="F799" i="59" s="1"/>
  <c r="F787" i="59"/>
  <c r="F788" i="59"/>
  <c r="F789" i="59"/>
  <c r="F786" i="59"/>
  <c r="F790" i="59" s="1"/>
  <c r="C780" i="59"/>
  <c r="C776" i="59"/>
  <c r="C771" i="59"/>
  <c r="C767" i="59"/>
  <c r="C762" i="59"/>
  <c r="C758" i="59"/>
  <c r="C753" i="59"/>
  <c r="C749" i="59"/>
  <c r="K780" i="59"/>
  <c r="J780" i="59"/>
  <c r="I780" i="59"/>
  <c r="H780" i="59"/>
  <c r="H781" i="59" s="1"/>
  <c r="G780" i="59"/>
  <c r="K779" i="59"/>
  <c r="J779" i="59"/>
  <c r="I779" i="59"/>
  <c r="I781" i="59" s="1"/>
  <c r="H779" i="59"/>
  <c r="G779" i="59"/>
  <c r="K776" i="59"/>
  <c r="J776" i="59"/>
  <c r="J777" i="59" s="1"/>
  <c r="I776" i="59"/>
  <c r="H776" i="59"/>
  <c r="G776" i="59"/>
  <c r="K775" i="59"/>
  <c r="K777" i="59" s="1"/>
  <c r="J775" i="59"/>
  <c r="I775" i="59"/>
  <c r="H775" i="59"/>
  <c r="G775" i="59"/>
  <c r="G777" i="59" s="1"/>
  <c r="P771" i="59"/>
  <c r="O771" i="59"/>
  <c r="N771" i="59"/>
  <c r="M771" i="59"/>
  <c r="M772" i="59" s="1"/>
  <c r="L771" i="59"/>
  <c r="K771" i="59"/>
  <c r="J771" i="59"/>
  <c r="I771" i="59"/>
  <c r="I772" i="59" s="1"/>
  <c r="H771" i="59"/>
  <c r="G771" i="59"/>
  <c r="P770" i="59"/>
  <c r="O770" i="59"/>
  <c r="O772" i="59" s="1"/>
  <c r="N770" i="59"/>
  <c r="M770" i="59"/>
  <c r="L770" i="59"/>
  <c r="K770" i="59"/>
  <c r="K772" i="59" s="1"/>
  <c r="J770" i="59"/>
  <c r="I770" i="59"/>
  <c r="H770" i="59"/>
  <c r="G770" i="59"/>
  <c r="G772" i="59" s="1"/>
  <c r="P767" i="59"/>
  <c r="O767" i="59"/>
  <c r="N767" i="59"/>
  <c r="M767" i="59"/>
  <c r="M768" i="59" s="1"/>
  <c r="L767" i="59"/>
  <c r="K767" i="59"/>
  <c r="J767" i="59"/>
  <c r="I767" i="59"/>
  <c r="I768" i="59" s="1"/>
  <c r="H767" i="59"/>
  <c r="G767" i="59"/>
  <c r="P766" i="59"/>
  <c r="O766" i="59"/>
  <c r="O768" i="59" s="1"/>
  <c r="N766" i="59"/>
  <c r="M766" i="59"/>
  <c r="L766" i="59"/>
  <c r="K766" i="59"/>
  <c r="K768" i="59" s="1"/>
  <c r="J766" i="59"/>
  <c r="I766" i="59"/>
  <c r="H766" i="59"/>
  <c r="G766" i="59"/>
  <c r="G768" i="59" s="1"/>
  <c r="P762" i="59"/>
  <c r="O762" i="59"/>
  <c r="N762" i="59"/>
  <c r="M762" i="59"/>
  <c r="M763" i="59" s="1"/>
  <c r="L762" i="59"/>
  <c r="K762" i="59"/>
  <c r="J762" i="59"/>
  <c r="I762" i="59"/>
  <c r="I763" i="59" s="1"/>
  <c r="H762" i="59"/>
  <c r="G762" i="59"/>
  <c r="P761" i="59"/>
  <c r="O761" i="59"/>
  <c r="O763" i="59" s="1"/>
  <c r="N761" i="59"/>
  <c r="M761" i="59"/>
  <c r="L761" i="59"/>
  <c r="K761" i="59"/>
  <c r="K763" i="59" s="1"/>
  <c r="J761" i="59"/>
  <c r="I761" i="59"/>
  <c r="H761" i="59"/>
  <c r="G761" i="59"/>
  <c r="G763" i="59" s="1"/>
  <c r="P758" i="59"/>
  <c r="O758" i="59"/>
  <c r="N758" i="59"/>
  <c r="M758" i="59"/>
  <c r="M759" i="59" s="1"/>
  <c r="L758" i="59"/>
  <c r="K758" i="59"/>
  <c r="J758" i="59"/>
  <c r="I758" i="59"/>
  <c r="I759" i="59" s="1"/>
  <c r="H758" i="59"/>
  <c r="G758" i="59"/>
  <c r="P757" i="59"/>
  <c r="O757" i="59"/>
  <c r="O759" i="59" s="1"/>
  <c r="N757" i="59"/>
  <c r="M757" i="59"/>
  <c r="L757" i="59"/>
  <c r="K757" i="59"/>
  <c r="K759" i="59" s="1"/>
  <c r="J757" i="59"/>
  <c r="I757" i="59"/>
  <c r="H757" i="59"/>
  <c r="G757" i="59"/>
  <c r="G759" i="59" s="1"/>
  <c r="P753" i="59"/>
  <c r="O753" i="59"/>
  <c r="N753" i="59"/>
  <c r="M753" i="59"/>
  <c r="M754" i="59" s="1"/>
  <c r="L753" i="59"/>
  <c r="K753" i="59"/>
  <c r="J753" i="59"/>
  <c r="I753" i="59"/>
  <c r="I754" i="59" s="1"/>
  <c r="H753" i="59"/>
  <c r="G753" i="59"/>
  <c r="P752" i="59"/>
  <c r="O752" i="59"/>
  <c r="O754" i="59" s="1"/>
  <c r="N752" i="59"/>
  <c r="M752" i="59"/>
  <c r="L752" i="59"/>
  <c r="K752" i="59"/>
  <c r="K754" i="59" s="1"/>
  <c r="J752" i="59"/>
  <c r="I752" i="59"/>
  <c r="H752" i="59"/>
  <c r="G752" i="59"/>
  <c r="G754" i="59" s="1"/>
  <c r="H748" i="59"/>
  <c r="I748" i="59"/>
  <c r="J748" i="59"/>
  <c r="K748" i="59"/>
  <c r="K750" i="59" s="1"/>
  <c r="L748" i="59"/>
  <c r="M748" i="59"/>
  <c r="N748" i="59"/>
  <c r="O748" i="59"/>
  <c r="O750" i="59" s="1"/>
  <c r="P748" i="59"/>
  <c r="H749" i="59"/>
  <c r="I749" i="59"/>
  <c r="J749" i="59"/>
  <c r="J750" i="59" s="1"/>
  <c r="K749" i="59"/>
  <c r="L749" i="59"/>
  <c r="M749" i="59"/>
  <c r="N749" i="59"/>
  <c r="N750" i="59" s="1"/>
  <c r="O749" i="59"/>
  <c r="P749" i="59"/>
  <c r="G749" i="59"/>
  <c r="G748" i="59"/>
  <c r="G750" i="59" s="1"/>
  <c r="T798" i="59"/>
  <c r="T785" i="59"/>
  <c r="T779" i="59"/>
  <c r="T775" i="59"/>
  <c r="T770" i="59"/>
  <c r="T766" i="59"/>
  <c r="T761" i="59"/>
  <c r="T757" i="59"/>
  <c r="T752" i="59"/>
  <c r="T748" i="59"/>
  <c r="T734" i="59"/>
  <c r="T724" i="59"/>
  <c r="T706" i="59"/>
  <c r="T692" i="59"/>
  <c r="T688" i="59"/>
  <c r="T684" i="59"/>
  <c r="T676" i="59"/>
  <c r="I701" i="59"/>
  <c r="J701" i="59"/>
  <c r="K701" i="59"/>
  <c r="M701" i="59" s="1"/>
  <c r="L701" i="59"/>
  <c r="I702" i="59"/>
  <c r="J702" i="59"/>
  <c r="K702" i="59"/>
  <c r="M702" i="59" s="1"/>
  <c r="A702" i="59" s="1"/>
  <c r="L702" i="59"/>
  <c r="H702" i="59"/>
  <c r="H701" i="59"/>
  <c r="T630" i="59"/>
  <c r="M631" i="59"/>
  <c r="N631" i="59"/>
  <c r="O631" i="59"/>
  <c r="P631" i="59"/>
  <c r="M632" i="59"/>
  <c r="N632" i="59"/>
  <c r="O632" i="59"/>
  <c r="P632" i="59"/>
  <c r="M633" i="59"/>
  <c r="N633" i="59"/>
  <c r="O633" i="59"/>
  <c r="JJ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F631" i="59"/>
  <c r="G631" i="59"/>
  <c r="H631" i="59"/>
  <c r="I631" i="59"/>
  <c r="J631" i="59"/>
  <c r="B632" i="59"/>
  <c r="C632" i="59"/>
  <c r="D632" i="59"/>
  <c r="E632" i="59"/>
  <c r="F632" i="59"/>
  <c r="G632" i="59"/>
  <c r="H632" i="59"/>
  <c r="I632" i="59"/>
  <c r="K632" i="59" s="1"/>
  <c r="J632" i="59"/>
  <c r="B633" i="59"/>
  <c r="C633" i="59"/>
  <c r="D633" i="59"/>
  <c r="E633" i="59"/>
  <c r="F633" i="59"/>
  <c r="G633" i="59"/>
  <c r="H633" i="59"/>
  <c r="I633" i="59"/>
  <c r="J633" i="59"/>
  <c r="B634" i="59"/>
  <c r="C634" i="59"/>
  <c r="D634" i="59"/>
  <c r="E634" i="59"/>
  <c r="F634" i="59"/>
  <c r="G634" i="59"/>
  <c r="H634" i="59"/>
  <c r="I634" i="59"/>
  <c r="J634" i="59"/>
  <c r="B635" i="59"/>
  <c r="C635" i="59"/>
  <c r="D635" i="59"/>
  <c r="E635" i="59"/>
  <c r="F635" i="59"/>
  <c r="G635" i="59"/>
  <c r="H635" i="59"/>
  <c r="K635" i="59"/>
  <c r="L635" i="59"/>
  <c r="I635" i="59"/>
  <c r="J635" i="59"/>
  <c r="B636" i="59"/>
  <c r="C636" i="59"/>
  <c r="D636" i="59"/>
  <c r="E636" i="59"/>
  <c r="F636" i="59"/>
  <c r="G636" i="59"/>
  <c r="H636" i="59"/>
  <c r="I636" i="59"/>
  <c r="K636" i="59" s="1"/>
  <c r="J636" i="59"/>
  <c r="B637" i="59"/>
  <c r="C637" i="59"/>
  <c r="D637" i="59"/>
  <c r="E637" i="59"/>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C640" i="59"/>
  <c r="GS640" i="59" s="1"/>
  <c r="D640" i="59"/>
  <c r="E640" i="59"/>
  <c r="F640" i="59"/>
  <c r="G640" i="59"/>
  <c r="H640" i="59"/>
  <c r="I640" i="59"/>
  <c r="K640" i="59" s="1"/>
  <c r="J640" i="59"/>
  <c r="B641" i="59"/>
  <c r="C641" i="59"/>
  <c r="D641" i="59"/>
  <c r="E641" i="59"/>
  <c r="F641" i="59"/>
  <c r="G641" i="59"/>
  <c r="H641" i="59"/>
  <c r="I641" i="59"/>
  <c r="J641" i="59"/>
  <c r="B642" i="59"/>
  <c r="C642" i="59"/>
  <c r="D642" i="59"/>
  <c r="E642" i="59"/>
  <c r="F642" i="59"/>
  <c r="G642" i="59"/>
  <c r="H642" i="59"/>
  <c r="I642" i="59"/>
  <c r="J642" i="59"/>
  <c r="B643" i="59"/>
  <c r="C643" i="59"/>
  <c r="D643" i="59"/>
  <c r="E643" i="59"/>
  <c r="JM643" i="59" s="1"/>
  <c r="F643" i="59"/>
  <c r="G643" i="59"/>
  <c r="H643" i="59"/>
  <c r="I643" i="59"/>
  <c r="J643" i="59"/>
  <c r="B644" i="59"/>
  <c r="C644" i="59"/>
  <c r="FC644" i="59"/>
  <c r="D644" i="59"/>
  <c r="E644" i="59"/>
  <c r="F644" i="59"/>
  <c r="G644" i="59"/>
  <c r="H644" i="59"/>
  <c r="I644" i="59"/>
  <c r="J644" i="59"/>
  <c r="B645" i="59"/>
  <c r="C645" i="59"/>
  <c r="D645" i="59"/>
  <c r="E645" i="59"/>
  <c r="JP645" i="59" s="1"/>
  <c r="F645" i="59"/>
  <c r="G645" i="59"/>
  <c r="H645" i="59"/>
  <c r="I645" i="59"/>
  <c r="J645" i="59"/>
  <c r="B646" i="59"/>
  <c r="C646" i="59"/>
  <c r="DA646" i="59"/>
  <c r="D646" i="59"/>
  <c r="E646" i="59"/>
  <c r="F646" i="59"/>
  <c r="G646" i="59"/>
  <c r="H646" i="59"/>
  <c r="I646" i="59"/>
  <c r="J646" i="59"/>
  <c r="B647" i="59"/>
  <c r="C647" i="59"/>
  <c r="D647" i="59"/>
  <c r="E647" i="59"/>
  <c r="F647" i="59"/>
  <c r="G647" i="59"/>
  <c r="H647" i="59"/>
  <c r="I647" i="59"/>
  <c r="J647" i="59"/>
  <c r="B648" i="59"/>
  <c r="C648" i="59"/>
  <c r="D648" i="59"/>
  <c r="E648" i="59"/>
  <c r="F648" i="59"/>
  <c r="G648" i="59"/>
  <c r="H648" i="59"/>
  <c r="K648" i="59" s="1"/>
  <c r="I648" i="59"/>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K652" i="59" s="1"/>
  <c r="I652" i="59"/>
  <c r="J652" i="59"/>
  <c r="B653" i="59"/>
  <c r="C653" i="59"/>
  <c r="D653" i="59"/>
  <c r="E653" i="59"/>
  <c r="F653" i="59"/>
  <c r="G653" i="59"/>
  <c r="H653" i="59"/>
  <c r="I653" i="59"/>
  <c r="J653" i="59"/>
  <c r="B654" i="59"/>
  <c r="C654" i="59"/>
  <c r="D654" i="59"/>
  <c r="E654" i="59"/>
  <c r="F654" i="59"/>
  <c r="G654" i="59"/>
  <c r="H654" i="59"/>
  <c r="I654" i="59"/>
  <c r="J654" i="59"/>
  <c r="B655" i="59"/>
  <c r="C655" i="59"/>
  <c r="EZ655" i="59" s="1"/>
  <c r="D655" i="59"/>
  <c r="E655" i="59"/>
  <c r="F655" i="59"/>
  <c r="G655" i="59"/>
  <c r="H655" i="59"/>
  <c r="I655" i="59"/>
  <c r="J655" i="59"/>
  <c r="B656" i="59"/>
  <c r="C656" i="59"/>
  <c r="D656" i="59"/>
  <c r="E656" i="59"/>
  <c r="F656" i="59"/>
  <c r="G656" i="59"/>
  <c r="H656" i="59"/>
  <c r="K656" i="59" s="1"/>
  <c r="I656" i="59"/>
  <c r="J656" i="59"/>
  <c r="B657" i="59"/>
  <c r="C657" i="59"/>
  <c r="D657" i="59"/>
  <c r="E657" i="59"/>
  <c r="F657" i="59"/>
  <c r="A657" i="59" s="1"/>
  <c r="G657" i="59"/>
  <c r="H657" i="59"/>
  <c r="I657" i="59"/>
  <c r="J657" i="59"/>
  <c r="B658" i="59"/>
  <c r="C658" i="59"/>
  <c r="D658" i="59"/>
  <c r="E658" i="59"/>
  <c r="F658" i="59"/>
  <c r="G658" i="59"/>
  <c r="H658" i="59"/>
  <c r="I658" i="59"/>
  <c r="K658" i="59" s="1"/>
  <c r="J658" i="59"/>
  <c r="B659" i="59"/>
  <c r="C659" i="59"/>
  <c r="D659" i="59"/>
  <c r="E659" i="59"/>
  <c r="F659" i="59"/>
  <c r="G659" i="59"/>
  <c r="H659" i="59"/>
  <c r="I659" i="59"/>
  <c r="J659" i="59"/>
  <c r="B660" i="59"/>
  <c r="C660" i="59"/>
  <c r="D660" i="59"/>
  <c r="E660" i="59"/>
  <c r="F660" i="59"/>
  <c r="G660" i="59"/>
  <c r="H660" i="59"/>
  <c r="I660" i="59"/>
  <c r="J660" i="59"/>
  <c r="B661" i="59"/>
  <c r="C661" i="59"/>
  <c r="D661" i="59"/>
  <c r="E661" i="59"/>
  <c r="F661" i="59"/>
  <c r="G661" i="59"/>
  <c r="H661" i="59"/>
  <c r="I661" i="59"/>
  <c r="J661" i="59"/>
  <c r="B662" i="59"/>
  <c r="C662" i="59"/>
  <c r="D662" i="59"/>
  <c r="E662" i="59"/>
  <c r="F662" i="59"/>
  <c r="G662" i="59"/>
  <c r="H662" i="59"/>
  <c r="I662" i="59"/>
  <c r="K662" i="59" s="1"/>
  <c r="J662" i="59"/>
  <c r="B663" i="59"/>
  <c r="C663" i="59"/>
  <c r="D663" i="59"/>
  <c r="E663" i="59"/>
  <c r="F663" i="59"/>
  <c r="G663" i="59"/>
  <c r="H663" i="59"/>
  <c r="I663" i="59"/>
  <c r="J663" i="59"/>
  <c r="B664" i="59"/>
  <c r="C664" i="59"/>
  <c r="D664" i="59"/>
  <c r="E664" i="59"/>
  <c r="F664" i="59"/>
  <c r="G664" i="59"/>
  <c r="H664" i="59"/>
  <c r="I664" i="59"/>
  <c r="K664" i="59"/>
  <c r="L664" i="59"/>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EO630" i="59"/>
  <c r="N630" i="59"/>
  <c r="M630" i="59"/>
  <c r="J630" i="59"/>
  <c r="I630" i="59"/>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GC665" i="59"/>
  <c r="GV661" i="59"/>
  <c r="GD661" i="59"/>
  <c r="HM657" i="59"/>
  <c r="FH657" i="59"/>
  <c r="GO653" i="59"/>
  <c r="GW651" i="59"/>
  <c r="BG650" i="59"/>
  <c r="HS649" i="59"/>
  <c r="HI649" i="59"/>
  <c r="HA649" i="59"/>
  <c r="GQ649" i="59"/>
  <c r="GG649" i="59"/>
  <c r="FX649" i="59"/>
  <c r="FM649" i="59"/>
  <c r="FE649" i="59"/>
  <c r="EV649" i="59"/>
  <c r="HB647" i="59"/>
  <c r="FK647" i="59"/>
  <c r="BJ646" i="59"/>
  <c r="IB645" i="59"/>
  <c r="HQ645" i="59"/>
  <c r="HP645" i="59"/>
  <c r="HI645" i="59"/>
  <c r="GZ645" i="59"/>
  <c r="GV645" i="59"/>
  <c r="GO645" i="59"/>
  <c r="GF645" i="59"/>
  <c r="GD645" i="59"/>
  <c r="FX645" i="59"/>
  <c r="FM645" i="59"/>
  <c r="FJ645" i="59"/>
  <c r="FD645" i="59"/>
  <c r="JN643" i="59"/>
  <c r="HI643" i="59"/>
  <c r="GC643" i="59"/>
  <c r="FM643" i="59"/>
  <c r="FN642" i="59"/>
  <c r="HT641" i="59"/>
  <c r="HM641" i="59"/>
  <c r="HG641" i="59"/>
  <c r="GY641" i="59"/>
  <c r="GR641" i="59"/>
  <c r="GK641" i="59"/>
  <c r="GC641" i="59"/>
  <c r="FW641" i="59"/>
  <c r="FP641" i="59"/>
  <c r="FH641" i="59"/>
  <c r="FA641" i="59"/>
  <c r="DB641" i="59"/>
  <c r="JO639" i="59"/>
  <c r="HS639" i="59"/>
  <c r="HI639" i="59"/>
  <c r="GW639" i="59"/>
  <c r="GR639" i="59"/>
  <c r="GC639" i="59"/>
  <c r="GB639" i="59"/>
  <c r="FL639" i="59"/>
  <c r="FG639" i="59"/>
  <c r="IB637" i="59"/>
  <c r="IA637" i="59"/>
  <c r="HW637" i="59"/>
  <c r="HV637" i="59"/>
  <c r="HR637" i="59"/>
  <c r="HP637" i="59"/>
  <c r="HL637" i="59"/>
  <c r="HK637" i="59"/>
  <c r="HG637" i="59"/>
  <c r="HF637" i="59"/>
  <c r="HB637" i="59"/>
  <c r="GZ637" i="59"/>
  <c r="GV637" i="59"/>
  <c r="GU637" i="59"/>
  <c r="GQ637" i="59"/>
  <c r="GP637" i="59"/>
  <c r="GL637" i="59"/>
  <c r="GJ637" i="59"/>
  <c r="GF637" i="59"/>
  <c r="GE637" i="59"/>
  <c r="GA637" i="59"/>
  <c r="FZ637" i="59"/>
  <c r="FV637" i="59"/>
  <c r="FT637" i="59"/>
  <c r="FP637" i="59"/>
  <c r="FO637" i="59"/>
  <c r="FK637" i="59"/>
  <c r="FJ637" i="59"/>
  <c r="FF637" i="59"/>
  <c r="FD637" i="59"/>
  <c r="EZ637" i="59"/>
  <c r="EY637" i="59"/>
  <c r="BW637" i="59"/>
  <c r="JO635" i="59"/>
  <c r="HS635" i="59"/>
  <c r="HO635" i="59"/>
  <c r="HE635" i="59"/>
  <c r="HC635" i="59"/>
  <c r="GT635" i="59"/>
  <c r="GS635" i="59"/>
  <c r="GI635" i="59"/>
  <c r="GH635" i="59"/>
  <c r="FY635" i="59"/>
  <c r="FW635" i="59"/>
  <c r="FN635" i="59"/>
  <c r="FM635" i="59"/>
  <c r="FC635" i="59"/>
  <c r="FB635" i="59"/>
  <c r="DA635" i="59"/>
  <c r="JN633" i="59"/>
  <c r="IB633" i="59"/>
  <c r="IA633" i="59"/>
  <c r="HZ633" i="59"/>
  <c r="HY633" i="59"/>
  <c r="HX633" i="59"/>
  <c r="HW633" i="59"/>
  <c r="HV633" i="59"/>
  <c r="HU633" i="59"/>
  <c r="HT633" i="59"/>
  <c r="HS633" i="59"/>
  <c r="HR633" i="59"/>
  <c r="HQ633" i="59"/>
  <c r="HP633" i="59"/>
  <c r="HO633" i="59"/>
  <c r="HN633" i="59"/>
  <c r="HM633" i="59"/>
  <c r="HL633" i="59"/>
  <c r="HK633" i="59"/>
  <c r="HJ633" i="59"/>
  <c r="HI633" i="59"/>
  <c r="HH633" i="59"/>
  <c r="HG633" i="59"/>
  <c r="HF633" i="59"/>
  <c r="HE633" i="59"/>
  <c r="HD633" i="59"/>
  <c r="HC633" i="59"/>
  <c r="HB633" i="59"/>
  <c r="HA633" i="59"/>
  <c r="GZ633" i="59"/>
  <c r="GY633" i="59"/>
  <c r="GX633" i="59"/>
  <c r="GW633" i="59"/>
  <c r="GV633" i="59"/>
  <c r="GU633" i="59"/>
  <c r="GT633" i="59"/>
  <c r="GS633" i="59"/>
  <c r="GR633" i="59"/>
  <c r="GQ633" i="59"/>
  <c r="GP633" i="59"/>
  <c r="GO633" i="59"/>
  <c r="GN633" i="59"/>
  <c r="GM633" i="59"/>
  <c r="GL633" i="59"/>
  <c r="GK633" i="59"/>
  <c r="GJ633" i="59"/>
  <c r="GI633" i="59"/>
  <c r="GH633" i="59"/>
  <c r="GG633" i="59"/>
  <c r="GF633" i="59"/>
  <c r="GE633" i="59"/>
  <c r="GD633" i="59"/>
  <c r="GC633" i="59"/>
  <c r="GB633" i="59"/>
  <c r="GA633" i="59"/>
  <c r="FZ633" i="59"/>
  <c r="FY633" i="59"/>
  <c r="FX633" i="59"/>
  <c r="FW633" i="59"/>
  <c r="FV633" i="59"/>
  <c r="FU633" i="59"/>
  <c r="FT633" i="59"/>
  <c r="FS633" i="59"/>
  <c r="FR633" i="59"/>
  <c r="FQ633" i="59"/>
  <c r="FP633" i="59"/>
  <c r="FO633" i="59"/>
  <c r="FN633" i="59"/>
  <c r="FM633" i="59"/>
  <c r="FL633" i="59"/>
  <c r="FK633" i="59"/>
  <c r="FJ633" i="59"/>
  <c r="FI633" i="59"/>
  <c r="FH633" i="59"/>
  <c r="FG633" i="59"/>
  <c r="FF633" i="59"/>
  <c r="FE633" i="59"/>
  <c r="FD633" i="59"/>
  <c r="FC633" i="59"/>
  <c r="FB633" i="59"/>
  <c r="FA633" i="59"/>
  <c r="EZ633" i="59"/>
  <c r="EY633" i="59"/>
  <c r="EX633" i="59"/>
  <c r="EV633" i="59"/>
  <c r="BT633" i="59"/>
  <c r="CP631" i="59"/>
  <c r="BJ631" i="59"/>
  <c r="IV630" i="59"/>
  <c r="CO630" i="59"/>
  <c r="BT630" i="59"/>
  <c r="AC630"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FK636" i="59"/>
  <c r="BD662" i="59"/>
  <c r="K660" i="59"/>
  <c r="L660" i="59"/>
  <c r="L656" i="59"/>
  <c r="L652" i="59"/>
  <c r="L648" i="59"/>
  <c r="K644" i="59"/>
  <c r="L644" i="59"/>
  <c r="HY640" i="59"/>
  <c r="AY630" i="59"/>
  <c r="HC665" i="59"/>
  <c r="GG656" i="59"/>
  <c r="FW652" i="59"/>
  <c r="GA648" i="59"/>
  <c r="GT644" i="59"/>
  <c r="GV634" i="59"/>
  <c r="M750" i="59"/>
  <c r="I750" i="59"/>
  <c r="H777" i="59"/>
  <c r="DM630" i="59"/>
  <c r="GK636" i="59"/>
  <c r="GK640" i="59"/>
  <c r="JO652" i="59"/>
  <c r="V130" i="15"/>
  <c r="K781" i="59"/>
  <c r="JJ631" i="59"/>
  <c r="BQ659" i="59"/>
  <c r="CL659" i="59"/>
  <c r="AL655" i="59"/>
  <c r="K645" i="59"/>
  <c r="L645" i="59" s="1"/>
  <c r="BU647" i="59"/>
  <c r="G781" i="59"/>
  <c r="P789" i="59"/>
  <c r="EW631" i="59"/>
  <c r="JI631" i="59"/>
  <c r="DA633" i="59"/>
  <c r="BE631" i="59"/>
  <c r="IK631" i="59"/>
  <c r="DA631" i="59"/>
  <c r="IQ630" i="59"/>
  <c r="IH658" i="59"/>
  <c r="GU658" i="59"/>
  <c r="EZ658" i="59"/>
  <c r="CO658" i="59"/>
  <c r="CA658" i="59"/>
  <c r="BM658" i="59"/>
  <c r="AY658" i="59"/>
  <c r="AJ658" i="59"/>
  <c r="W658" i="59"/>
  <c r="IA658" i="59"/>
  <c r="GD658" i="59"/>
  <c r="CY658" i="59"/>
  <c r="CJ658" i="59"/>
  <c r="BU658" i="59"/>
  <c r="BH658" i="59"/>
  <c r="AS658" i="59"/>
  <c r="AE658" i="59"/>
  <c r="II658" i="59"/>
  <c r="FC658" i="59"/>
  <c r="CC658" i="59"/>
  <c r="AZ658" i="59"/>
  <c r="X658" i="59"/>
  <c r="HW658" i="59"/>
  <c r="CV658" i="59"/>
  <c r="BT658" i="59"/>
  <c r="AR658" i="59"/>
  <c r="CQ658" i="59"/>
  <c r="AM658" i="59"/>
  <c r="FV658" i="59"/>
  <c r="BE658" i="59"/>
  <c r="BO658" i="59"/>
  <c r="AC658" i="59"/>
  <c r="HF658" i="59"/>
  <c r="CI658" i="59"/>
  <c r="HU654" i="59"/>
  <c r="GE654" i="59"/>
  <c r="DB654" i="59"/>
  <c r="CG654" i="59"/>
  <c r="BV654" i="59"/>
  <c r="BL654" i="59"/>
  <c r="AP654" i="59"/>
  <c r="Z654" i="59"/>
  <c r="HN654" i="59"/>
  <c r="GD654" i="59"/>
  <c r="DA654" i="59"/>
  <c r="CF654" i="59"/>
  <c r="BU654" i="59"/>
  <c r="BJ654" i="59"/>
  <c r="AO654" i="59"/>
  <c r="Y654" i="59"/>
  <c r="FI654" i="59"/>
  <c r="BP654" i="59"/>
  <c r="AC654" i="59"/>
  <c r="GY654" i="59"/>
  <c r="CW654" i="59"/>
  <c r="BF654" i="59"/>
  <c r="V654" i="59"/>
  <c r="GT654" i="59"/>
  <c r="BZ654" i="59"/>
  <c r="IF654" i="59"/>
  <c r="AV654" i="59"/>
  <c r="BE654" i="59"/>
  <c r="CV654" i="59"/>
  <c r="FO654" i="59"/>
  <c r="AY647" i="59"/>
  <c r="BE643" i="59"/>
  <c r="CT643" i="59"/>
  <c r="BN643" i="59"/>
  <c r="BM643" i="59"/>
  <c r="CD643" i="59"/>
  <c r="AO643" i="59"/>
  <c r="CK643" i="59"/>
  <c r="Y643" i="59"/>
  <c r="AH643" i="59"/>
  <c r="IH642" i="59"/>
  <c r="HW642" i="59"/>
  <c r="HO642" i="59"/>
  <c r="HI642" i="59"/>
  <c r="HB642" i="59"/>
  <c r="GT642" i="59"/>
  <c r="GM642" i="59"/>
  <c r="GG642" i="59"/>
  <c r="FY642" i="59"/>
  <c r="FR642" i="59"/>
  <c r="FK642" i="59"/>
  <c r="FC642" i="59"/>
  <c r="EW642" i="59"/>
  <c r="CZ642" i="59"/>
  <c r="CR642" i="59"/>
  <c r="CJ642" i="59"/>
  <c r="CB642" i="59"/>
  <c r="BX642" i="59"/>
  <c r="BT642" i="59"/>
  <c r="BL642" i="59"/>
  <c r="BD642" i="59"/>
  <c r="AV642" i="59"/>
  <c r="AN642" i="59"/>
  <c r="AF642" i="59"/>
  <c r="X642" i="59"/>
  <c r="IE642" i="59"/>
  <c r="HU642" i="59"/>
  <c r="HM642" i="59"/>
  <c r="HC642" i="59"/>
  <c r="GS642" i="59"/>
  <c r="GI642" i="59"/>
  <c r="IK642" i="59"/>
  <c r="HY642" i="59"/>
  <c r="HN642" i="59"/>
  <c r="HE642" i="59"/>
  <c r="GW642" i="59"/>
  <c r="GL642" i="59"/>
  <c r="GC642" i="59"/>
  <c r="FS642" i="59"/>
  <c r="FI642" i="59"/>
  <c r="FA642" i="59"/>
  <c r="DA642" i="59"/>
  <c r="CU642" i="59"/>
  <c r="CK642" i="59"/>
  <c r="BZ642" i="59"/>
  <c r="BU642" i="59"/>
  <c r="HZ642" i="59"/>
  <c r="HG642" i="59"/>
  <c r="GO642" i="59"/>
  <c r="FW642" i="59"/>
  <c r="FM642" i="59"/>
  <c r="EX642" i="59"/>
  <c r="CX642" i="59"/>
  <c r="CI642" i="59"/>
  <c r="BV642" i="59"/>
  <c r="BJ642" i="59"/>
  <c r="AY642" i="59"/>
  <c r="AO642" i="59"/>
  <c r="AD642" i="59"/>
  <c r="II642" i="59"/>
  <c r="HS642" i="59"/>
  <c r="GY642" i="59"/>
  <c r="GH642" i="59"/>
  <c r="FV642" i="59"/>
  <c r="FG642" i="59"/>
  <c r="CO642" i="59"/>
  <c r="CA642" i="59"/>
  <c r="BN642" i="59"/>
  <c r="BC642" i="59"/>
  <c r="AS642" i="59"/>
  <c r="AH642" i="59"/>
  <c r="W642" i="59"/>
  <c r="HJ642" i="59"/>
  <c r="GA642" i="59"/>
  <c r="FB642" i="59"/>
  <c r="CS642" i="59"/>
  <c r="BQ642" i="59"/>
  <c r="AU642" i="59"/>
  <c r="Z642" i="59"/>
  <c r="HR642" i="59"/>
  <c r="GD642" i="59"/>
  <c r="FF642" i="59"/>
  <c r="CT642" i="59"/>
  <c r="BR642" i="59"/>
  <c r="AW642" i="59"/>
  <c r="AA642" i="59"/>
  <c r="GX642" i="59"/>
  <c r="DB642" i="59"/>
  <c r="BY642" i="59"/>
  <c r="AG642" i="59"/>
  <c r="GQ642" i="59"/>
  <c r="CY642" i="59"/>
  <c r="BW642" i="59"/>
  <c r="BA642" i="59"/>
  <c r="FQ642" i="59"/>
  <c r="BM642" i="59"/>
  <c r="V642" i="59"/>
  <c r="CW635" i="59"/>
  <c r="BO635" i="59"/>
  <c r="CU635" i="59"/>
  <c r="AP635" i="59"/>
  <c r="CL635" i="59"/>
  <c r="IK635" i="59"/>
  <c r="Y635" i="59"/>
  <c r="CP635" i="59"/>
  <c r="BZ635" i="59"/>
  <c r="HZ634" i="59"/>
  <c r="HJ634" i="59"/>
  <c r="GT634" i="59"/>
  <c r="GD634" i="59"/>
  <c r="FN634" i="59"/>
  <c r="EX634" i="59"/>
  <c r="CT634" i="59"/>
  <c r="CH634" i="59"/>
  <c r="BZ634" i="59"/>
  <c r="BN634" i="59"/>
  <c r="BB634" i="59"/>
  <c r="AT634" i="59"/>
  <c r="AH634" i="59"/>
  <c r="V634" i="59"/>
  <c r="IE634" i="59"/>
  <c r="HO634" i="59"/>
  <c r="GY634" i="59"/>
  <c r="GN634" i="59"/>
  <c r="FX634" i="59"/>
  <c r="FH634" i="59"/>
  <c r="EW634" i="59"/>
  <c r="CO634" i="59"/>
  <c r="CE634" i="59"/>
  <c r="BT634" i="59"/>
  <c r="BI634" i="59"/>
  <c r="AY634" i="59"/>
  <c r="AN634" i="59"/>
  <c r="AC634" i="59"/>
  <c r="IK634" i="59"/>
  <c r="IA634" i="59"/>
  <c r="HP634" i="59"/>
  <c r="HE634" i="59"/>
  <c r="GU634" i="59"/>
  <c r="GJ634" i="59"/>
  <c r="FY634" i="59"/>
  <c r="FO634" i="59"/>
  <c r="FD634" i="59"/>
  <c r="DA634" i="59"/>
  <c r="CQ634" i="59"/>
  <c r="CF634" i="59"/>
  <c r="BU634" i="59"/>
  <c r="BK634" i="59"/>
  <c r="AZ634" i="59"/>
  <c r="AO634" i="59"/>
  <c r="AE634" i="59"/>
  <c r="HW634" i="59"/>
  <c r="IC634" i="59"/>
  <c r="HH634" i="59"/>
  <c r="GB634" i="59"/>
  <c r="EV634" i="59"/>
  <c r="II634" i="59"/>
  <c r="HM634" i="59"/>
  <c r="GR634" i="59"/>
  <c r="FW634" i="59"/>
  <c r="FA634" i="59"/>
  <c r="CN634" i="59"/>
  <c r="BS634" i="59"/>
  <c r="AW634" i="59"/>
  <c r="AB634" i="59"/>
  <c r="HL634" i="59"/>
  <c r="GQ634" i="59"/>
  <c r="FU634" i="59"/>
  <c r="EZ634" i="59"/>
  <c r="CM634" i="59"/>
  <c r="BG634" i="59"/>
  <c r="AK634" i="59"/>
  <c r="GM634" i="59"/>
  <c r="CS634" i="59"/>
  <c r="CY657" i="59"/>
  <c r="BX657" i="59"/>
  <c r="BU657" i="59"/>
  <c r="DB657" i="59"/>
  <c r="CZ657" i="59"/>
  <c r="BW657" i="59"/>
  <c r="DA653" i="59"/>
  <c r="CN653" i="59"/>
  <c r="BU653" i="59"/>
  <c r="CZ653" i="59"/>
  <c r="BX653" i="59"/>
  <c r="BT653" i="59"/>
  <c r="CX653" i="59"/>
  <c r="BW653" i="59"/>
  <c r="DB653" i="59"/>
  <c r="CY653" i="59"/>
  <c r="BV653" i="59"/>
  <c r="DB649" i="59"/>
  <c r="CX649" i="59"/>
  <c r="BU649" i="59"/>
  <c r="DA649" i="59"/>
  <c r="BW649" i="59"/>
  <c r="IC649" i="59"/>
  <c r="BX649" i="59"/>
  <c r="BA649" i="59"/>
  <c r="BV649" i="59"/>
  <c r="BT649" i="59"/>
  <c r="CZ649" i="59"/>
  <c r="CY649" i="59"/>
  <c r="BX648" i="59"/>
  <c r="CI648" i="59"/>
  <c r="CA644" i="59"/>
  <c r="IK644" i="59"/>
  <c r="BS644" i="59"/>
  <c r="DA641" i="59"/>
  <c r="BX641" i="59"/>
  <c r="BT641" i="59"/>
  <c r="CZ641" i="59"/>
  <c r="BW641" i="59"/>
  <c r="BH641" i="59"/>
  <c r="CX641" i="59"/>
  <c r="CY641" i="59"/>
  <c r="AB641" i="59"/>
  <c r="BV641" i="59"/>
  <c r="BU641" i="59"/>
  <c r="BT639" i="59"/>
  <c r="CZ639" i="59"/>
  <c r="DA637" i="59"/>
  <c r="CO637" i="59"/>
  <c r="BU637" i="59"/>
  <c r="AE637" i="59"/>
  <c r="DB637" i="59"/>
  <c r="BX637" i="59"/>
  <c r="BQ637" i="59"/>
  <c r="CX637" i="59"/>
  <c r="BT637" i="59"/>
  <c r="CY637" i="59"/>
  <c r="BV637" i="59"/>
  <c r="CZ637" i="59"/>
  <c r="BA637" i="59"/>
  <c r="Z637" i="59"/>
  <c r="BU635" i="59"/>
  <c r="DB635" i="59"/>
  <c r="AJ630" i="59"/>
  <c r="BE630" i="59"/>
  <c r="CV630" i="59"/>
  <c r="DU630" i="59"/>
  <c r="AO631" i="59"/>
  <c r="BW633" i="59"/>
  <c r="BL634" i="59"/>
  <c r="HG634" i="59"/>
  <c r="AP642" i="59"/>
  <c r="IC642" i="59"/>
  <c r="AN630" i="59"/>
  <c r="CE630" i="59"/>
  <c r="CZ630" i="59"/>
  <c r="EA630" i="59"/>
  <c r="AT631" i="59"/>
  <c r="BZ631" i="59"/>
  <c r="IH631" i="59"/>
  <c r="CX633" i="59"/>
  <c r="IG633" i="59"/>
  <c r="W634" i="59"/>
  <c r="CR634" i="59"/>
  <c r="AT635" i="59"/>
  <c r="Y630" i="59"/>
  <c r="AU630" i="59"/>
  <c r="BP630" i="59"/>
  <c r="CK630" i="59"/>
  <c r="DH630" i="59"/>
  <c r="EJ630" i="59"/>
  <c r="Y631" i="59"/>
  <c r="CK631" i="59"/>
  <c r="EL631" i="59"/>
  <c r="AC633" i="59"/>
  <c r="AF634" i="59"/>
  <c r="BW634" i="59"/>
  <c r="GK634" i="59"/>
  <c r="BV635" i="59"/>
  <c r="CL642" i="59"/>
  <c r="IY630" i="59"/>
  <c r="IR630" i="59"/>
  <c r="IK630" i="59"/>
  <c r="IF630" i="59"/>
  <c r="ES630" i="59"/>
  <c r="EK630" i="59"/>
  <c r="EE630" i="59"/>
  <c r="DX630" i="59"/>
  <c r="DP630" i="59"/>
  <c r="DI630" i="59"/>
  <c r="DC630" i="59"/>
  <c r="CW630" i="59"/>
  <c r="CR630" i="59"/>
  <c r="CM630" i="59"/>
  <c r="CG630" i="59"/>
  <c r="CB630" i="59"/>
  <c r="BW630" i="59"/>
  <c r="BQ630" i="59"/>
  <c r="BL630" i="59"/>
  <c r="BG630" i="59"/>
  <c r="BA630" i="59"/>
  <c r="AV630" i="59"/>
  <c r="AQ630" i="59"/>
  <c r="AK630" i="59"/>
  <c r="AF630" i="59"/>
  <c r="AA630" i="59"/>
  <c r="JA630" i="59"/>
  <c r="IS630" i="59"/>
  <c r="IM630" i="59"/>
  <c r="IG630" i="59"/>
  <c r="EU630" i="59"/>
  <c r="EN630" i="59"/>
  <c r="EF630" i="59"/>
  <c r="DY630" i="59"/>
  <c r="DS630" i="59"/>
  <c r="DK630" i="59"/>
  <c r="DD630" i="59"/>
  <c r="CY630" i="59"/>
  <c r="CS630" i="59"/>
  <c r="CN630" i="59"/>
  <c r="CI630" i="59"/>
  <c r="CC630" i="59"/>
  <c r="BX630" i="59"/>
  <c r="BS630" i="59"/>
  <c r="BM630" i="59"/>
  <c r="BH630" i="59"/>
  <c r="BC630" i="59"/>
  <c r="AW630" i="59"/>
  <c r="AR630" i="59"/>
  <c r="AM630" i="59"/>
  <c r="AG630" i="59"/>
  <c r="AB630" i="59"/>
  <c r="W630" i="59"/>
  <c r="IW630" i="59"/>
  <c r="EQ630" i="59"/>
  <c r="DA630" i="59"/>
  <c r="BK630" i="59"/>
  <c r="IN630" i="59"/>
  <c r="IC630" i="59"/>
  <c r="EI630" i="59"/>
  <c r="DT630" i="59"/>
  <c r="DE630" i="59"/>
  <c r="CU630" i="59"/>
  <c r="CJ630" i="59"/>
  <c r="BY630" i="59"/>
  <c r="BO630" i="59"/>
  <c r="BD630" i="59"/>
  <c r="AS630" i="59"/>
  <c r="AI630" i="59"/>
  <c r="X630" i="59"/>
  <c r="IJ630" i="59"/>
  <c r="EC630" i="59"/>
  <c r="DO630" i="59"/>
  <c r="CQ630" i="59"/>
  <c r="CF630" i="59"/>
  <c r="BU630" i="59"/>
  <c r="AZ630" i="59"/>
  <c r="AO630" i="59"/>
  <c r="AE630" i="59"/>
  <c r="ID662" i="59"/>
  <c r="CT662" i="59"/>
  <c r="BR662" i="59"/>
  <c r="AP662" i="59"/>
  <c r="HS662" i="59"/>
  <c r="CR662" i="59"/>
  <c r="BN662" i="59"/>
  <c r="AL662" i="59"/>
  <c r="FB662" i="59"/>
  <c r="BA662" i="59"/>
  <c r="CG662" i="59"/>
  <c r="AB662" i="59"/>
  <c r="CC662" i="59"/>
  <c r="FS662" i="59"/>
  <c r="X662" i="59"/>
  <c r="CJ651" i="59"/>
  <c r="AG651" i="59"/>
  <c r="II650" i="59"/>
  <c r="IE650" i="59"/>
  <c r="HW650" i="59"/>
  <c r="HO650" i="59"/>
  <c r="HE650" i="59"/>
  <c r="GU650" i="59"/>
  <c r="GL650" i="59"/>
  <c r="GA650" i="59"/>
  <c r="FS650" i="59"/>
  <c r="FL650" i="59"/>
  <c r="FD650" i="59"/>
  <c r="EW650" i="59"/>
  <c r="CZ650" i="59"/>
  <c r="CV650" i="59"/>
  <c r="CR650" i="59"/>
  <c r="CN650" i="59"/>
  <c r="CJ650" i="59"/>
  <c r="CF650" i="59"/>
  <c r="CB650" i="59"/>
  <c r="BX650" i="59"/>
  <c r="IL650" i="59"/>
  <c r="IH650" i="59"/>
  <c r="ID650" i="59"/>
  <c r="HV650" i="59"/>
  <c r="HK650" i="59"/>
  <c r="HB650" i="59"/>
  <c r="GT650" i="59"/>
  <c r="GI650" i="59"/>
  <c r="FZ650" i="59"/>
  <c r="FQ650" i="59"/>
  <c r="FI650" i="59"/>
  <c r="FC650" i="59"/>
  <c r="EV650" i="59"/>
  <c r="CY650" i="59"/>
  <c r="CU650" i="59"/>
  <c r="CQ650" i="59"/>
  <c r="CM650" i="59"/>
  <c r="IJ650" i="59"/>
  <c r="HZ650" i="59"/>
  <c r="HG650" i="59"/>
  <c r="GO650" i="59"/>
  <c r="FU650" i="59"/>
  <c r="FG650" i="59"/>
  <c r="DA650" i="59"/>
  <c r="CS650" i="59"/>
  <c r="CK650" i="59"/>
  <c r="IG650" i="59"/>
  <c r="HR650" i="59"/>
  <c r="HA650" i="59"/>
  <c r="GG650" i="59"/>
  <c r="FO650" i="59"/>
  <c r="FA650" i="59"/>
  <c r="CX650" i="59"/>
  <c r="CP650" i="59"/>
  <c r="CI650" i="59"/>
  <c r="CD650" i="59"/>
  <c r="BY650" i="59"/>
  <c r="BT650" i="59"/>
  <c r="BP650" i="59"/>
  <c r="BL650" i="59"/>
  <c r="BH650" i="59"/>
  <c r="BD650" i="59"/>
  <c r="AZ650" i="59"/>
  <c r="AV650" i="59"/>
  <c r="AR650" i="59"/>
  <c r="AN650" i="59"/>
  <c r="AJ650" i="59"/>
  <c r="AF650" i="59"/>
  <c r="AB650" i="59"/>
  <c r="X650" i="59"/>
  <c r="IF650" i="59"/>
  <c r="GW650" i="59"/>
  <c r="FM650" i="59"/>
  <c r="CW650" i="59"/>
  <c r="CH650" i="59"/>
  <c r="CA650" i="59"/>
  <c r="BU650" i="59"/>
  <c r="BO650" i="59"/>
  <c r="BJ650" i="59"/>
  <c r="BE650" i="59"/>
  <c r="AY650" i="59"/>
  <c r="AT650" i="59"/>
  <c r="AO650" i="59"/>
  <c r="AI650" i="59"/>
  <c r="AD650" i="59"/>
  <c r="Y650" i="59"/>
  <c r="IK650" i="59"/>
  <c r="HJ650" i="59"/>
  <c r="FY650" i="59"/>
  <c r="DB650" i="59"/>
  <c r="CL650" i="59"/>
  <c r="CC650" i="59"/>
  <c r="BV650" i="59"/>
  <c r="BQ650" i="59"/>
  <c r="BK650" i="59"/>
  <c r="BF650" i="59"/>
  <c r="BA650" i="59"/>
  <c r="AU650" i="59"/>
  <c r="AP650" i="59"/>
  <c r="AK650" i="59"/>
  <c r="AE650" i="59"/>
  <c r="Z650" i="59"/>
  <c r="GP650" i="59"/>
  <c r="CT650" i="59"/>
  <c r="BZ650" i="59"/>
  <c r="BN650" i="59"/>
  <c r="BC650" i="59"/>
  <c r="AS650" i="59"/>
  <c r="AH650" i="59"/>
  <c r="W650" i="59"/>
  <c r="GE650" i="59"/>
  <c r="CO650" i="59"/>
  <c r="BW650" i="59"/>
  <c r="BM650" i="59"/>
  <c r="BB650" i="59"/>
  <c r="AQ650" i="59"/>
  <c r="AG650" i="59"/>
  <c r="V650" i="59"/>
  <c r="EY650" i="59"/>
  <c r="BR650" i="59"/>
  <c r="AW650" i="59"/>
  <c r="AA650" i="59"/>
  <c r="CG650" i="59"/>
  <c r="BI650" i="59"/>
  <c r="AM650" i="59"/>
  <c r="FH650" i="59"/>
  <c r="BS650" i="59"/>
  <c r="AX650" i="59"/>
  <c r="AC650" i="59"/>
  <c r="IC650" i="59"/>
  <c r="HQ650" i="59"/>
  <c r="CE650" i="59"/>
  <c r="AL650" i="59"/>
  <c r="AO647" i="59"/>
  <c r="CP647" i="59"/>
  <c r="CE647" i="59"/>
  <c r="IJ646" i="59"/>
  <c r="IF646" i="59"/>
  <c r="IB646" i="59"/>
  <c r="HU646" i="59"/>
  <c r="HO646" i="59"/>
  <c r="HG646" i="59"/>
  <c r="GZ646" i="59"/>
  <c r="GS646" i="59"/>
  <c r="GK646" i="59"/>
  <c r="GE646" i="59"/>
  <c r="FX646" i="59"/>
  <c r="FP646" i="59"/>
  <c r="FI646" i="59"/>
  <c r="FC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L646" i="59"/>
  <c r="IG646" i="59"/>
  <c r="IA646" i="59"/>
  <c r="HQ646" i="59"/>
  <c r="HI646" i="59"/>
  <c r="GY646" i="59"/>
  <c r="GO646" i="59"/>
  <c r="GF646" i="59"/>
  <c r="FU646" i="59"/>
  <c r="FM646" i="59"/>
  <c r="FD646" i="59"/>
  <c r="DB646" i="59"/>
  <c r="CW646" i="59"/>
  <c r="CR646" i="59"/>
  <c r="CL646" i="59"/>
  <c r="CG646" i="59"/>
  <c r="CB646" i="59"/>
  <c r="BV646" i="59"/>
  <c r="BQ646" i="59"/>
  <c r="BL646" i="59"/>
  <c r="BF646" i="59"/>
  <c r="BA646" i="59"/>
  <c r="AV646" i="59"/>
  <c r="AP646" i="59"/>
  <c r="AK646" i="59"/>
  <c r="AF646" i="59"/>
  <c r="Z646" i="59"/>
  <c r="IH646" i="59"/>
  <c r="IC646" i="59"/>
  <c r="HT646" i="59"/>
  <c r="HK646" i="59"/>
  <c r="HA646" i="59"/>
  <c r="GQ646" i="59"/>
  <c r="GI646" i="59"/>
  <c r="FY646" i="59"/>
  <c r="FO646" i="59"/>
  <c r="FE646" i="59"/>
  <c r="EW646" i="59"/>
  <c r="CX646" i="59"/>
  <c r="CS646" i="59"/>
  <c r="CN646" i="59"/>
  <c r="CH646" i="59"/>
  <c r="CC646" i="59"/>
  <c r="BX646" i="59"/>
  <c r="BR646" i="59"/>
  <c r="BM646" i="59"/>
  <c r="BH646" i="59"/>
  <c r="BB646" i="59"/>
  <c r="AW646" i="59"/>
  <c r="AR646" i="59"/>
  <c r="AL646" i="59"/>
  <c r="AG646" i="59"/>
  <c r="AB646" i="59"/>
  <c r="V646" i="59"/>
  <c r="ID646" i="59"/>
  <c r="HL646" i="59"/>
  <c r="GU646" i="59"/>
  <c r="GA646" i="59"/>
  <c r="FH646" i="59"/>
  <c r="CZ646" i="59"/>
  <c r="CO646" i="59"/>
  <c r="CD646" i="59"/>
  <c r="BT646" i="59"/>
  <c r="BI646" i="59"/>
  <c r="AX646" i="59"/>
  <c r="AN646" i="59"/>
  <c r="AC646" i="59"/>
  <c r="IK646" i="59"/>
  <c r="HY646" i="59"/>
  <c r="HE646" i="59"/>
  <c r="GN646" i="59"/>
  <c r="FT646" i="59"/>
  <c r="EZ646" i="59"/>
  <c r="CV646" i="59"/>
  <c r="CK646" i="59"/>
  <c r="BZ646" i="59"/>
  <c r="BP646" i="59"/>
  <c r="BE646" i="59"/>
  <c r="AT646" i="59"/>
  <c r="AJ646" i="59"/>
  <c r="Y646" i="59"/>
  <c r="IE646" i="59"/>
  <c r="GV646" i="59"/>
  <c r="FK646" i="59"/>
  <c r="CP646" i="59"/>
  <c r="BU646" i="59"/>
  <c r="AZ646" i="59"/>
  <c r="AD646" i="59"/>
  <c r="II646" i="59"/>
  <c r="HD646" i="59"/>
  <c r="FS646" i="59"/>
  <c r="CT646" i="59"/>
  <c r="BY646" i="59"/>
  <c r="BD646" i="59"/>
  <c r="AH646" i="59"/>
  <c r="GJ646" i="59"/>
  <c r="CJ646" i="59"/>
  <c r="AS646" i="59"/>
  <c r="GC646" i="59"/>
  <c r="CF646" i="59"/>
  <c r="AO646" i="59"/>
  <c r="HW646" i="59"/>
  <c r="EY646" i="59"/>
  <c r="BN646" i="59"/>
  <c r="X646" i="59"/>
  <c r="CT631" i="59"/>
  <c r="BN631" i="59"/>
  <c r="BF631" i="59"/>
  <c r="AX631" i="59"/>
  <c r="AP631" i="59"/>
  <c r="CW631" i="59"/>
  <c r="BQ631" i="59"/>
  <c r="BI631" i="59"/>
  <c r="BA631" i="59"/>
  <c r="AS631" i="59"/>
  <c r="BM631" i="59"/>
  <c r="BR631" i="59"/>
  <c r="BB631" i="59"/>
  <c r="CS631" i="59"/>
  <c r="AW631" i="59"/>
  <c r="IL631" i="59"/>
  <c r="ID631" i="59"/>
  <c r="EP631" i="59"/>
  <c r="DU631" i="59"/>
  <c r="CL631" i="59"/>
  <c r="CD631" i="59"/>
  <c r="AH631" i="59"/>
  <c r="Z631" i="59"/>
  <c r="IS631" i="59"/>
  <c r="IG631" i="59"/>
  <c r="EC631" i="59"/>
  <c r="DF631" i="59"/>
  <c r="CO631" i="59"/>
  <c r="CG631" i="59"/>
  <c r="BY631" i="59"/>
  <c r="AK631" i="59"/>
  <c r="AC631" i="59"/>
  <c r="IC631" i="59"/>
  <c r="ED631" i="59"/>
  <c r="CH631" i="59"/>
  <c r="AL631" i="59"/>
  <c r="V631" i="59"/>
  <c r="IT631" i="59"/>
  <c r="DR631" i="59"/>
  <c r="CC631" i="59"/>
  <c r="AG631" i="59"/>
  <c r="DB661" i="59"/>
  <c r="BX661" i="59"/>
  <c r="BV661" i="59"/>
  <c r="DA645" i="59"/>
  <c r="CE645" i="59"/>
  <c r="BU645" i="59"/>
  <c r="CX645" i="59"/>
  <c r="BT645" i="59"/>
  <c r="CY645" i="59"/>
  <c r="BV645" i="59"/>
  <c r="DB645" i="59"/>
  <c r="CZ645" i="59"/>
  <c r="BW645" i="59"/>
  <c r="BX645" i="59"/>
  <c r="CA640" i="59"/>
  <c r="BA640" i="59"/>
  <c r="CQ640" i="59"/>
  <c r="CW640" i="59"/>
  <c r="AK640" i="59"/>
  <c r="AM636" i="59"/>
  <c r="CI636" i="59"/>
  <c r="IS633" i="59"/>
  <c r="DQ633" i="59"/>
  <c r="CY633" i="59"/>
  <c r="BY633" i="59"/>
  <c r="BU633" i="59"/>
  <c r="AS633" i="59"/>
  <c r="CZ633" i="59"/>
  <c r="CK633" i="59"/>
  <c r="BV633" i="59"/>
  <c r="BE633" i="59"/>
  <c r="Y633" i="59"/>
  <c r="DB633" i="59"/>
  <c r="CO633" i="59"/>
  <c r="BI633" i="59"/>
  <c r="BX633" i="59"/>
  <c r="AO633" i="59"/>
  <c r="DB631" i="59"/>
  <c r="BV631" i="59"/>
  <c r="CX631" i="59"/>
  <c r="CA630" i="59"/>
  <c r="IE630" i="59"/>
  <c r="BU631" i="59"/>
  <c r="IC633" i="59"/>
  <c r="BI630" i="59"/>
  <c r="II630" i="59"/>
  <c r="DJ631" i="59"/>
  <c r="HQ634" i="59"/>
  <c r="BK642" i="59"/>
  <c r="HP646" i="59"/>
  <c r="GR659" i="59"/>
  <c r="GB659" i="59"/>
  <c r="GQ655" i="59"/>
  <c r="GL655" i="59"/>
  <c r="AO652" i="59"/>
  <c r="GA651" i="59"/>
  <c r="BX651" i="59"/>
  <c r="FG651" i="59"/>
  <c r="BC651" i="59"/>
  <c r="BY651" i="59"/>
  <c r="HG651" i="59"/>
  <c r="AS651" i="59"/>
  <c r="JO647" i="59"/>
  <c r="HM647" i="59"/>
  <c r="FV647" i="59"/>
  <c r="DA647" i="59"/>
  <c r="BS647" i="59"/>
  <c r="AC647" i="59"/>
  <c r="HY643" i="59"/>
  <c r="GT643" i="59"/>
  <c r="FN643" i="59"/>
  <c r="DA643" i="59"/>
  <c r="CC643" i="59"/>
  <c r="AW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II662" i="59"/>
  <c r="IC662" i="59"/>
  <c r="GU662" i="59"/>
  <c r="FN662" i="59"/>
  <c r="CZ662" i="59"/>
  <c r="CS662" i="59"/>
  <c r="CL662" i="59"/>
  <c r="CD662" i="59"/>
  <c r="BX662" i="59"/>
  <c r="BQ662" i="59"/>
  <c r="BI662" i="59"/>
  <c r="BB662" i="59"/>
  <c r="AV662" i="59"/>
  <c r="AN662" i="59"/>
  <c r="AG662" i="59"/>
  <c r="Z662" i="59"/>
  <c r="HK662" i="59"/>
  <c r="GH662" i="59"/>
  <c r="FA662" i="59"/>
  <c r="CW662" i="59"/>
  <c r="CO662" i="59"/>
  <c r="CH662" i="59"/>
  <c r="CB662" i="59"/>
  <c r="BT662" i="59"/>
  <c r="BM662" i="59"/>
  <c r="BF662" i="59"/>
  <c r="AX662" i="59"/>
  <c r="AR662" i="59"/>
  <c r="AK662" i="59"/>
  <c r="AC662" i="59"/>
  <c r="V662" i="59"/>
  <c r="IJ658" i="59"/>
  <c r="IE658" i="59"/>
  <c r="HP658" i="59"/>
  <c r="GY658" i="59"/>
  <c r="GE658" i="59"/>
  <c r="FK658" i="59"/>
  <c r="CW658" i="59"/>
  <c r="CR658" i="59"/>
  <c r="CM658" i="59"/>
  <c r="CG658" i="59"/>
  <c r="CB658" i="59"/>
  <c r="BW658" i="59"/>
  <c r="BQ658" i="59"/>
  <c r="BL658" i="59"/>
  <c r="BG658" i="59"/>
  <c r="BA658" i="59"/>
  <c r="AV658" i="59"/>
  <c r="AQ658" i="59"/>
  <c r="AK658" i="59"/>
  <c r="AF658" i="59"/>
  <c r="AA658" i="59"/>
  <c r="IH654" i="59"/>
  <c r="IC654" i="59"/>
  <c r="HO654" i="59"/>
  <c r="HA654" i="59"/>
  <c r="GM654" i="59"/>
  <c r="FY654" i="59"/>
  <c r="FJ654" i="59"/>
  <c r="EW654" i="59"/>
  <c r="CY654" i="59"/>
  <c r="CU654" i="59"/>
  <c r="CQ654" i="59"/>
  <c r="CM654" i="59"/>
  <c r="CI654" i="59"/>
  <c r="CE654" i="59"/>
  <c r="CA654" i="59"/>
  <c r="BW654" i="59"/>
  <c r="BS654" i="59"/>
  <c r="BO654" i="59"/>
  <c r="BK654" i="59"/>
  <c r="BG654" i="59"/>
  <c r="BC654" i="59"/>
  <c r="AY654" i="59"/>
  <c r="AU654" i="59"/>
  <c r="AQ654" i="59"/>
  <c r="CZ665" i="59"/>
  <c r="BU665" i="59"/>
  <c r="CZ661" i="59"/>
  <c r="BW661" i="59"/>
  <c r="CX661" i="59"/>
  <c r="BT661" i="59"/>
  <c r="CX657" i="59"/>
  <c r="BT657" i="59"/>
  <c r="W654" i="59"/>
  <c r="AA654" i="59"/>
  <c r="AE654" i="59"/>
  <c r="AI654" i="59"/>
  <c r="AM654" i="59"/>
  <c r="AR654" i="59"/>
  <c r="AW654" i="59"/>
  <c r="BB654" i="59"/>
  <c r="BH654" i="59"/>
  <c r="BM654" i="59"/>
  <c r="BR654" i="59"/>
  <c r="BX654" i="59"/>
  <c r="CC654" i="59"/>
  <c r="CH654" i="59"/>
  <c r="CN654" i="59"/>
  <c r="CS654" i="59"/>
  <c r="CX654" i="59"/>
  <c r="FB654" i="59"/>
  <c r="FR654" i="59"/>
  <c r="GK654" i="59"/>
  <c r="HF654" i="59"/>
  <c r="HV654" i="59"/>
  <c r="IG654" i="59"/>
  <c r="CH655" i="59"/>
  <c r="IH655" i="59"/>
  <c r="Y658" i="59"/>
  <c r="AG658" i="59"/>
  <c r="AN658" i="59"/>
  <c r="AU658" i="59"/>
  <c r="BC658" i="59"/>
  <c r="BI658" i="59"/>
  <c r="BP658" i="59"/>
  <c r="BX658" i="59"/>
  <c r="CE658" i="59"/>
  <c r="CK658" i="59"/>
  <c r="CS658" i="59"/>
  <c r="CZ658" i="59"/>
  <c r="FJ658" i="59"/>
  <c r="GL658" i="59"/>
  <c r="HG658" i="59"/>
  <c r="ID658" i="59"/>
  <c r="IL658" i="59"/>
  <c r="CY661" i="59"/>
  <c r="AF662" i="59"/>
  <c r="AS662" i="59"/>
  <c r="BH662" i="59"/>
  <c r="BV662" i="59"/>
  <c r="CJ662" i="59"/>
  <c r="CX662" i="59"/>
  <c r="GI662" i="59"/>
  <c r="IH662" i="59"/>
  <c r="BV665" i="59"/>
  <c r="IE662" i="59"/>
  <c r="J564" i="59"/>
  <c r="X654" i="59"/>
  <c r="AB654" i="59"/>
  <c r="AF654" i="59"/>
  <c r="AJ654" i="59"/>
  <c r="AN654" i="59"/>
  <c r="AS654" i="59"/>
  <c r="AX654" i="59"/>
  <c r="BD654" i="59"/>
  <c r="BI654" i="59"/>
  <c r="BN654" i="59"/>
  <c r="BT654" i="59"/>
  <c r="BY654" i="59"/>
  <c r="CD654" i="59"/>
  <c r="CJ654" i="59"/>
  <c r="CO654" i="59"/>
  <c r="CT654" i="59"/>
  <c r="CZ654" i="59"/>
  <c r="FC654" i="59"/>
  <c r="FW654" i="59"/>
  <c r="GS654" i="59"/>
  <c r="HI654" i="59"/>
  <c r="IB654" i="59"/>
  <c r="IJ654" i="59"/>
  <c r="AB658" i="59"/>
  <c r="AI658" i="59"/>
  <c r="AO658" i="59"/>
  <c r="AW658" i="59"/>
  <c r="BD658" i="59"/>
  <c r="BK658" i="59"/>
  <c r="BS658" i="59"/>
  <c r="BY658" i="59"/>
  <c r="CF658" i="59"/>
  <c r="CN658" i="59"/>
  <c r="CU658" i="59"/>
  <c r="DA658" i="59"/>
  <c r="FS658" i="59"/>
  <c r="GN658" i="59"/>
  <c r="HO658" i="59"/>
  <c r="IF658" i="59"/>
  <c r="AH662" i="59"/>
  <c r="AW662" i="59"/>
  <c r="BL662" i="59"/>
  <c r="BY662" i="59"/>
  <c r="CN662" i="59"/>
  <c r="DB662" i="59"/>
  <c r="GZ662" i="59"/>
  <c r="IK662" i="59"/>
  <c r="CY665" i="59"/>
  <c r="CX665" i="59"/>
  <c r="FC665" i="59"/>
  <c r="GD665" i="59"/>
  <c r="JM665" i="59"/>
  <c r="JO645" i="59"/>
  <c r="IF665" i="59"/>
  <c r="V657" i="59"/>
  <c r="X653" i="59"/>
  <c r="AP649" i="59"/>
  <c r="AU645" i="59"/>
  <c r="AJ645" i="59"/>
  <c r="JP642" i="59"/>
  <c r="AZ641" i="59"/>
  <c r="AU637" i="59"/>
  <c r="BL656" i="59"/>
  <c r="AW656" i="59"/>
  <c r="FM656" i="59"/>
  <c r="BD653" i="59"/>
  <c r="BO653" i="59"/>
  <c r="HC652" i="59"/>
  <c r="CE652" i="59"/>
  <c r="HN652" i="59"/>
  <c r="AY652" i="59"/>
  <c r="CP652" i="59"/>
  <c r="FM652" i="59"/>
  <c r="CI649" i="59"/>
  <c r="BY649" i="59"/>
  <c r="FP648" i="59"/>
  <c r="AG648" i="59"/>
  <c r="HG648" i="59"/>
  <c r="AR648" i="59"/>
  <c r="HZ644" i="59"/>
  <c r="CY644" i="59"/>
  <c r="AM644" i="59"/>
  <c r="GI644" i="59"/>
  <c r="AU644" i="59"/>
  <c r="CJ641" i="59"/>
  <c r="CB641" i="59"/>
  <c r="HQ640" i="59"/>
  <c r="FE640" i="59"/>
  <c r="BV640" i="59"/>
  <c r="AE640" i="59"/>
  <c r="FM640" i="59"/>
  <c r="BF640" i="59"/>
  <c r="K639" i="59"/>
  <c r="L639" i="59" s="1"/>
  <c r="ID637" i="59"/>
  <c r="CI637" i="59"/>
  <c r="HW636" i="59"/>
  <c r="CY636" i="59"/>
  <c r="K634" i="59"/>
  <c r="L634" i="59" s="1"/>
  <c r="H750" i="59"/>
  <c r="V421" i="59"/>
  <c r="V481" i="59"/>
  <c r="FU663" i="59"/>
  <c r="II663" i="59"/>
  <c r="BX663" i="59"/>
  <c r="FW663" i="59"/>
  <c r="AN663" i="59"/>
  <c r="BY663" i="59"/>
  <c r="GV659" i="59"/>
  <c r="FI659" i="59"/>
  <c r="CH659" i="59"/>
  <c r="AC659" i="59"/>
  <c r="HL659" i="59"/>
  <c r="FF659" i="59"/>
  <c r="AX659" i="59"/>
  <c r="HM659" i="59"/>
  <c r="DB659" i="59"/>
  <c r="IG659" i="59"/>
  <c r="FZ659" i="59"/>
  <c r="AW659" i="59"/>
  <c r="IB655" i="59"/>
  <c r="GZ655" i="59"/>
  <c r="FW655" i="59"/>
  <c r="CP655" i="59"/>
  <c r="BD655" i="59"/>
  <c r="W655" i="59"/>
  <c r="HF655" i="59"/>
  <c r="FO655" i="59"/>
  <c r="CB655" i="59"/>
  <c r="AB655" i="59"/>
  <c r="HN655" i="59"/>
  <c r="FJ655" i="59"/>
  <c r="AY655" i="59"/>
  <c r="HS655" i="59"/>
  <c r="GB655" i="59"/>
  <c r="BN655" i="59"/>
  <c r="JM653" i="59"/>
  <c r="JO653" i="59"/>
  <c r="IC651" i="59"/>
  <c r="HH651" i="59"/>
  <c r="GM651" i="59"/>
  <c r="FQ651" i="59"/>
  <c r="EV651" i="59"/>
  <c r="CI651" i="59"/>
  <c r="BM651" i="59"/>
  <c r="AR651" i="59"/>
  <c r="W651" i="59"/>
  <c r="HS651" i="59"/>
  <c r="GV651" i="59"/>
  <c r="FP651" i="59"/>
  <c r="CS651" i="59"/>
  <c r="BO651" i="59"/>
  <c r="AI651" i="59"/>
  <c r="HQ651" i="59"/>
  <c r="GB651" i="59"/>
  <c r="CU651" i="59"/>
  <c r="BD651" i="59"/>
  <c r="X651" i="59"/>
  <c r="IB651" i="59"/>
  <c r="GK651" i="59"/>
  <c r="FE651" i="59"/>
  <c r="II647" i="59"/>
  <c r="HN647" i="59"/>
  <c r="GS647" i="59"/>
  <c r="FW647" i="59"/>
  <c r="FB647" i="59"/>
  <c r="CY647" i="59"/>
  <c r="CD647" i="59"/>
  <c r="BI647" i="59"/>
  <c r="AM647" i="59"/>
  <c r="IH647" i="59"/>
  <c r="HC647" i="59"/>
  <c r="GG647" i="59"/>
  <c r="FA647" i="59"/>
  <c r="CO647" i="59"/>
  <c r="BJ647" i="59"/>
  <c r="AD647" i="59"/>
  <c r="IH643" i="59"/>
  <c r="HR643" i="59"/>
  <c r="HB643" i="59"/>
  <c r="GL643" i="59"/>
  <c r="FV643" i="59"/>
  <c r="FF643" i="59"/>
  <c r="DB643" i="59"/>
  <c r="CL643" i="59"/>
  <c r="BV643" i="59"/>
  <c r="BF643" i="59"/>
  <c r="AP643" i="59"/>
  <c r="Z643" i="59"/>
  <c r="IG643" i="59"/>
  <c r="HJ643" i="59"/>
  <c r="GS643" i="59"/>
  <c r="FU643" i="59"/>
  <c r="EX643" i="59"/>
  <c r="CS643" i="59"/>
  <c r="BU643" i="59"/>
  <c r="AX643" i="59"/>
  <c r="AG643" i="59"/>
  <c r="JP641" i="59"/>
  <c r="JL641" i="59"/>
  <c r="JM639" i="59"/>
  <c r="HY639" i="59"/>
  <c r="HO639" i="59"/>
  <c r="HD639" i="59"/>
  <c r="GS639" i="59"/>
  <c r="GI639" i="59"/>
  <c r="FX639" i="59"/>
  <c r="FM639" i="59"/>
  <c r="FC639" i="59"/>
  <c r="DA639" i="59"/>
  <c r="BU639" i="59"/>
  <c r="JP639" i="59"/>
  <c r="HM639" i="59"/>
  <c r="GY639" i="59"/>
  <c r="GM639" i="59"/>
  <c r="FW639" i="59"/>
  <c r="FH639" i="59"/>
  <c r="EV639" i="59"/>
  <c r="JN635" i="59"/>
  <c r="HU635" i="59"/>
  <c r="HJ635"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AV663" i="59"/>
  <c r="IL662" i="59"/>
  <c r="IG662" i="59"/>
  <c r="IA662" i="59"/>
  <c r="HT662" i="59"/>
  <c r="HN662" i="59"/>
  <c r="HF662" i="59"/>
  <c r="GY662" i="59"/>
  <c r="GR662" i="59"/>
  <c r="GJ662" i="59"/>
  <c r="GD662" i="59"/>
  <c r="FW662" i="59"/>
  <c r="FO662" i="59"/>
  <c r="FI662" i="59"/>
  <c r="FD662" i="59"/>
  <c r="EX662" i="59"/>
  <c r="DA662" i="59"/>
  <c r="CV662" i="59"/>
  <c r="CP662" i="59"/>
  <c r="CK662" i="59"/>
  <c r="CF662" i="59"/>
  <c r="BZ662" i="59"/>
  <c r="BU662" i="59"/>
  <c r="BP662" i="59"/>
  <c r="BJ662" i="59"/>
  <c r="BE662" i="59"/>
  <c r="AZ662" i="59"/>
  <c r="AT662" i="59"/>
  <c r="AO662" i="59"/>
  <c r="AJ662" i="59"/>
  <c r="AD662" i="59"/>
  <c r="Y662" i="59"/>
  <c r="BR659" i="59"/>
  <c r="DB665" i="59"/>
  <c r="BW665" i="59"/>
  <c r="V462" i="59"/>
  <c r="IZ630" i="59"/>
  <c r="IU630" i="59"/>
  <c r="IO630" i="59"/>
  <c r="ER630" i="59"/>
  <c r="EM630" i="59"/>
  <c r="EG630" i="59"/>
  <c r="EB630" i="59"/>
  <c r="DW630" i="59"/>
  <c r="DQ630" i="59"/>
  <c r="DL630" i="59"/>
  <c r="DG630" i="59"/>
  <c r="CR657" i="59"/>
  <c r="AM657" i="59"/>
  <c r="BZ657" i="59"/>
  <c r="GX656" i="59"/>
  <c r="CO656" i="59"/>
  <c r="AJ656" i="59"/>
  <c r="HR656" i="59"/>
  <c r="BZ656" i="59"/>
  <c r="IK656" i="59"/>
  <c r="CW653" i="59"/>
  <c r="AS653" i="59"/>
  <c r="AI653" i="59"/>
  <c r="II653" i="59"/>
  <c r="CC653" i="59"/>
  <c r="HY652" i="59"/>
  <c r="GH652" i="59"/>
  <c r="DA652" i="59"/>
  <c r="BJ652" i="59"/>
  <c r="II652" i="59"/>
  <c r="GS652" i="59"/>
  <c r="FB652" i="59"/>
  <c r="BU652" i="59"/>
  <c r="AD652" i="59"/>
  <c r="CS649" i="59"/>
  <c r="CT649" i="59"/>
  <c r="BK649" i="59"/>
  <c r="AE649" i="59"/>
  <c r="IB648" i="59"/>
  <c r="GK648" i="59"/>
  <c r="CS648" i="59"/>
  <c r="BC648" i="59"/>
  <c r="GV648" i="59"/>
  <c r="FE648" i="59"/>
  <c r="BM648" i="59"/>
  <c r="W648" i="59"/>
  <c r="BO645" i="59"/>
  <c r="BE645" i="59"/>
  <c r="BP645" i="59"/>
  <c r="II645" i="59"/>
  <c r="CO645" i="59"/>
  <c r="Y645" i="59"/>
  <c r="HE644" i="59"/>
  <c r="FN644" i="59"/>
  <c r="CI644" i="59"/>
  <c r="BC644" i="59"/>
  <c r="W644" i="59"/>
  <c r="HO644" i="59"/>
  <c r="FY644" i="59"/>
  <c r="CQ644" i="59"/>
  <c r="BK644" i="59"/>
  <c r="AE644" i="59"/>
  <c r="K643" i="59"/>
  <c r="L643" i="59" s="1"/>
  <c r="BO641" i="59"/>
  <c r="BP641" i="59"/>
  <c r="AR641" i="59"/>
  <c r="CR641" i="59"/>
  <c r="AJ641" i="59"/>
  <c r="IG640" i="59"/>
  <c r="HA640" i="59"/>
  <c r="FU640" i="59"/>
  <c r="DB640" i="59"/>
  <c r="CG640" i="59"/>
  <c r="BK640" i="59"/>
  <c r="AP640" i="59"/>
  <c r="HI640" i="59"/>
  <c r="GC640" i="59"/>
  <c r="EX640" i="59"/>
  <c r="CL640" i="59"/>
  <c r="BQ640" i="59"/>
  <c r="AU640" i="59"/>
  <c r="Z640" i="59"/>
  <c r="CS637" i="59"/>
  <c r="CT637" i="59"/>
  <c r="BK637" i="59"/>
  <c r="AP637" i="59"/>
  <c r="BF637" i="59"/>
  <c r="CD637" i="59"/>
  <c r="II637" i="59"/>
  <c r="BY637" i="59"/>
  <c r="AK637" i="59"/>
  <c r="IG636" i="59"/>
  <c r="GV636" i="59"/>
  <c r="FE636" i="59"/>
  <c r="BX636" i="59"/>
  <c r="AG636" i="59"/>
  <c r="GQ636" i="59"/>
  <c r="FU636" i="59"/>
  <c r="EZ636" i="59"/>
  <c r="BS636" i="59"/>
  <c r="AW636" i="59"/>
  <c r="AB636" i="59"/>
  <c r="CU633" i="59"/>
  <c r="CS633" i="59"/>
  <c r="CW633" i="59"/>
  <c r="BQ633" i="59"/>
  <c r="BA633" i="59"/>
  <c r="BM633" i="59"/>
  <c r="AW633" i="59"/>
  <c r="IU633" i="59"/>
  <c r="IK633" i="59"/>
  <c r="CG633" i="59"/>
  <c r="AK633" i="59"/>
  <c r="CC633" i="59"/>
  <c r="AG633" i="59"/>
  <c r="IO633" i="59"/>
  <c r="DU633" i="59"/>
  <c r="JA631" i="59"/>
  <c r="ES631" i="59"/>
  <c r="EH631" i="59"/>
  <c r="DV631" i="59"/>
  <c r="ET631" i="59"/>
  <c r="EK631" i="59"/>
  <c r="DZ631" i="59"/>
  <c r="DN631" i="59"/>
  <c r="DE631" i="59"/>
  <c r="DM631" i="59"/>
  <c r="P750" i="59"/>
  <c r="L750" i="59"/>
  <c r="I777" i="59"/>
  <c r="V415" i="59"/>
  <c r="V431" i="59"/>
  <c r="V514" i="59"/>
  <c r="V522" i="59"/>
  <c r="V542" i="59"/>
  <c r="IJ662" i="59"/>
  <c r="IF662" i="59"/>
  <c r="IB662" i="59"/>
  <c r="HW662" i="59"/>
  <c r="HR662" i="59"/>
  <c r="HL662" i="59"/>
  <c r="HG662" i="59"/>
  <c r="HB662" i="59"/>
  <c r="GV662" i="59"/>
  <c r="GQ662" i="59"/>
  <c r="GL662" i="59"/>
  <c r="GF662" i="59"/>
  <c r="GA662" i="59"/>
  <c r="FV662" i="59"/>
  <c r="FP662" i="59"/>
  <c r="FK662" i="59"/>
  <c r="FG662" i="59"/>
  <c r="FC662" i="59"/>
  <c r="EY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F659" i="59"/>
  <c r="AG659" i="59"/>
  <c r="IK658" i="59"/>
  <c r="IG658" i="59"/>
  <c r="IC658"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CU655" i="59"/>
  <c r="BS655" i="59"/>
  <c r="AQ655" i="59"/>
  <c r="II654" i="59"/>
  <c r="IE654" i="59"/>
  <c r="IA654" i="59"/>
  <c r="DA665" i="59"/>
  <c r="BX665" i="59"/>
  <c r="BT665" i="59"/>
  <c r="DA661" i="59"/>
  <c r="BU661" i="59"/>
  <c r="DA657" i="59"/>
  <c r="BV657" i="59"/>
  <c r="HG667" i="59"/>
  <c r="K661" i="59"/>
  <c r="L661" i="59"/>
  <c r="K657" i="59"/>
  <c r="L657" i="59" s="1"/>
  <c r="K653" i="59"/>
  <c r="L653" i="59"/>
  <c r="K649" i="59"/>
  <c r="L649" i="59" s="1"/>
  <c r="IG644" i="59"/>
  <c r="K641" i="59"/>
  <c r="L641" i="59"/>
  <c r="ID640" i="59"/>
  <c r="IF636" i="59"/>
  <c r="K633" i="59"/>
  <c r="L633" i="59"/>
  <c r="IA665" i="59"/>
  <c r="HV665" i="59"/>
  <c r="HQ665" i="59"/>
  <c r="HK665" i="59"/>
  <c r="HF665" i="59"/>
  <c r="HA665" i="59"/>
  <c r="GU665" i="59"/>
  <c r="GP665" i="59"/>
  <c r="HC663" i="59"/>
  <c r="J754" i="59"/>
  <c r="N754" i="59"/>
  <c r="H759" i="59"/>
  <c r="L759" i="59"/>
  <c r="P759" i="59"/>
  <c r="J759" i="59"/>
  <c r="N759" i="59"/>
  <c r="H763" i="59"/>
  <c r="L763" i="59"/>
  <c r="P763" i="59"/>
  <c r="H768" i="59"/>
  <c r="L768" i="59"/>
  <c r="P768" i="59"/>
  <c r="J772" i="59"/>
  <c r="N772" i="59"/>
  <c r="J781" i="59"/>
  <c r="F830" i="59"/>
  <c r="ES663" i="59"/>
  <c r="EB638" i="59"/>
  <c r="JF633" i="59"/>
  <c r="IW633" i="59"/>
  <c r="EO633" i="59"/>
  <c r="DY633" i="59"/>
  <c r="DI633" i="59"/>
  <c r="JI633" i="59"/>
  <c r="JA633" i="59"/>
  <c r="ES633" i="59"/>
  <c r="EC633" i="59"/>
  <c r="DM633" i="59"/>
  <c r="DI631" i="59"/>
  <c r="DQ631" i="59"/>
  <c r="DY631" i="59"/>
  <c r="EG631" i="59"/>
  <c r="EO631" i="59"/>
  <c r="IO631" i="59"/>
  <c r="IW631" i="59"/>
  <c r="EG633" i="59"/>
  <c r="JB633" i="59"/>
  <c r="IP631" i="59"/>
  <c r="IX631" i="59"/>
  <c r="DE633" i="59"/>
  <c r="EK633" i="59"/>
  <c r="JE633" i="59"/>
  <c r="IQ631" i="59"/>
  <c r="G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HY662" i="59"/>
  <c r="HU662" i="59"/>
  <c r="HQ662" i="59"/>
  <c r="HM662" i="59"/>
  <c r="HI662" i="59"/>
  <c r="HE662" i="59"/>
  <c r="HA662" i="59"/>
  <c r="GW662" i="59"/>
  <c r="GS662" i="59"/>
  <c r="GO662" i="59"/>
  <c r="GK662" i="59"/>
  <c r="GG662" i="59"/>
  <c r="GC662" i="59"/>
  <c r="FY662" i="59"/>
  <c r="FU662" i="59"/>
  <c r="FQ662" i="59"/>
  <c r="FM662" i="59"/>
  <c r="CV665" i="59"/>
  <c r="BP665" i="59"/>
  <c r="BL665" i="59"/>
  <c r="BH665" i="59"/>
  <c r="BD665" i="59"/>
  <c r="AZ665" i="59"/>
  <c r="AV665" i="59"/>
  <c r="AR665" i="59"/>
  <c r="CW665" i="59"/>
  <c r="CS665" i="59"/>
  <c r="BQ665" i="59"/>
  <c r="BM665" i="59"/>
  <c r="BI665" i="59"/>
  <c r="BE665" i="59"/>
  <c r="BA665" i="59"/>
  <c r="AW665" i="59"/>
  <c r="AS665" i="59"/>
  <c r="BR665" i="59"/>
  <c r="BJ665" i="59"/>
  <c r="BB665" i="59"/>
  <c r="AT665" i="59"/>
  <c r="CT665" i="59"/>
  <c r="BK665" i="59"/>
  <c r="AY665" i="59"/>
  <c r="AP665" i="59"/>
  <c r="BO665" i="59"/>
  <c r="BC665" i="59"/>
  <c r="BN665" i="59"/>
  <c r="AU665" i="59"/>
  <c r="BG665" i="59"/>
  <c r="CU665" i="59"/>
  <c r="BS665" i="59"/>
  <c r="AQ665" i="59"/>
  <c r="IK657" i="59"/>
  <c r="IG657" i="59"/>
  <c r="IC657" i="59"/>
  <c r="CO657" i="59"/>
  <c r="CK657" i="59"/>
  <c r="CG657" i="59"/>
  <c r="CC657" i="59"/>
  <c r="BY657" i="59"/>
  <c r="AO657" i="59"/>
  <c r="AK657" i="59"/>
  <c r="AG657" i="59"/>
  <c r="AC657" i="59"/>
  <c r="Y657" i="59"/>
  <c r="IJ657" i="59"/>
  <c r="IE657" i="59"/>
  <c r="CN657" i="59"/>
  <c r="CI657" i="59"/>
  <c r="CD657" i="59"/>
  <c r="AN657" i="59"/>
  <c r="AI657" i="59"/>
  <c r="AD657" i="59"/>
  <c r="X657" i="59"/>
  <c r="IL657" i="59"/>
  <c r="ID657" i="59"/>
  <c r="CP657" i="59"/>
  <c r="CH657" i="59"/>
  <c r="CA657" i="59"/>
  <c r="AH657" i="59"/>
  <c r="AA657" i="59"/>
  <c r="CM657" i="59"/>
  <c r="CE657" i="59"/>
  <c r="AF657" i="59"/>
  <c r="W657" i="59"/>
  <c r="IF657" i="59"/>
  <c r="CQ657" i="59"/>
  <c r="CF657" i="59"/>
  <c r="AJ657" i="59"/>
  <c r="Z657" i="59"/>
  <c r="JO656" i="59"/>
  <c r="II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CY656" i="59"/>
  <c r="CU656" i="59"/>
  <c r="CQ656" i="59"/>
  <c r="CM656" i="59"/>
  <c r="JM656" i="59"/>
  <c r="IL656" i="59"/>
  <c r="IB656" i="59"/>
  <c r="HV656" i="59"/>
  <c r="HQ656" i="59"/>
  <c r="HL656" i="59"/>
  <c r="HF656" i="59"/>
  <c r="HA656" i="59"/>
  <c r="GV656" i="59"/>
  <c r="GP656" i="59"/>
  <c r="GK656" i="59"/>
  <c r="GF656" i="59"/>
  <c r="FZ656" i="59"/>
  <c r="FU656" i="59"/>
  <c r="FP656" i="59"/>
  <c r="FJ656" i="59"/>
  <c r="FE656" i="59"/>
  <c r="EZ656" i="59"/>
  <c r="CX656" i="59"/>
  <c r="CS656" i="59"/>
  <c r="CN656" i="59"/>
  <c r="CI656" i="59"/>
  <c r="CE656" i="59"/>
  <c r="CA656" i="59"/>
  <c r="BW656" i="59"/>
  <c r="BS656" i="59"/>
  <c r="BO656" i="59"/>
  <c r="BK656" i="59"/>
  <c r="BG656" i="59"/>
  <c r="BC656" i="59"/>
  <c r="AY656" i="59"/>
  <c r="AU656" i="59"/>
  <c r="AQ656" i="59"/>
  <c r="AM656" i="59"/>
  <c r="AI656" i="59"/>
  <c r="AE656" i="59"/>
  <c r="AA656" i="59"/>
  <c r="W656" i="59"/>
  <c r="JL656" i="59"/>
  <c r="IJ656" i="59"/>
  <c r="HU656" i="59"/>
  <c r="HN656" i="59"/>
  <c r="HH656" i="59"/>
  <c r="GZ656" i="59"/>
  <c r="GS656" i="59"/>
  <c r="GL656" i="59"/>
  <c r="GD656" i="59"/>
  <c r="FX656" i="59"/>
  <c r="FQ656" i="59"/>
  <c r="FI656" i="59"/>
  <c r="FB656" i="59"/>
  <c r="EV656" i="59"/>
  <c r="CW656" i="59"/>
  <c r="CP656" i="59"/>
  <c r="CJ656" i="59"/>
  <c r="CD656" i="59"/>
  <c r="BY656" i="59"/>
  <c r="BT656" i="59"/>
  <c r="BN656" i="59"/>
  <c r="BI656" i="59"/>
  <c r="BD656" i="59"/>
  <c r="AX656" i="59"/>
  <c r="AS656" i="59"/>
  <c r="AN656" i="59"/>
  <c r="AH656" i="59"/>
  <c r="AC656" i="59"/>
  <c r="X656" i="59"/>
  <c r="JP656" i="59"/>
  <c r="HT656" i="59"/>
  <c r="HJ656" i="59"/>
  <c r="HB656" i="59"/>
  <c r="GR656" i="59"/>
  <c r="GH656" i="59"/>
  <c r="FY656" i="59"/>
  <c r="FN656" i="59"/>
  <c r="FF656" i="59"/>
  <c r="EW656" i="59"/>
  <c r="DA656" i="59"/>
  <c r="CR656" i="59"/>
  <c r="CH656" i="59"/>
  <c r="CB656" i="59"/>
  <c r="BU656" i="59"/>
  <c r="BM656" i="59"/>
  <c r="BF656" i="59"/>
  <c r="AZ656" i="59"/>
  <c r="AR656" i="59"/>
  <c r="AK656" i="59"/>
  <c r="AD656" i="59"/>
  <c r="V656" i="59"/>
  <c r="HX656" i="59"/>
  <c r="HM656" i="59"/>
  <c r="HD656" i="59"/>
  <c r="GT656" i="59"/>
  <c r="GJ656" i="59"/>
  <c r="GB656" i="59"/>
  <c r="FR656" i="59"/>
  <c r="FH656" i="59"/>
  <c r="EX656" i="59"/>
  <c r="DB656" i="59"/>
  <c r="CT656" i="59"/>
  <c r="CK656" i="59"/>
  <c r="CC656" i="59"/>
  <c r="BV656" i="59"/>
  <c r="BP656" i="59"/>
  <c r="BH656" i="59"/>
  <c r="BA656" i="59"/>
  <c r="AT656" i="59"/>
  <c r="AL656" i="59"/>
  <c r="AF656" i="59"/>
  <c r="Y656" i="59"/>
  <c r="JP654" i="59"/>
  <c r="JL654" i="59"/>
  <c r="JN654" i="59"/>
  <c r="JO646" i="59"/>
  <c r="JN646" i="59"/>
  <c r="JP646" i="59"/>
  <c r="IL645" i="59"/>
  <c r="IH645" i="59"/>
  <c r="ID645" i="59"/>
  <c r="CP645" i="59"/>
  <c r="CL645" i="59"/>
  <c r="CH645" i="59"/>
  <c r="CD645" i="59"/>
  <c r="BZ645" i="59"/>
  <c r="AL645" i="59"/>
  <c r="AH645" i="59"/>
  <c r="AD645" i="59"/>
  <c r="Z645" i="59"/>
  <c r="V645" i="59"/>
  <c r="IK645" i="59"/>
  <c r="IF645" i="59"/>
  <c r="CQ645" i="59"/>
  <c r="CK645" i="59"/>
  <c r="CF645" i="59"/>
  <c r="CA645" i="59"/>
  <c r="AK645" i="59"/>
  <c r="AF645" i="59"/>
  <c r="AA645" i="59"/>
  <c r="IG645" i="59"/>
  <c r="CR645" i="59"/>
  <c r="CM645" i="59"/>
  <c r="CG645" i="59"/>
  <c r="CB645" i="59"/>
  <c r="AM645" i="59"/>
  <c r="AG645" i="59"/>
  <c r="AB645" i="59"/>
  <c r="W645" i="59"/>
  <c r="JP644" i="59"/>
  <c r="JL644" i="59"/>
  <c r="IJ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IH644" i="59"/>
  <c r="HW644" i="59"/>
  <c r="HR644" i="59"/>
  <c r="HM644" i="59"/>
  <c r="HG644" i="59"/>
  <c r="HB644" i="59"/>
  <c r="GW644" i="59"/>
  <c r="GQ644" i="59"/>
  <c r="GL644" i="59"/>
  <c r="GG644" i="59"/>
  <c r="GA644" i="59"/>
  <c r="FV644" i="59"/>
  <c r="FQ644" i="59"/>
  <c r="FK644" i="59"/>
  <c r="FF644" i="59"/>
  <c r="FA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JO644" i="59"/>
  <c r="IY644" i="59"/>
  <c r="II644" i="59"/>
  <c r="HY644" i="59"/>
  <c r="HS644" i="59"/>
  <c r="HN644" i="59"/>
  <c r="HI644" i="59"/>
  <c r="HC644" i="59"/>
  <c r="GX644" i="59"/>
  <c r="GS644" i="59"/>
  <c r="GM644" i="59"/>
  <c r="GH644" i="59"/>
  <c r="GC644" i="59"/>
  <c r="FW644" i="59"/>
  <c r="FR644" i="59"/>
  <c r="FM644" i="59"/>
  <c r="FG644" i="59"/>
  <c r="FB644" i="59"/>
  <c r="EW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JN642" i="59"/>
  <c r="JO642" i="59"/>
  <c r="IJ637" i="59"/>
  <c r="IF637" i="59"/>
  <c r="CR637" i="59"/>
  <c r="CN637" i="59"/>
  <c r="CJ637" i="59"/>
  <c r="CF637" i="59"/>
  <c r="CB637" i="59"/>
  <c r="AN637" i="59"/>
  <c r="AJ637" i="59"/>
  <c r="AF637" i="59"/>
  <c r="AB637" i="59"/>
  <c r="X637" i="59"/>
  <c r="IL636" i="59"/>
  <c r="IH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V633" i="59"/>
  <c r="AD633" i="59"/>
  <c r="AL633" i="59"/>
  <c r="AT633" i="59"/>
  <c r="BB633" i="59"/>
  <c r="CD633" i="59"/>
  <c r="CL633" i="59"/>
  <c r="CT633" i="59"/>
  <c r="DJ633" i="59"/>
  <c r="DR633" i="59"/>
  <c r="DZ633" i="59"/>
  <c r="EH633" i="59"/>
  <c r="EL633" i="59"/>
  <c r="EP633" i="59"/>
  <c r="ET633" i="59"/>
  <c r="ID633" i="59"/>
  <c r="IL633" i="59"/>
  <c r="IP633" i="59"/>
  <c r="IT633" i="59"/>
  <c r="IX633" i="59"/>
  <c r="JN634" i="59"/>
  <c r="AC636" i="59"/>
  <c r="AN636" i="59"/>
  <c r="AY636" i="59"/>
  <c r="BI636" i="59"/>
  <c r="BT636" i="59"/>
  <c r="CE636" i="59"/>
  <c r="CO636" i="59"/>
  <c r="CZ636" i="59"/>
  <c r="FA636" i="59"/>
  <c r="FL636" i="59"/>
  <c r="FW636" i="59"/>
  <c r="GG636" i="59"/>
  <c r="GR636" i="59"/>
  <c r="HC636" i="59"/>
  <c r="IC636" i="59"/>
  <c r="V637" i="59"/>
  <c r="AG637" i="59"/>
  <c r="AW637" i="59"/>
  <c r="CE637" i="59"/>
  <c r="CK637" i="59"/>
  <c r="CU637" i="59"/>
  <c r="IK637" i="59"/>
  <c r="AA640" i="59"/>
  <c r="AL640" i="59"/>
  <c r="AW640" i="59"/>
  <c r="BG640" i="59"/>
  <c r="BR640" i="59"/>
  <c r="CC640" i="59"/>
  <c r="CM640" i="59"/>
  <c r="CS640" i="59"/>
  <c r="EY640" i="59"/>
  <c r="FN640" i="59"/>
  <c r="GD640" i="59"/>
  <c r="GT640" i="59"/>
  <c r="HJ640" i="59"/>
  <c r="HZ640" i="59"/>
  <c r="W641" i="59"/>
  <c r="AE641" i="59"/>
  <c r="AU641" i="59"/>
  <c r="BC641" i="59"/>
  <c r="BK641" i="59"/>
  <c r="BS641" i="59"/>
  <c r="AF644" i="59"/>
  <c r="AV644" i="59"/>
  <c r="BL644" i="59"/>
  <c r="CJ644" i="59"/>
  <c r="CZ644" i="59"/>
  <c r="FO644" i="59"/>
  <c r="HF644" i="59"/>
  <c r="AN645" i="59"/>
  <c r="BI645" i="59"/>
  <c r="CS645" i="59"/>
  <c r="K647" i="59"/>
  <c r="L647" i="59"/>
  <c r="AA648" i="59"/>
  <c r="AV648" i="59"/>
  <c r="BQ648" i="59"/>
  <c r="CM648" i="59"/>
  <c r="FI648" i="59"/>
  <c r="GE648" i="59"/>
  <c r="GO648" i="59"/>
  <c r="HK648" i="59"/>
  <c r="HU648" i="59"/>
  <c r="JL648" i="59"/>
  <c r="AI649" i="59"/>
  <c r="BE649" i="59"/>
  <c r="ID649" i="59"/>
  <c r="JL650" i="59"/>
  <c r="AE652" i="59"/>
  <c r="BA652" i="59"/>
  <c r="BV652" i="59"/>
  <c r="CQ652" i="59"/>
  <c r="FC652" i="59"/>
  <c r="FY652" i="59"/>
  <c r="HE652" i="59"/>
  <c r="HZ652" i="59"/>
  <c r="AB653" i="59"/>
  <c r="AW653" i="59"/>
  <c r="BH653" i="59"/>
  <c r="BS653" i="59"/>
  <c r="CG653" i="59"/>
  <c r="CR653" i="59"/>
  <c r="JM654" i="59"/>
  <c r="AO656" i="59"/>
  <c r="BQ656" i="59"/>
  <c r="CV656" i="59"/>
  <c r="FT656" i="59"/>
  <c r="GN656" i="59"/>
  <c r="HY656" i="59"/>
  <c r="AB657" i="59"/>
  <c r="CB657" i="59"/>
  <c r="W665" i="59"/>
  <c r="BZ665" i="59"/>
  <c r="JN663" i="59"/>
  <c r="IL663" i="59"/>
  <c r="IH663" i="59"/>
  <c r="ID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JP663" i="59"/>
  <c r="IJ663" i="59"/>
  <c r="IE663" i="59"/>
  <c r="HY663" i="59"/>
  <c r="HT663" i="59"/>
  <c r="HO663" i="59"/>
  <c r="HI663" i="59"/>
  <c r="HD663" i="59"/>
  <c r="GY663" i="59"/>
  <c r="GS663" i="59"/>
  <c r="GN663" i="59"/>
  <c r="GI663" i="59"/>
  <c r="GC663" i="59"/>
  <c r="FX663" i="59"/>
  <c r="FS663" i="59"/>
  <c r="FM663" i="59"/>
  <c r="FH663" i="59"/>
  <c r="FC663" i="59"/>
  <c r="EW663" i="59"/>
  <c r="DA663" i="59"/>
  <c r="CV663" i="59"/>
  <c r="CQ663" i="59"/>
  <c r="CK663" i="59"/>
  <c r="CF663" i="59"/>
  <c r="CA663" i="59"/>
  <c r="BU663" i="59"/>
  <c r="BP663" i="59"/>
  <c r="BK663" i="59"/>
  <c r="BE663" i="59"/>
  <c r="AZ663" i="59"/>
  <c r="AU663" i="59"/>
  <c r="AO663" i="59"/>
  <c r="AJ663" i="59"/>
  <c r="AE663" i="59"/>
  <c r="Y663" i="59"/>
  <c r="JM663" i="59"/>
  <c r="IK663" i="59"/>
  <c r="IC663" i="59"/>
  <c r="HW663" i="59"/>
  <c r="HP663" i="59"/>
  <c r="HH663" i="59"/>
  <c r="HA663" i="59"/>
  <c r="GU663" i="59"/>
  <c r="GM663" i="59"/>
  <c r="GF663" i="59"/>
  <c r="FY663" i="59"/>
  <c r="FQ663" i="59"/>
  <c r="FK663" i="59"/>
  <c r="FD663" i="59"/>
  <c r="EV663" i="59"/>
  <c r="CY663" i="59"/>
  <c r="CR663" i="59"/>
  <c r="CJ663" i="59"/>
  <c r="CC663" i="59"/>
  <c r="BW663" i="59"/>
  <c r="BO663" i="59"/>
  <c r="BH663" i="59"/>
  <c r="BA663" i="59"/>
  <c r="AS663" i="59"/>
  <c r="AM663" i="59"/>
  <c r="AF663" i="59"/>
  <c r="X663" i="59"/>
  <c r="IG663" i="59"/>
  <c r="HX663" i="59"/>
  <c r="HM663" i="59"/>
  <c r="HE663" i="59"/>
  <c r="GV663" i="59"/>
  <c r="GK663" i="59"/>
  <c r="GB663" i="59"/>
  <c r="FT663" i="59"/>
  <c r="FI663" i="59"/>
  <c r="EZ663" i="59"/>
  <c r="CU663" i="59"/>
  <c r="CM663" i="59"/>
  <c r="CB663" i="59"/>
  <c r="BS663" i="59"/>
  <c r="BI663" i="59"/>
  <c r="AY663" i="59"/>
  <c r="AQ663" i="59"/>
  <c r="AG663" i="59"/>
  <c r="W663" i="59"/>
  <c r="JL663" i="59"/>
  <c r="IA663" i="59"/>
  <c r="HL663" i="59"/>
  <c r="GZ663" i="59"/>
  <c r="GO663" i="59"/>
  <c r="GA663" i="59"/>
  <c r="FO663" i="59"/>
  <c r="FA663" i="59"/>
  <c r="CO663" i="59"/>
  <c r="CE663" i="59"/>
  <c r="BQ663" i="59"/>
  <c r="BD663" i="59"/>
  <c r="AR663" i="59"/>
  <c r="AC663" i="59"/>
  <c r="IB663" i="59"/>
  <c r="HK663" i="59"/>
  <c r="GR663" i="59"/>
  <c r="GE663" i="59"/>
  <c r="FL663" i="59"/>
  <c r="CW663" i="59"/>
  <c r="CG663" i="59"/>
  <c r="BM663" i="59"/>
  <c r="AW663" i="59"/>
  <c r="AI663" i="59"/>
  <c r="JO663" i="59"/>
  <c r="IF663" i="59"/>
  <c r="HQ663" i="59"/>
  <c r="GW663" i="59"/>
  <c r="GG663" i="59"/>
  <c r="FP663" i="59"/>
  <c r="EY663" i="59"/>
  <c r="CZ663" i="59"/>
  <c r="CI663" i="59"/>
  <c r="BT663" i="59"/>
  <c r="BC663" i="59"/>
  <c r="AK663" i="59"/>
  <c r="JP661" i="59"/>
  <c r="JL661" i="59"/>
  <c r="JN661" i="59"/>
  <c r="JM661" i="59"/>
  <c r="IF652" i="59"/>
  <c r="IG652" i="59"/>
  <c r="IC652" i="59"/>
  <c r="JN651" i="59"/>
  <c r="IL651" i="59"/>
  <c r="IH651" i="59"/>
  <c r="ID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JP651" i="59"/>
  <c r="IJ651" i="59"/>
  <c r="IE651" i="59"/>
  <c r="HY651" i="59"/>
  <c r="HT651" i="59"/>
  <c r="HO651" i="59"/>
  <c r="HI651" i="59"/>
  <c r="HD651" i="59"/>
  <c r="GY651" i="59"/>
  <c r="GS651" i="59"/>
  <c r="GN651" i="59"/>
  <c r="GI651" i="59"/>
  <c r="GC651" i="59"/>
  <c r="FX651" i="59"/>
  <c r="FS651" i="59"/>
  <c r="FM651" i="59"/>
  <c r="FH651" i="59"/>
  <c r="FC651" i="59"/>
  <c r="EW651" i="59"/>
  <c r="DA651" i="59"/>
  <c r="CV651" i="59"/>
  <c r="CQ651" i="59"/>
  <c r="CK651" i="59"/>
  <c r="CF651" i="59"/>
  <c r="CA651" i="59"/>
  <c r="BU651" i="59"/>
  <c r="BP651" i="59"/>
  <c r="BK651" i="59"/>
  <c r="BE651" i="59"/>
  <c r="AZ651" i="59"/>
  <c r="AU651" i="59"/>
  <c r="AO651" i="59"/>
  <c r="AJ651" i="59"/>
  <c r="AE651" i="59"/>
  <c r="Y651" i="59"/>
  <c r="JL651" i="59"/>
  <c r="IK651" i="59"/>
  <c r="IF651" i="59"/>
  <c r="IA651" i="59"/>
  <c r="HU651" i="59"/>
  <c r="HP651" i="59"/>
  <c r="HK651" i="59"/>
  <c r="HE651" i="59"/>
  <c r="GZ651" i="59"/>
  <c r="GU651" i="59"/>
  <c r="GO651" i="59"/>
  <c r="GJ651" i="59"/>
  <c r="GE651" i="59"/>
  <c r="FY651" i="59"/>
  <c r="FT651" i="59"/>
  <c r="FO651" i="59"/>
  <c r="FI651" i="59"/>
  <c r="FD651" i="59"/>
  <c r="EY651" i="59"/>
  <c r="CW651" i="59"/>
  <c r="CR651" i="59"/>
  <c r="CM651" i="59"/>
  <c r="CG651" i="59"/>
  <c r="CB651" i="59"/>
  <c r="BW651" i="59"/>
  <c r="BQ651" i="59"/>
  <c r="BL651" i="59"/>
  <c r="BG651" i="59"/>
  <c r="BA651" i="59"/>
  <c r="AV651" i="59"/>
  <c r="AQ651" i="59"/>
  <c r="AK651" i="59"/>
  <c r="AF651" i="59"/>
  <c r="AA651" i="59"/>
  <c r="K650" i="59"/>
  <c r="L650" i="59"/>
  <c r="JP649" i="59"/>
  <c r="JL649" i="59"/>
  <c r="JM649" i="59"/>
  <c r="K646" i="59"/>
  <c r="L646" i="59" s="1"/>
  <c r="K642" i="59"/>
  <c r="L642" i="59" s="1"/>
  <c r="JP637" i="59"/>
  <c r="JL637" i="59"/>
  <c r="AA631" i="59"/>
  <c r="AE631" i="59"/>
  <c r="AM631" i="59"/>
  <c r="AU631" i="59"/>
  <c r="BC631" i="59"/>
  <c r="BG631" i="59"/>
  <c r="BO631" i="59"/>
  <c r="BS631" i="59"/>
  <c r="CA631" i="59"/>
  <c r="CI631" i="59"/>
  <c r="CM631" i="59"/>
  <c r="CU631" i="59"/>
  <c r="DC631" i="59"/>
  <c r="DG631" i="59"/>
  <c r="DO631" i="59"/>
  <c r="DS631" i="59"/>
  <c r="EA631" i="59"/>
  <c r="EI631" i="59"/>
  <c r="EQ631" i="59"/>
  <c r="EY631" i="59"/>
  <c r="II631" i="59"/>
  <c r="IM631" i="59"/>
  <c r="IU631" i="59"/>
  <c r="IY631" i="59"/>
  <c r="JG631" i="59"/>
  <c r="JK631" i="59"/>
  <c r="A633" i="59"/>
  <c r="AA633" i="59"/>
  <c r="AI633" i="59"/>
  <c r="AU633" i="59"/>
  <c r="BC633" i="59"/>
  <c r="BK633" i="59"/>
  <c r="CE633" i="59"/>
  <c r="CM633" i="59"/>
  <c r="DG633" i="59"/>
  <c r="DO633" i="59"/>
  <c r="DW633" i="59"/>
  <c r="EE633" i="59"/>
  <c r="IE633" i="59"/>
  <c r="II633" i="59"/>
  <c r="IQ633" i="59"/>
  <c r="IY633" i="59"/>
  <c r="JG633" i="59"/>
  <c r="JK633" i="59"/>
  <c r="V635" i="59"/>
  <c r="AG635" i="59"/>
  <c r="AL635" i="59"/>
  <c r="AW635" i="59"/>
  <c r="BB635" i="59"/>
  <c r="BM635" i="59"/>
  <c r="BR635" i="59"/>
  <c r="CC635" i="59"/>
  <c r="CM635" i="59"/>
  <c r="CS635" i="59"/>
  <c r="FE635" i="59"/>
  <c r="FJ635" i="59"/>
  <c r="FU635" i="59"/>
  <c r="GE635" i="59"/>
  <c r="GK635" i="59"/>
  <c r="GP635" i="59"/>
  <c r="GU635" i="59"/>
  <c r="HA635" i="59"/>
  <c r="HK635" i="59"/>
  <c r="HQ635" i="59"/>
  <c r="HV635" i="59"/>
  <c r="IA635" i="59"/>
  <c r="IG635" i="59"/>
  <c r="IL635" i="59"/>
  <c r="JM635" i="59"/>
  <c r="Y636" i="59"/>
  <c r="AJ636" i="59"/>
  <c r="AU636" i="59"/>
  <c r="BE636" i="59"/>
  <c r="BP636" i="59"/>
  <c r="BU636" i="59"/>
  <c r="CF636" i="59"/>
  <c r="CQ636" i="59"/>
  <c r="DA636" i="59"/>
  <c r="FC636" i="59"/>
  <c r="FM636" i="59"/>
  <c r="FS636" i="59"/>
  <c r="GC636" i="59"/>
  <c r="GN636" i="59"/>
  <c r="GS636" i="59"/>
  <c r="HD636" i="59"/>
  <c r="HI636" i="59"/>
  <c r="HT636" i="59"/>
  <c r="HY636" i="59"/>
  <c r="IJ636" i="59"/>
  <c r="W637" i="59"/>
  <c r="AH637" i="59"/>
  <c r="AM637" i="59"/>
  <c r="AX637" i="59"/>
  <c r="BC637" i="59"/>
  <c r="BI637" i="59"/>
  <c r="BN637" i="59"/>
  <c r="BS637" i="59"/>
  <c r="CG637" i="59"/>
  <c r="IL637" i="59"/>
  <c r="JM637" i="59"/>
  <c r="K638" i="59"/>
  <c r="X631" i="59"/>
  <c r="AB631" i="59"/>
  <c r="AF631" i="59"/>
  <c r="AJ631" i="59"/>
  <c r="AN631" i="59"/>
  <c r="AR631" i="59"/>
  <c r="AV631" i="59"/>
  <c r="AZ631" i="59"/>
  <c r="BD631" i="59"/>
  <c r="BH631" i="59"/>
  <c r="BL631" i="59"/>
  <c r="BP631" i="59"/>
  <c r="BT631" i="59"/>
  <c r="BX631" i="59"/>
  <c r="CB631" i="59"/>
  <c r="CF631" i="59"/>
  <c r="CJ631" i="59"/>
  <c r="CN631" i="59"/>
  <c r="CR631" i="59"/>
  <c r="CV631" i="59"/>
  <c r="CZ631" i="59"/>
  <c r="DD631" i="59"/>
  <c r="DH631" i="59"/>
  <c r="DL631" i="59"/>
  <c r="DP631" i="59"/>
  <c r="DT631" i="59"/>
  <c r="DX631" i="59"/>
  <c r="EB631" i="59"/>
  <c r="EF631" i="59"/>
  <c r="EJ631" i="59"/>
  <c r="EN631" i="59"/>
  <c r="ER631" i="59"/>
  <c r="EV631" i="59"/>
  <c r="EZ631" i="59"/>
  <c r="IF631" i="59"/>
  <c r="IJ631" i="59"/>
  <c r="IN631" i="59"/>
  <c r="IR631" i="59"/>
  <c r="IV631" i="59"/>
  <c r="IZ631" i="59"/>
  <c r="JH631" i="59"/>
  <c r="X633" i="59"/>
  <c r="AB633" i="59"/>
  <c r="AF633" i="59"/>
  <c r="AJ633" i="59"/>
  <c r="AN633" i="59"/>
  <c r="AR633" i="59"/>
  <c r="AV633" i="59"/>
  <c r="AZ633" i="59"/>
  <c r="BD633" i="59"/>
  <c r="BH633" i="59"/>
  <c r="BL633" i="59"/>
  <c r="BP633" i="59"/>
  <c r="CB633" i="59"/>
  <c r="CF633" i="59"/>
  <c r="CJ633" i="59"/>
  <c r="CN633" i="59"/>
  <c r="CR633" i="59"/>
  <c r="CV633" i="59"/>
  <c r="DD633" i="59"/>
  <c r="DH633" i="59"/>
  <c r="DL633" i="59"/>
  <c r="DP633" i="59"/>
  <c r="DT633" i="59"/>
  <c r="DX633" i="59"/>
  <c r="EB633" i="59"/>
  <c r="EF633" i="59"/>
  <c r="EJ633" i="59"/>
  <c r="EN633" i="59"/>
  <c r="ER633" i="59"/>
  <c r="IF633" i="59"/>
  <c r="IJ633" i="59"/>
  <c r="IN633" i="59"/>
  <c r="IR633" i="59"/>
  <c r="IV633" i="59"/>
  <c r="IZ633" i="59"/>
  <c r="JD633" i="59"/>
  <c r="JH633" i="59"/>
  <c r="JL633" i="59"/>
  <c r="JP633" i="59"/>
  <c r="W635" i="59"/>
  <c r="AC635" i="59"/>
  <c r="AH635" i="59"/>
  <c r="AM635" i="59"/>
  <c r="AS635" i="59"/>
  <c r="AX635" i="59"/>
  <c r="BC635" i="59"/>
  <c r="BI635" i="59"/>
  <c r="BN635" i="59"/>
  <c r="BS635" i="59"/>
  <c r="BY635" i="59"/>
  <c r="CD635" i="59"/>
  <c r="CI635" i="59"/>
  <c r="CO635" i="59"/>
  <c r="CT635" i="59"/>
  <c r="CY635" i="59"/>
  <c r="FA635" i="59"/>
  <c r="FF635" i="59"/>
  <c r="FK635" i="59"/>
  <c r="FQ635" i="59"/>
  <c r="FV635" i="59"/>
  <c r="GA635" i="59"/>
  <c r="GG635" i="59"/>
  <c r="GL635" i="59"/>
  <c r="GQ635" i="59"/>
  <c r="GW635" i="59"/>
  <c r="HB635" i="59"/>
  <c r="HG635" i="59"/>
  <c r="HM635" i="59"/>
  <c r="HR635" i="59"/>
  <c r="HW635" i="59"/>
  <c r="IC635" i="59"/>
  <c r="IH635" i="59"/>
  <c r="AA636" i="59"/>
  <c r="AF636" i="59"/>
  <c r="AK636" i="59"/>
  <c r="AQ636" i="59"/>
  <c r="AV636" i="59"/>
  <c r="BA636" i="59"/>
  <c r="BG636" i="59"/>
  <c r="BL636" i="59"/>
  <c r="BQ636" i="59"/>
  <c r="BW636" i="59"/>
  <c r="CB636" i="59"/>
  <c r="CG636" i="59"/>
  <c r="CM636" i="59"/>
  <c r="CR636" i="59"/>
  <c r="CW636" i="59"/>
  <c r="EY636" i="59"/>
  <c r="FD636" i="59"/>
  <c r="FI636" i="59"/>
  <c r="FO636" i="59"/>
  <c r="FT636" i="59"/>
  <c r="FY636" i="59"/>
  <c r="GE636" i="59"/>
  <c r="GJ636" i="59"/>
  <c r="GO636" i="59"/>
  <c r="GU636" i="59"/>
  <c r="GZ636" i="59"/>
  <c r="HE636" i="59"/>
  <c r="HK636" i="59"/>
  <c r="HP636" i="59"/>
  <c r="HU636" i="59"/>
  <c r="IA636" i="59"/>
  <c r="IK636" i="59"/>
  <c r="Y637" i="59"/>
  <c r="AD637" i="59"/>
  <c r="AI637" i="59"/>
  <c r="AO637" i="59"/>
  <c r="AT637" i="59"/>
  <c r="AY637" i="59"/>
  <c r="BE637" i="59"/>
  <c r="BJ637" i="59"/>
  <c r="BO637" i="59"/>
  <c r="CC637" i="59"/>
  <c r="CH637" i="59"/>
  <c r="CM637" i="59"/>
  <c r="IC637" i="59"/>
  <c r="IH637" i="59"/>
  <c r="JN637" i="59"/>
  <c r="L638" i="59"/>
  <c r="BX639" i="59"/>
  <c r="CY639" i="59"/>
  <c r="EZ639" i="59"/>
  <c r="FE639" i="59"/>
  <c r="FK639" i="59"/>
  <c r="FP639" i="59"/>
  <c r="FU639" i="59"/>
  <c r="GA639" i="59"/>
  <c r="GF639" i="59"/>
  <c r="GK639" i="59"/>
  <c r="GQ639" i="59"/>
  <c r="GV639" i="59"/>
  <c r="HA639" i="59"/>
  <c r="HG639" i="59"/>
  <c r="HL639" i="59"/>
  <c r="HQ639" i="59"/>
  <c r="HW639" i="59"/>
  <c r="IB639" i="59"/>
  <c r="Y640" i="59"/>
  <c r="AD640" i="59"/>
  <c r="AI640" i="59"/>
  <c r="AO640" i="59"/>
  <c r="AT640" i="59"/>
  <c r="AY640" i="59"/>
  <c r="BE640" i="59"/>
  <c r="BJ640" i="59"/>
  <c r="BO640" i="59"/>
  <c r="BU640" i="59"/>
  <c r="BZ640" i="59"/>
  <c r="CE640" i="59"/>
  <c r="CK640" i="59"/>
  <c r="CP640" i="59"/>
  <c r="CU640" i="59"/>
  <c r="DA640" i="59"/>
  <c r="EW640" i="59"/>
  <c r="FB640" i="59"/>
  <c r="FJ640" i="59"/>
  <c r="FR640" i="59"/>
  <c r="FZ640" i="59"/>
  <c r="GH640" i="59"/>
  <c r="GP640" i="59"/>
  <c r="GX640" i="59"/>
  <c r="HF640" i="59"/>
  <c r="HN640" i="59"/>
  <c r="HV640" i="59"/>
  <c r="IL640" i="59"/>
  <c r="AA641" i="59"/>
  <c r="AI641" i="59"/>
  <c r="AQ641" i="59"/>
  <c r="AY641" i="59"/>
  <c r="BG641" i="59"/>
  <c r="CA641" i="59"/>
  <c r="CI641" i="59"/>
  <c r="CQ641" i="59"/>
  <c r="IJ641" i="59"/>
  <c r="JM642" i="59"/>
  <c r="V643" i="59"/>
  <c r="AD643" i="59"/>
  <c r="AL643" i="59"/>
  <c r="AT643" i="59"/>
  <c r="BB643" i="59"/>
  <c r="BJ643" i="59"/>
  <c r="BR643" i="59"/>
  <c r="BZ643" i="59"/>
  <c r="CH643" i="59"/>
  <c r="CP643" i="59"/>
  <c r="CX643" i="59"/>
  <c r="FB643" i="59"/>
  <c r="FJ643" i="59"/>
  <c r="FR643" i="59"/>
  <c r="FZ643" i="59"/>
  <c r="GH643" i="59"/>
  <c r="GP643" i="59"/>
  <c r="GX643" i="59"/>
  <c r="HF643" i="59"/>
  <c r="HN643" i="59"/>
  <c r="HV643" i="59"/>
  <c r="ID643" i="59"/>
  <c r="IL643" i="59"/>
  <c r="AB644" i="59"/>
  <c r="AJ644" i="59"/>
  <c r="AR644" i="59"/>
  <c r="AZ644" i="59"/>
  <c r="BH644" i="59"/>
  <c r="BP644" i="59"/>
  <c r="BX644" i="59"/>
  <c r="CF644" i="59"/>
  <c r="CN644" i="59"/>
  <c r="CV644" i="59"/>
  <c r="EY644" i="59"/>
  <c r="FJ644" i="59"/>
  <c r="FU644" i="59"/>
  <c r="GE644" i="59"/>
  <c r="GP644" i="59"/>
  <c r="HA644" i="59"/>
  <c r="HK644" i="59"/>
  <c r="HV644" i="59"/>
  <c r="JM644" i="59"/>
  <c r="X645" i="59"/>
  <c r="AI645" i="59"/>
  <c r="AS645" i="59"/>
  <c r="BD645" i="59"/>
  <c r="CC645" i="59"/>
  <c r="CN645" i="59"/>
  <c r="IE645" i="59"/>
  <c r="JM646" i="59"/>
  <c r="Y647" i="59"/>
  <c r="AI647" i="59"/>
  <c r="AT647" i="59"/>
  <c r="BE647" i="59"/>
  <c r="BO647" i="59"/>
  <c r="BZ647" i="59"/>
  <c r="CK647" i="59"/>
  <c r="CU647" i="59"/>
  <c r="EW647" i="59"/>
  <c r="FG647" i="59"/>
  <c r="FR647" i="59"/>
  <c r="GC647" i="59"/>
  <c r="GM647" i="59"/>
  <c r="GX647" i="59"/>
  <c r="HI647" i="59"/>
  <c r="HS647" i="59"/>
  <c r="ID647" i="59"/>
  <c r="AF648" i="59"/>
  <c r="AQ648" i="59"/>
  <c r="BA648" i="59"/>
  <c r="BL648" i="59"/>
  <c r="BW648" i="59"/>
  <c r="CG648" i="59"/>
  <c r="CR648" i="59"/>
  <c r="FD648" i="59"/>
  <c r="FO648" i="59"/>
  <c r="FY648" i="59"/>
  <c r="GJ648" i="59"/>
  <c r="GU648" i="59"/>
  <c r="HE648" i="59"/>
  <c r="HP648" i="59"/>
  <c r="IA648" i="59"/>
  <c r="IK648" i="59"/>
  <c r="AD649" i="59"/>
  <c r="AO649" i="59"/>
  <c r="AY649" i="59"/>
  <c r="BJ649" i="59"/>
  <c r="CH649" i="59"/>
  <c r="II649" i="59"/>
  <c r="JO649" i="59"/>
  <c r="K651" i="59"/>
  <c r="L651" i="59"/>
  <c r="AC651" i="59"/>
  <c r="AN651" i="59"/>
  <c r="AY651" i="59"/>
  <c r="BI651" i="59"/>
  <c r="BT651" i="59"/>
  <c r="CE651" i="59"/>
  <c r="CO651" i="59"/>
  <c r="CZ651" i="59"/>
  <c r="FA651" i="59"/>
  <c r="FL651" i="59"/>
  <c r="FW651" i="59"/>
  <c r="GG651" i="59"/>
  <c r="GR651" i="59"/>
  <c r="HC651" i="59"/>
  <c r="HM651" i="59"/>
  <c r="HX651" i="59"/>
  <c r="II651" i="59"/>
  <c r="JO651" i="59"/>
  <c r="Z652" i="59"/>
  <c r="AK652" i="59"/>
  <c r="AU652" i="59"/>
  <c r="BF652" i="59"/>
  <c r="BQ652" i="59"/>
  <c r="CA652" i="59"/>
  <c r="CL652" i="59"/>
  <c r="CW652" i="59"/>
  <c r="EX652" i="59"/>
  <c r="FI652" i="59"/>
  <c r="FS652" i="59"/>
  <c r="GD652" i="59"/>
  <c r="GO652" i="59"/>
  <c r="GY652" i="59"/>
  <c r="HJ652" i="59"/>
  <c r="HU652" i="59"/>
  <c r="IE652" i="59"/>
  <c r="W653" i="59"/>
  <c r="AG653" i="59"/>
  <c r="AR653" i="59"/>
  <c r="BC653" i="59"/>
  <c r="BM653" i="59"/>
  <c r="CB653" i="59"/>
  <c r="CM653" i="59"/>
  <c r="IG653" i="59"/>
  <c r="V655" i="59"/>
  <c r="AI655" i="59"/>
  <c r="AX655" i="59"/>
  <c r="BL655" i="59"/>
  <c r="BZ655" i="59"/>
  <c r="CN655" i="59"/>
  <c r="FG655" i="59"/>
  <c r="FV655" i="59"/>
  <c r="GJ655" i="59"/>
  <c r="GX655" i="59"/>
  <c r="HL655" i="59"/>
  <c r="IA655" i="59"/>
  <c r="AG656" i="59"/>
  <c r="AV656" i="59"/>
  <c r="BJ656" i="59"/>
  <c r="BX656" i="59"/>
  <c r="CL656" i="59"/>
  <c r="FL656" i="59"/>
  <c r="GC656" i="59"/>
  <c r="GW656" i="59"/>
  <c r="HP656" i="59"/>
  <c r="IH656" i="59"/>
  <c r="AL657" i="59"/>
  <c r="CL657" i="59"/>
  <c r="II657" i="59"/>
  <c r="V659" i="59"/>
  <c r="AP659" i="59"/>
  <c r="BI659" i="59"/>
  <c r="CB659" i="59"/>
  <c r="CT659" i="59"/>
  <c r="EZ659" i="59"/>
  <c r="FT659" i="59"/>
  <c r="GK659" i="59"/>
  <c r="HE659" i="59"/>
  <c r="HX659" i="59"/>
  <c r="JO661" i="59"/>
  <c r="AB663" i="59"/>
  <c r="BL663" i="59"/>
  <c r="CS663" i="59"/>
  <c r="FG663" i="59"/>
  <c r="GQ663" i="59"/>
  <c r="HU663" i="59"/>
  <c r="BF665" i="59"/>
  <c r="K667" i="59"/>
  <c r="L667" i="59" s="1"/>
  <c r="IU665" i="59"/>
  <c r="II665" i="59"/>
  <c r="IE665" i="59"/>
  <c r="IH665" i="59"/>
  <c r="IC665" i="59"/>
  <c r="CR665" i="59"/>
  <c r="CN665" i="59"/>
  <c r="CJ665" i="59"/>
  <c r="CF665" i="59"/>
  <c r="CB665" i="59"/>
  <c r="AN665" i="59"/>
  <c r="AJ665" i="59"/>
  <c r="AF665" i="59"/>
  <c r="AB665" i="59"/>
  <c r="X665" i="59"/>
  <c r="IJ665" i="59"/>
  <c r="ID665" i="59"/>
  <c r="CO665" i="59"/>
  <c r="CK665" i="59"/>
  <c r="CG665" i="59"/>
  <c r="CC665" i="59"/>
  <c r="BY665" i="59"/>
  <c r="AO665" i="59"/>
  <c r="AK665" i="59"/>
  <c r="AG665" i="59"/>
  <c r="AC665" i="59"/>
  <c r="Y665" i="59"/>
  <c r="IL665" i="59"/>
  <c r="CQ665" i="59"/>
  <c r="CI665" i="59"/>
  <c r="CA665" i="59"/>
  <c r="AL665" i="59"/>
  <c r="AD665" i="59"/>
  <c r="V665" i="59"/>
  <c r="IG665" i="59"/>
  <c r="CH665" i="59"/>
  <c r="AE665" i="59"/>
  <c r="IK665" i="59"/>
  <c r="CP665" i="59"/>
  <c r="CD665" i="59"/>
  <c r="AM665" i="59"/>
  <c r="Z665" i="59"/>
  <c r="CE665" i="59"/>
  <c r="AA665" i="59"/>
  <c r="CL665" i="59"/>
  <c r="AI665" i="59"/>
  <c r="AH665" i="59"/>
  <c r="JI664" i="59"/>
  <c r="EM664" i="59"/>
  <c r="EG661" i="59"/>
  <c r="II660" i="59"/>
  <c r="EE660" i="59"/>
  <c r="HZ660" i="59"/>
  <c r="K655" i="59"/>
  <c r="L655" i="59"/>
  <c r="CT653" i="59"/>
  <c r="BR653" i="59"/>
  <c r="BN653" i="59"/>
  <c r="BJ653" i="59"/>
  <c r="BF653" i="59"/>
  <c r="BB653" i="59"/>
  <c r="AX653" i="59"/>
  <c r="AT653" i="59"/>
  <c r="AP653" i="59"/>
  <c r="CU653" i="59"/>
  <c r="BP653" i="59"/>
  <c r="BK653" i="59"/>
  <c r="BE653" i="59"/>
  <c r="AZ653" i="59"/>
  <c r="AU653" i="59"/>
  <c r="CV653" i="59"/>
  <c r="BQ653" i="59"/>
  <c r="BL653" i="59"/>
  <c r="BG653" i="59"/>
  <c r="BA653" i="59"/>
  <c r="AV653" i="59"/>
  <c r="AQ653" i="59"/>
  <c r="IP653" i="59"/>
  <c r="IL653" i="59"/>
  <c r="IH653" i="59"/>
  <c r="ID653" i="59"/>
  <c r="ET653" i="59"/>
  <c r="CP653" i="59"/>
  <c r="CL653" i="59"/>
  <c r="CH653" i="59"/>
  <c r="CD653" i="59"/>
  <c r="BZ653" i="59"/>
  <c r="AL653" i="59"/>
  <c r="AH653" i="59"/>
  <c r="AD653" i="59"/>
  <c r="Z653" i="59"/>
  <c r="V653" i="59"/>
  <c r="IJ653" i="59"/>
  <c r="IE653" i="59"/>
  <c r="CO653" i="59"/>
  <c r="CJ653" i="59"/>
  <c r="CE653" i="59"/>
  <c r="BY653" i="59"/>
  <c r="AO653" i="59"/>
  <c r="AJ653" i="59"/>
  <c r="AE653" i="59"/>
  <c r="Y653" i="59"/>
  <c r="IK653" i="59"/>
  <c r="IF653" i="59"/>
  <c r="CQ653" i="59"/>
  <c r="CK653" i="59"/>
  <c r="CF653" i="59"/>
  <c r="CA653" i="59"/>
  <c r="AK653" i="59"/>
  <c r="AF653" i="59"/>
  <c r="AA653" i="59"/>
  <c r="JP652" i="59"/>
  <c r="JL652" i="59"/>
  <c r="IJ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JM652" i="59"/>
  <c r="IL652" i="59"/>
  <c r="IA652" i="59"/>
  <c r="HV652" i="59"/>
  <c r="HQ652" i="59"/>
  <c r="HK652" i="59"/>
  <c r="HF652" i="59"/>
  <c r="HA652" i="59"/>
  <c r="GU652" i="59"/>
  <c r="GP652" i="59"/>
  <c r="GK652" i="59"/>
  <c r="GE652" i="59"/>
  <c r="FZ652" i="59"/>
  <c r="FU652" i="59"/>
  <c r="FO652" i="59"/>
  <c r="FJ652" i="59"/>
  <c r="FE652" i="59"/>
  <c r="EY652" i="59"/>
  <c r="CX652" i="59"/>
  <c r="CS652" i="59"/>
  <c r="CM652" i="59"/>
  <c r="CH652" i="59"/>
  <c r="CC652" i="59"/>
  <c r="BW652" i="59"/>
  <c r="BR652" i="59"/>
  <c r="BM652" i="59"/>
  <c r="BG652" i="59"/>
  <c r="BB652" i="59"/>
  <c r="AW652" i="59"/>
  <c r="AQ652" i="59"/>
  <c r="AL652" i="59"/>
  <c r="AG652" i="59"/>
  <c r="AA652" i="59"/>
  <c r="V652" i="59"/>
  <c r="JN652" i="59"/>
  <c r="IH652" i="59"/>
  <c r="HW652" i="59"/>
  <c r="HR652" i="59"/>
  <c r="HM652" i="59"/>
  <c r="HG652" i="59"/>
  <c r="HB652" i="59"/>
  <c r="GW652" i="59"/>
  <c r="GQ652" i="59"/>
  <c r="GL652" i="59"/>
  <c r="GG652" i="59"/>
  <c r="GA652" i="59"/>
  <c r="FV652" i="59"/>
  <c r="FQ652" i="59"/>
  <c r="FK652" i="59"/>
  <c r="FF652" i="59"/>
  <c r="FA652" i="59"/>
  <c r="DJ652" i="59"/>
  <c r="CY652" i="59"/>
  <c r="CT652" i="59"/>
  <c r="CO652" i="59"/>
  <c r="CI652" i="59"/>
  <c r="CD652" i="59"/>
  <c r="BY652" i="59"/>
  <c r="BS652" i="59"/>
  <c r="BN652" i="59"/>
  <c r="BI652" i="59"/>
  <c r="BC652" i="59"/>
  <c r="AX652" i="59"/>
  <c r="AS652" i="59"/>
  <c r="AM652" i="59"/>
  <c r="AH652" i="59"/>
  <c r="AC652" i="59"/>
  <c r="W652" i="59"/>
  <c r="JM650" i="59"/>
  <c r="JN650" i="59"/>
  <c r="JO650" i="59"/>
  <c r="CV649" i="59"/>
  <c r="BP649" i="59"/>
  <c r="BL649" i="59"/>
  <c r="BH649" i="59"/>
  <c r="BD649" i="59"/>
  <c r="AZ649" i="59"/>
  <c r="AV649" i="59"/>
  <c r="AR649" i="59"/>
  <c r="CU649" i="59"/>
  <c r="BR649" i="59"/>
  <c r="BM649" i="59"/>
  <c r="BG649" i="59"/>
  <c r="BB649" i="59"/>
  <c r="AW649" i="59"/>
  <c r="AQ649" i="59"/>
  <c r="CW649" i="59"/>
  <c r="BS649" i="59"/>
  <c r="BN649" i="59"/>
  <c r="BI649" i="59"/>
  <c r="BC649" i="59"/>
  <c r="AX649" i="59"/>
  <c r="AS649" i="59"/>
  <c r="IJ649" i="59"/>
  <c r="IF649" i="59"/>
  <c r="DX649" i="59"/>
  <c r="CR649" i="59"/>
  <c r="CN649" i="59"/>
  <c r="CJ649" i="59"/>
  <c r="CF649" i="59"/>
  <c r="CB649" i="59"/>
  <c r="AN649" i="59"/>
  <c r="AJ649" i="59"/>
  <c r="AF649" i="59"/>
  <c r="AB649" i="59"/>
  <c r="X649" i="59"/>
  <c r="IK649" i="59"/>
  <c r="IE649" i="59"/>
  <c r="CP649" i="59"/>
  <c r="CK649" i="59"/>
  <c r="CE649" i="59"/>
  <c r="BZ649" i="59"/>
  <c r="AL649" i="59"/>
  <c r="AG649" i="59"/>
  <c r="AA649" i="59"/>
  <c r="V649" i="59"/>
  <c r="IL649" i="59"/>
  <c r="IG649" i="59"/>
  <c r="CQ649" i="59"/>
  <c r="CL649" i="59"/>
  <c r="CG649" i="59"/>
  <c r="CA649" i="59"/>
  <c r="AM649" i="59"/>
  <c r="AH649" i="59"/>
  <c r="AC649" i="59"/>
  <c r="W649" i="59"/>
  <c r="JN648" i="59"/>
  <c r="IL648" i="59"/>
  <c r="IH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JO648" i="59"/>
  <c r="II648" i="59"/>
  <c r="HX648" i="59"/>
  <c r="HS648" i="59"/>
  <c r="HM648" i="59"/>
  <c r="HH648" i="59"/>
  <c r="HC648" i="59"/>
  <c r="GW648" i="59"/>
  <c r="GR648" i="59"/>
  <c r="GM648" i="59"/>
  <c r="GG648" i="59"/>
  <c r="GB648" i="59"/>
  <c r="FW648" i="59"/>
  <c r="FQ648" i="59"/>
  <c r="FL648" i="59"/>
  <c r="FG648" i="59"/>
  <c r="FA648" i="59"/>
  <c r="EV648" i="59"/>
  <c r="CZ648" i="59"/>
  <c r="CU648" i="59"/>
  <c r="CO648" i="59"/>
  <c r="CJ648" i="59"/>
  <c r="CE648" i="59"/>
  <c r="BY648" i="59"/>
  <c r="BT648" i="59"/>
  <c r="BO648" i="59"/>
  <c r="BI648" i="59"/>
  <c r="BD648" i="59"/>
  <c r="AY648" i="59"/>
  <c r="AS648" i="59"/>
  <c r="AN648" i="59"/>
  <c r="AI648" i="59"/>
  <c r="AC648" i="59"/>
  <c r="X648" i="59"/>
  <c r="JP648" i="59"/>
  <c r="IJ648" i="59"/>
  <c r="HY648" i="59"/>
  <c r="HT648" i="59"/>
  <c r="HO648" i="59"/>
  <c r="HI648" i="59"/>
  <c r="HD648" i="59"/>
  <c r="GY648" i="59"/>
  <c r="GS648" i="59"/>
  <c r="GN648" i="59"/>
  <c r="GI648" i="59"/>
  <c r="GC648" i="59"/>
  <c r="FX648" i="59"/>
  <c r="FS648" i="59"/>
  <c r="FM648" i="59"/>
  <c r="FH648" i="59"/>
  <c r="FC648" i="59"/>
  <c r="EW648" i="59"/>
  <c r="DA648" i="59"/>
  <c r="CV648" i="59"/>
  <c r="CQ648" i="59"/>
  <c r="CK648" i="59"/>
  <c r="CF648" i="59"/>
  <c r="CA648" i="59"/>
  <c r="BU648" i="59"/>
  <c r="BP648" i="59"/>
  <c r="BK648" i="59"/>
  <c r="BE648" i="59"/>
  <c r="AZ648" i="59"/>
  <c r="AU648" i="59"/>
  <c r="AO648" i="59"/>
  <c r="AJ648" i="59"/>
  <c r="AE648" i="59"/>
  <c r="Y648" i="59"/>
  <c r="CT645" i="59"/>
  <c r="BR645" i="59"/>
  <c r="BN645" i="59"/>
  <c r="BJ645" i="59"/>
  <c r="BF645" i="59"/>
  <c r="BB645" i="59"/>
  <c r="AX645" i="59"/>
  <c r="AT645" i="59"/>
  <c r="AP645" i="59"/>
  <c r="CV645" i="59"/>
  <c r="BQ645" i="59"/>
  <c r="BL645" i="59"/>
  <c r="BG645" i="59"/>
  <c r="BA645" i="59"/>
  <c r="AV645" i="59"/>
  <c r="AQ645" i="59"/>
  <c r="CW645" i="59"/>
  <c r="BS645" i="59"/>
  <c r="BM645" i="59"/>
  <c r="BH645" i="59"/>
  <c r="BC645" i="59"/>
  <c r="AW645" i="59"/>
  <c r="AR645" i="59"/>
  <c r="CW641" i="59"/>
  <c r="CS641" i="59"/>
  <c r="BQ641" i="59"/>
  <c r="BM641" i="59"/>
  <c r="BI641" i="59"/>
  <c r="BE641" i="59"/>
  <c r="BA641" i="59"/>
  <c r="AW641" i="59"/>
  <c r="AS641" i="59"/>
  <c r="CT641" i="59"/>
  <c r="BR641" i="59"/>
  <c r="BN641" i="59"/>
  <c r="BJ641" i="59"/>
  <c r="BF641" i="59"/>
  <c r="BB641" i="59"/>
  <c r="AX641" i="59"/>
  <c r="AT641" i="59"/>
  <c r="AP641" i="59"/>
  <c r="IK641" i="59"/>
  <c r="IG641" i="59"/>
  <c r="IC641" i="59"/>
  <c r="CO641" i="59"/>
  <c r="CK641" i="59"/>
  <c r="CG641" i="59"/>
  <c r="CC641" i="59"/>
  <c r="BY641" i="59"/>
  <c r="AO641" i="59"/>
  <c r="AK641" i="59"/>
  <c r="AG641" i="59"/>
  <c r="AC641" i="59"/>
  <c r="Y641" i="59"/>
  <c r="IL641" i="59"/>
  <c r="IH641" i="59"/>
  <c r="ID641" i="59"/>
  <c r="DJ641" i="59"/>
  <c r="CP641" i="59"/>
  <c r="CL641" i="59"/>
  <c r="CH641" i="59"/>
  <c r="CD641" i="59"/>
  <c r="BZ641" i="59"/>
  <c r="AL641" i="59"/>
  <c r="AH641" i="59"/>
  <c r="AD641" i="59"/>
  <c r="Z641" i="59"/>
  <c r="V641" i="59"/>
  <c r="II640" i="59"/>
  <c r="IA640" i="59"/>
  <c r="HW640" i="59"/>
  <c r="HS640" i="59"/>
  <c r="HO640" i="59"/>
  <c r="HK640" i="59"/>
  <c r="HG640" i="59"/>
  <c r="HC640" i="59"/>
  <c r="GY640" i="59"/>
  <c r="GU640" i="59"/>
  <c r="GQ640" i="59"/>
  <c r="GM640" i="59"/>
  <c r="GI640" i="59"/>
  <c r="GE640" i="59"/>
  <c r="GA640" i="59"/>
  <c r="FW640" i="59"/>
  <c r="FS640" i="59"/>
  <c r="FO640" i="59"/>
  <c r="FK640" i="59"/>
  <c r="FG640" i="59"/>
  <c r="FC640" i="59"/>
  <c r="IJ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CV637" i="59"/>
  <c r="BP637" i="59"/>
  <c r="BL637" i="59"/>
  <c r="BH637" i="59"/>
  <c r="BD637" i="59"/>
  <c r="AZ637" i="59"/>
  <c r="AV637" i="59"/>
  <c r="AR637" i="59"/>
  <c r="JO634" i="59"/>
  <c r="FH632" i="59"/>
  <c r="Z633" i="59"/>
  <c r="AH633" i="59"/>
  <c r="AP633" i="59"/>
  <c r="AX633" i="59"/>
  <c r="BF633" i="59"/>
  <c r="BJ633" i="59"/>
  <c r="BN633" i="59"/>
  <c r="BR633" i="59"/>
  <c r="BZ633" i="59"/>
  <c r="CH633" i="59"/>
  <c r="CP633" i="59"/>
  <c r="DF633" i="59"/>
  <c r="DN633" i="59"/>
  <c r="DV633" i="59"/>
  <c r="ED633" i="59"/>
  <c r="IH633" i="59"/>
  <c r="X636" i="59"/>
  <c r="AI636" i="59"/>
  <c r="AS636" i="59"/>
  <c r="BD636" i="59"/>
  <c r="BO636" i="59"/>
  <c r="BY636" i="59"/>
  <c r="CJ636" i="59"/>
  <c r="CU636" i="59"/>
  <c r="EV636" i="59"/>
  <c r="FG636" i="59"/>
  <c r="FQ636" i="59"/>
  <c r="GB636" i="59"/>
  <c r="GM636" i="59"/>
  <c r="GW636" i="59"/>
  <c r="HH636" i="59"/>
  <c r="HM636" i="59"/>
  <c r="HS636" i="59"/>
  <c r="HX636" i="59"/>
  <c r="II636" i="59"/>
  <c r="AA637" i="59"/>
  <c r="AL637" i="59"/>
  <c r="AQ637" i="59"/>
  <c r="BB637" i="59"/>
  <c r="BG637" i="59"/>
  <c r="BM637" i="59"/>
  <c r="BR637" i="59"/>
  <c r="BZ637" i="59"/>
  <c r="CP637" i="59"/>
  <c r="IE637" i="59"/>
  <c r="V640" i="59"/>
  <c r="AG640" i="59"/>
  <c r="AQ640" i="59"/>
  <c r="BB640" i="59"/>
  <c r="BM640" i="59"/>
  <c r="BW640" i="59"/>
  <c r="CH640" i="59"/>
  <c r="CX640" i="59"/>
  <c r="FF640" i="59"/>
  <c r="FV640" i="59"/>
  <c r="GL640" i="59"/>
  <c r="HB640" i="59"/>
  <c r="HR640" i="59"/>
  <c r="IH640" i="59"/>
  <c r="AM641" i="59"/>
  <c r="CE641" i="59"/>
  <c r="CM641" i="59"/>
  <c r="CU641" i="59"/>
  <c r="IF641" i="59"/>
  <c r="X644" i="59"/>
  <c r="AN644" i="59"/>
  <c r="BD644" i="59"/>
  <c r="BT644" i="59"/>
  <c r="CB644" i="59"/>
  <c r="CR644" i="59"/>
  <c r="FE644" i="59"/>
  <c r="FZ644" i="59"/>
  <c r="GK644" i="59"/>
  <c r="GU644" i="59"/>
  <c r="HQ644" i="59"/>
  <c r="IA644" i="59"/>
  <c r="IL644" i="59"/>
  <c r="AC645" i="59"/>
  <c r="AY645" i="59"/>
  <c r="CI645" i="59"/>
  <c r="IJ645" i="59"/>
  <c r="AK648" i="59"/>
  <c r="BG648" i="59"/>
  <c r="CB648" i="59"/>
  <c r="CW648" i="59"/>
  <c r="EC648" i="59"/>
  <c r="EY648" i="59"/>
  <c r="FT648" i="59"/>
  <c r="GZ648" i="59"/>
  <c r="IF648" i="59"/>
  <c r="Y649" i="59"/>
  <c r="AT649" i="59"/>
  <c r="BO649" i="59"/>
  <c r="CC649" i="59"/>
  <c r="CM649" i="59"/>
  <c r="AP652" i="59"/>
  <c r="BK652" i="59"/>
  <c r="CG652" i="59"/>
  <c r="DB652" i="59"/>
  <c r="FN652" i="59"/>
  <c r="GI652" i="59"/>
  <c r="GT652" i="59"/>
  <c r="HO652" i="59"/>
  <c r="IK652" i="59"/>
  <c r="AM653" i="59"/>
  <c r="Z656" i="59"/>
  <c r="BB656" i="59"/>
  <c r="CF656" i="59"/>
  <c r="FA656" i="59"/>
  <c r="HE656" i="59"/>
  <c r="JP667" i="59"/>
  <c r="JL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CZ667" i="59"/>
  <c r="BX667" i="59"/>
  <c r="BT667" i="59"/>
  <c r="JM667" i="59"/>
  <c r="IK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DA667" i="59"/>
  <c r="CK667" i="59"/>
  <c r="BU667" i="59"/>
  <c r="JN667" i="59"/>
  <c r="HZ667" i="59"/>
  <c r="HR667" i="59"/>
  <c r="HJ667" i="59"/>
  <c r="HB667" i="59"/>
  <c r="GT667" i="59"/>
  <c r="GL667" i="59"/>
  <c r="GD667" i="59"/>
  <c r="FV667" i="59"/>
  <c r="FN667" i="59"/>
  <c r="FF667" i="59"/>
  <c r="EX667" i="59"/>
  <c r="DR667" i="59"/>
  <c r="DB667" i="59"/>
  <c r="BV667" i="59"/>
  <c r="Z667" i="59"/>
  <c r="JO667" i="59"/>
  <c r="IA667" i="59"/>
  <c r="HS667" i="59"/>
  <c r="HK667" i="59"/>
  <c r="HC667" i="59"/>
  <c r="GU667" i="59"/>
  <c r="GM667" i="59"/>
  <c r="GE667" i="59"/>
  <c r="FW667" i="59"/>
  <c r="FO667" i="59"/>
  <c r="FG667" i="59"/>
  <c r="EY667" i="59"/>
  <c r="BW667" i="59"/>
  <c r="AI667" i="59"/>
  <c r="HO667" i="59"/>
  <c r="GY667" i="59"/>
  <c r="GI667" i="59"/>
  <c r="FS667" i="59"/>
  <c r="FC667" i="59"/>
  <c r="HN667" i="59"/>
  <c r="GQ667" i="59"/>
  <c r="FZ667" i="59"/>
  <c r="FB667" i="59"/>
  <c r="HW667" i="59"/>
  <c r="GX667" i="59"/>
  <c r="FR667" i="59"/>
  <c r="HV667" i="59"/>
  <c r="GH667" i="59"/>
  <c r="HF667" i="59"/>
  <c r="FJ667" i="59"/>
  <c r="CY667" i="59"/>
  <c r="FK667" i="59"/>
  <c r="CX667" i="59"/>
  <c r="GA667" i="59"/>
  <c r="K666" i="59"/>
  <c r="L666" i="59"/>
  <c r="JO665" i="59"/>
  <c r="JN665" i="59"/>
  <c r="JP665" i="59"/>
  <c r="JL665" i="59"/>
  <c r="JO659" i="59"/>
  <c r="JG659" i="59"/>
  <c r="II659" i="59"/>
  <c r="IE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EI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JP659" i="59"/>
  <c r="IO659" i="59"/>
  <c r="IJ659" i="59"/>
  <c r="ID659" i="59"/>
  <c r="HY659" i="59"/>
  <c r="HT659" i="59"/>
  <c r="HN659" i="59"/>
  <c r="HI659" i="59"/>
  <c r="HD659" i="59"/>
  <c r="GX659" i="59"/>
  <c r="GS659" i="59"/>
  <c r="GN659" i="59"/>
  <c r="GH659" i="59"/>
  <c r="GC659" i="59"/>
  <c r="FX659" i="59"/>
  <c r="FR659" i="59"/>
  <c r="FM659" i="59"/>
  <c r="FH659" i="59"/>
  <c r="FB659" i="59"/>
  <c r="EW659" i="59"/>
  <c r="DA659" i="59"/>
  <c r="CV659" i="59"/>
  <c r="CP659" i="59"/>
  <c r="CK659" i="59"/>
  <c r="CF659" i="59"/>
  <c r="BZ659" i="59"/>
  <c r="BU659" i="59"/>
  <c r="BP659" i="59"/>
  <c r="BJ659" i="59"/>
  <c r="BE659" i="59"/>
  <c r="AZ659" i="59"/>
  <c r="AT659" i="59"/>
  <c r="AO659" i="59"/>
  <c r="AJ659" i="59"/>
  <c r="AD659" i="59"/>
  <c r="Y659" i="59"/>
  <c r="JM659" i="59"/>
  <c r="IK659" i="59"/>
  <c r="IC659" i="59"/>
  <c r="HV659" i="59"/>
  <c r="HP659" i="59"/>
  <c r="HH659" i="59"/>
  <c r="HA659" i="59"/>
  <c r="GT659" i="59"/>
  <c r="GL659" i="59"/>
  <c r="GF659" i="59"/>
  <c r="FY659" i="59"/>
  <c r="FQ659" i="59"/>
  <c r="FJ659" i="59"/>
  <c r="FD659" i="59"/>
  <c r="EV659" i="59"/>
  <c r="CX659" i="59"/>
  <c r="CR659" i="59"/>
  <c r="CJ659" i="59"/>
  <c r="CC659" i="59"/>
  <c r="BV659" i="59"/>
  <c r="BN659" i="59"/>
  <c r="BH659" i="59"/>
  <c r="BA659" i="59"/>
  <c r="AS659" i="59"/>
  <c r="AL659" i="59"/>
  <c r="AF659" i="59"/>
  <c r="X659" i="59"/>
  <c r="JL659" i="59"/>
  <c r="IH659" i="59"/>
  <c r="HZ659" i="59"/>
  <c r="HQ659" i="59"/>
  <c r="HF659" i="59"/>
  <c r="GW659" i="59"/>
  <c r="GO659" i="59"/>
  <c r="GD659" i="59"/>
  <c r="FU659" i="59"/>
  <c r="FL659" i="59"/>
  <c r="FA659" i="59"/>
  <c r="CW659" i="59"/>
  <c r="CN659" i="59"/>
  <c r="CD659" i="59"/>
  <c r="BT659" i="59"/>
  <c r="BL659" i="59"/>
  <c r="BB659" i="59"/>
  <c r="AR659" i="59"/>
  <c r="AH659" i="59"/>
  <c r="Z659" i="59"/>
  <c r="JN659" i="59"/>
  <c r="IL659" i="59"/>
  <c r="IB659" i="59"/>
  <c r="HR659" i="59"/>
  <c r="HJ659" i="59"/>
  <c r="GZ659" i="59"/>
  <c r="GP659" i="59"/>
  <c r="GG659" i="59"/>
  <c r="FV659" i="59"/>
  <c r="FN659" i="59"/>
  <c r="FE659" i="59"/>
  <c r="CZ659" i="59"/>
  <c r="CO659" i="59"/>
  <c r="CG659" i="59"/>
  <c r="BX659" i="59"/>
  <c r="BM659" i="59"/>
  <c r="BD659" i="59"/>
  <c r="AV659" i="59"/>
  <c r="AK659" i="59"/>
  <c r="AB659" i="59"/>
  <c r="JM657" i="59"/>
  <c r="JP657" i="59"/>
  <c r="JN657" i="59"/>
  <c r="JO657" i="59"/>
  <c r="IE656" i="59"/>
  <c r="IG656" i="59"/>
  <c r="IC656" i="59"/>
  <c r="ID656" i="59"/>
  <c r="IF656" i="59"/>
  <c r="JM655" i="59"/>
  <c r="IK655" i="59"/>
  <c r="IG655" i="59"/>
  <c r="IC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JP655" i="59"/>
  <c r="IJ655" i="59"/>
  <c r="IE655" i="59"/>
  <c r="HZ655" i="59"/>
  <c r="HT655" i="59"/>
  <c r="HO655" i="59"/>
  <c r="HJ655" i="59"/>
  <c r="HD655" i="59"/>
  <c r="GY655" i="59"/>
  <c r="GT655" i="59"/>
  <c r="GN655" i="59"/>
  <c r="GI655" i="59"/>
  <c r="GD655" i="59"/>
  <c r="FX655" i="59"/>
  <c r="FS655" i="59"/>
  <c r="FN655" i="59"/>
  <c r="FH655" i="59"/>
  <c r="FC655" i="59"/>
  <c r="EX655" i="59"/>
  <c r="DB655" i="59"/>
  <c r="CV655" i="59"/>
  <c r="CQ655" i="59"/>
  <c r="CL655" i="59"/>
  <c r="CF655" i="59"/>
  <c r="CA655" i="59"/>
  <c r="BV655" i="59"/>
  <c r="BP655" i="59"/>
  <c r="BK655" i="59"/>
  <c r="BF655" i="59"/>
  <c r="AZ655" i="59"/>
  <c r="AU655" i="59"/>
  <c r="AP655" i="59"/>
  <c r="AJ655" i="59"/>
  <c r="AE655" i="59"/>
  <c r="Z655" i="59"/>
  <c r="JN655" i="59"/>
  <c r="IL655" i="59"/>
  <c r="ID655" i="59"/>
  <c r="HW655" i="59"/>
  <c r="HP655" i="59"/>
  <c r="HH655" i="59"/>
  <c r="HB655" i="59"/>
  <c r="GU655" i="59"/>
  <c r="GM655" i="59"/>
  <c r="GF655" i="59"/>
  <c r="FZ655" i="59"/>
  <c r="FR655" i="59"/>
  <c r="FK655" i="59"/>
  <c r="FD655" i="59"/>
  <c r="EV655" i="59"/>
  <c r="CY655" i="59"/>
  <c r="CR655" i="59"/>
  <c r="CJ655" i="59"/>
  <c r="CD655" i="59"/>
  <c r="BW655" i="59"/>
  <c r="BO655" i="59"/>
  <c r="BH655" i="59"/>
  <c r="BB655" i="59"/>
  <c r="AT655" i="59"/>
  <c r="AM655" i="59"/>
  <c r="AF655" i="59"/>
  <c r="X655" i="59"/>
  <c r="JO655" i="59"/>
  <c r="IF655" i="59"/>
  <c r="HX655" i="59"/>
  <c r="HR655" i="59"/>
  <c r="HK655" i="59"/>
  <c r="HC655" i="59"/>
  <c r="GV655" i="59"/>
  <c r="GP655" i="59"/>
  <c r="GH655" i="59"/>
  <c r="GA655" i="59"/>
  <c r="FT655" i="59"/>
  <c r="FL655" i="59"/>
  <c r="FF655" i="59"/>
  <c r="EY655" i="59"/>
  <c r="CZ655" i="59"/>
  <c r="CT655" i="59"/>
  <c r="CM655" i="59"/>
  <c r="CE655" i="59"/>
  <c r="BX655" i="59"/>
  <c r="BR655" i="59"/>
  <c r="BJ655" i="59"/>
  <c r="BC655" i="59"/>
  <c r="AV655" i="59"/>
  <c r="AN655" i="59"/>
  <c r="AH655" i="59"/>
  <c r="AA655" i="59"/>
  <c r="K654" i="59"/>
  <c r="L654" i="59" s="1"/>
  <c r="JN653" i="59"/>
  <c r="JP653" i="59"/>
  <c r="JL653" i="59"/>
  <c r="ID648" i="59"/>
  <c r="IC648" i="59"/>
  <c r="IE648" i="59"/>
  <c r="JP647" i="59"/>
  <c r="JL647" i="59"/>
  <c r="IJ647" i="59"/>
  <c r="IF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IP647" i="59"/>
  <c r="IK647" i="59"/>
  <c r="IE647" i="59"/>
  <c r="HZ647" i="59"/>
  <c r="HU647" i="59"/>
  <c r="HO647" i="59"/>
  <c r="HJ647" i="59"/>
  <c r="HE647" i="59"/>
  <c r="GY647" i="59"/>
  <c r="GT647" i="59"/>
  <c r="GO647" i="59"/>
  <c r="GI647" i="59"/>
  <c r="GD647" i="59"/>
  <c r="FY647" i="59"/>
  <c r="FS647" i="59"/>
  <c r="FN647" i="59"/>
  <c r="FI647" i="59"/>
  <c r="FC647" i="59"/>
  <c r="EX647" i="59"/>
  <c r="DB647" i="59"/>
  <c r="CW647" i="59"/>
  <c r="CQ647" i="59"/>
  <c r="CL647" i="59"/>
  <c r="CG647" i="59"/>
  <c r="CA647" i="59"/>
  <c r="BV647" i="59"/>
  <c r="BQ647" i="59"/>
  <c r="BK647" i="59"/>
  <c r="BF647" i="59"/>
  <c r="BA647" i="59"/>
  <c r="AU647" i="59"/>
  <c r="AP647" i="59"/>
  <c r="AK647" i="59"/>
  <c r="AE647" i="59"/>
  <c r="Z647" i="59"/>
  <c r="JM647" i="59"/>
  <c r="IL647" i="59"/>
  <c r="IG647" i="59"/>
  <c r="IA647" i="59"/>
  <c r="HV647" i="59"/>
  <c r="HQ647" i="59"/>
  <c r="HK647" i="59"/>
  <c r="HF647" i="59"/>
  <c r="HA647" i="59"/>
  <c r="GU647" i="59"/>
  <c r="GP647" i="59"/>
  <c r="GK647" i="59"/>
  <c r="GE647" i="59"/>
  <c r="FZ647" i="59"/>
  <c r="FU647" i="59"/>
  <c r="FO647" i="59"/>
  <c r="FJ647" i="59"/>
  <c r="FE647" i="59"/>
  <c r="EY647" i="59"/>
  <c r="EO647" i="59"/>
  <c r="CX647" i="59"/>
  <c r="CS647" i="59"/>
  <c r="CM647" i="59"/>
  <c r="CH647" i="59"/>
  <c r="CC647" i="59"/>
  <c r="BW647" i="59"/>
  <c r="BR647" i="59"/>
  <c r="BM647" i="59"/>
  <c r="BG647" i="59"/>
  <c r="BB647" i="59"/>
  <c r="AW647" i="59"/>
  <c r="AQ647" i="59"/>
  <c r="AL647" i="59"/>
  <c r="AG647" i="59"/>
  <c r="AA647" i="59"/>
  <c r="V647" i="59"/>
  <c r="JN645" i="59"/>
  <c r="JL645" i="59"/>
  <c r="JM645" i="59"/>
  <c r="JC645" i="59"/>
  <c r="IF644" i="59"/>
  <c r="IC644" i="59"/>
  <c r="ID644" i="59"/>
  <c r="JO643" i="59"/>
  <c r="II643" i="59"/>
  <c r="IE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EM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JP643" i="59"/>
  <c r="JL643" i="59"/>
  <c r="IJ643" i="59"/>
  <c r="IF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JM641" i="59"/>
  <c r="JN641" i="59"/>
  <c r="IE640" i="59"/>
  <c r="IF640" i="59"/>
  <c r="JN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DJ639" i="59"/>
  <c r="DB639" i="59"/>
  <c r="CX639" i="59"/>
  <c r="BV639" i="59"/>
  <c r="ID636" i="59"/>
  <c r="JP635" i="59"/>
  <c r="JL635" i="59"/>
  <c r="IJ635" i="59"/>
  <c r="IF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W631" i="59"/>
  <c r="AI631" i="59"/>
  <c r="AQ631" i="59"/>
  <c r="AY631" i="59"/>
  <c r="BK631" i="59"/>
  <c r="BW631" i="59"/>
  <c r="CE631" i="59"/>
  <c r="CQ631" i="59"/>
  <c r="CY631" i="59"/>
  <c r="DK631" i="59"/>
  <c r="DW631" i="59"/>
  <c r="EE631" i="59"/>
  <c r="EM631" i="59"/>
  <c r="EU631" i="59"/>
  <c r="IE631" i="59"/>
  <c r="W633" i="59"/>
  <c r="AE633" i="59"/>
  <c r="AM633" i="59"/>
  <c r="AQ633" i="59"/>
  <c r="AY633" i="59"/>
  <c r="BG633" i="59"/>
  <c r="BO633" i="59"/>
  <c r="BS633" i="59"/>
  <c r="CA633" i="59"/>
  <c r="CI633" i="59"/>
  <c r="CQ633" i="59"/>
  <c r="DC633" i="59"/>
  <c r="DK633" i="59"/>
  <c r="DS633" i="59"/>
  <c r="EA633" i="59"/>
  <c r="EI633" i="59"/>
  <c r="EM633" i="59"/>
  <c r="EQ633" i="59"/>
  <c r="EU633" i="59"/>
  <c r="IM633" i="59"/>
  <c r="JC633" i="59"/>
  <c r="JO633" i="59"/>
  <c r="JP634" i="59"/>
  <c r="AA635" i="59"/>
  <c r="AQ635" i="59"/>
  <c r="BG635" i="59"/>
  <c r="BW635" i="59"/>
  <c r="CH635" i="59"/>
  <c r="CX635" i="59"/>
  <c r="EY635" i="59"/>
  <c r="FO635" i="59"/>
  <c r="FZ635" i="59"/>
  <c r="HF635" i="59"/>
  <c r="AE636" i="59"/>
  <c r="AO636" i="59"/>
  <c r="AZ636" i="59"/>
  <c r="BK636" i="59"/>
  <c r="CA636" i="59"/>
  <c r="CK636" i="59"/>
  <c r="CV636" i="59"/>
  <c r="DW636" i="59"/>
  <c r="EW636" i="59"/>
  <c r="FH636" i="59"/>
  <c r="FX636" i="59"/>
  <c r="GI636" i="59"/>
  <c r="GY636" i="59"/>
  <c r="HO636" i="59"/>
  <c r="IE636" i="59"/>
  <c r="JP636" i="59"/>
  <c r="AC637" i="59"/>
  <c r="AS637" i="59"/>
  <c r="CA637" i="59"/>
  <c r="CL637" i="59"/>
  <c r="CQ637" i="59"/>
  <c r="CW637" i="59"/>
  <c r="IG637" i="59"/>
  <c r="AF639" i="59"/>
  <c r="BW639" i="59"/>
  <c r="EY639" i="59"/>
  <c r="FD639" i="59"/>
  <c r="FI639" i="59"/>
  <c r="FO639" i="59"/>
  <c r="FT639" i="59"/>
  <c r="FY639" i="59"/>
  <c r="GE639" i="59"/>
  <c r="GJ639" i="59"/>
  <c r="GO639" i="59"/>
  <c r="GU639" i="59"/>
  <c r="GZ639" i="59"/>
  <c r="HE639" i="59"/>
  <c r="HK639" i="59"/>
  <c r="HP639" i="59"/>
  <c r="HU639" i="59"/>
  <c r="IA639" i="59"/>
  <c r="JL639" i="59"/>
  <c r="W640" i="59"/>
  <c r="AC640" i="59"/>
  <c r="AH640" i="59"/>
  <c r="AM640" i="59"/>
  <c r="AS640" i="59"/>
  <c r="AX640" i="59"/>
  <c r="BC640" i="59"/>
  <c r="BI640" i="59"/>
  <c r="BN640" i="59"/>
  <c r="BS640" i="59"/>
  <c r="BY640" i="59"/>
  <c r="CD640" i="59"/>
  <c r="CI640" i="59"/>
  <c r="CO640" i="59"/>
  <c r="CT640" i="59"/>
  <c r="CY640" i="59"/>
  <c r="FA640" i="59"/>
  <c r="FI640" i="59"/>
  <c r="FQ640" i="59"/>
  <c r="FY640" i="59"/>
  <c r="GG640" i="59"/>
  <c r="GO640" i="59"/>
  <c r="GW640" i="59"/>
  <c r="HE640" i="59"/>
  <c r="HM640" i="59"/>
  <c r="HU640" i="59"/>
  <c r="IC640" i="59"/>
  <c r="IK640" i="59"/>
  <c r="X641" i="59"/>
  <c r="AF641" i="59"/>
  <c r="AN641" i="59"/>
  <c r="AV641" i="59"/>
  <c r="BD641" i="59"/>
  <c r="BL641" i="59"/>
  <c r="CF641" i="59"/>
  <c r="CN641" i="59"/>
  <c r="CV641" i="59"/>
  <c r="DW641" i="59"/>
  <c r="II641" i="59"/>
  <c r="JO641" i="59"/>
  <c r="JL642" i="59"/>
  <c r="AC643" i="59"/>
  <c r="AK643" i="59"/>
  <c r="AS643" i="59"/>
  <c r="BA643" i="59"/>
  <c r="BI643" i="59"/>
  <c r="BQ643" i="59"/>
  <c r="BY643" i="59"/>
  <c r="CG643" i="59"/>
  <c r="CO643" i="59"/>
  <c r="CW643" i="59"/>
  <c r="FA643" i="59"/>
  <c r="FI643" i="59"/>
  <c r="FQ643" i="59"/>
  <c r="FY643" i="59"/>
  <c r="GG643" i="59"/>
  <c r="GO643" i="59"/>
  <c r="GW643" i="59"/>
  <c r="HE643" i="59"/>
  <c r="HM643" i="59"/>
  <c r="HU643" i="59"/>
  <c r="IC643" i="59"/>
  <c r="IK643" i="59"/>
  <c r="AA644" i="59"/>
  <c r="AI644" i="59"/>
  <c r="AQ644" i="59"/>
  <c r="AY644" i="59"/>
  <c r="BG644" i="59"/>
  <c r="BO644" i="59"/>
  <c r="BW644" i="59"/>
  <c r="CE644" i="59"/>
  <c r="CM644" i="59"/>
  <c r="CU644" i="59"/>
  <c r="EX644" i="59"/>
  <c r="FI644" i="59"/>
  <c r="FS644" i="59"/>
  <c r="GD644" i="59"/>
  <c r="GO644" i="59"/>
  <c r="GY644" i="59"/>
  <c r="HJ644" i="59"/>
  <c r="HU644" i="59"/>
  <c r="IE644" i="59"/>
  <c r="AE645" i="59"/>
  <c r="AO645" i="59"/>
  <c r="AZ645" i="59"/>
  <c r="BK645" i="59"/>
  <c r="BY645" i="59"/>
  <c r="CJ645" i="59"/>
  <c r="CU645" i="59"/>
  <c r="IC645" i="59"/>
  <c r="JL646" i="59"/>
  <c r="W647" i="59"/>
  <c r="AH647" i="59"/>
  <c r="AS647" i="59"/>
  <c r="BC647" i="59"/>
  <c r="BN647" i="59"/>
  <c r="BY647" i="59"/>
  <c r="CI647" i="59"/>
  <c r="CT647" i="59"/>
  <c r="FF647" i="59"/>
  <c r="FQ647" i="59"/>
  <c r="GA647" i="59"/>
  <c r="GL647" i="59"/>
  <c r="GW647" i="59"/>
  <c r="HG647" i="59"/>
  <c r="HR647" i="59"/>
  <c r="IC647" i="59"/>
  <c r="AB648" i="59"/>
  <c r="AM648" i="59"/>
  <c r="AW648" i="59"/>
  <c r="BH648" i="59"/>
  <c r="BS648" i="59"/>
  <c r="CC648" i="59"/>
  <c r="CN648" i="59"/>
  <c r="CY648" i="59"/>
  <c r="EZ648" i="59"/>
  <c r="FK648" i="59"/>
  <c r="FU648" i="59"/>
  <c r="GF648" i="59"/>
  <c r="GQ648" i="59"/>
  <c r="HA648" i="59"/>
  <c r="HL648" i="59"/>
  <c r="HW648" i="59"/>
  <c r="IG648" i="59"/>
  <c r="JM648" i="59"/>
  <c r="Z649" i="59"/>
  <c r="AK649" i="59"/>
  <c r="AU649" i="59"/>
  <c r="BF649" i="59"/>
  <c r="BQ649" i="59"/>
  <c r="CD649" i="59"/>
  <c r="CO649" i="59"/>
  <c r="EI649" i="59"/>
  <c r="IH649" i="59"/>
  <c r="JN649" i="59"/>
  <c r="JP650" i="59"/>
  <c r="AB651" i="59"/>
  <c r="AM651" i="59"/>
  <c r="AW651" i="59"/>
  <c r="BH651" i="59"/>
  <c r="BS651" i="59"/>
  <c r="CC651" i="59"/>
  <c r="CN651" i="59"/>
  <c r="CY651" i="59"/>
  <c r="EZ651" i="59"/>
  <c r="FK651" i="59"/>
  <c r="FU651" i="59"/>
  <c r="GF651" i="59"/>
  <c r="GQ651" i="59"/>
  <c r="HA651" i="59"/>
  <c r="HL651" i="59"/>
  <c r="HW651" i="59"/>
  <c r="IG651" i="59"/>
  <c r="JM651" i="59"/>
  <c r="Y652" i="59"/>
  <c r="AI652" i="59"/>
  <c r="AT652" i="59"/>
  <c r="BE652" i="59"/>
  <c r="BO652" i="59"/>
  <c r="BZ652" i="59"/>
  <c r="CK652" i="59"/>
  <c r="CU652" i="59"/>
  <c r="EW652" i="59"/>
  <c r="FG652" i="59"/>
  <c r="FR652" i="59"/>
  <c r="GC652" i="59"/>
  <c r="GM652" i="59"/>
  <c r="GX652" i="59"/>
  <c r="HI652" i="59"/>
  <c r="HS652" i="59"/>
  <c r="ID652" i="59"/>
  <c r="AC653" i="59"/>
  <c r="AN653" i="59"/>
  <c r="AY653" i="59"/>
  <c r="BI653" i="59"/>
  <c r="CI653" i="59"/>
  <c r="CS653" i="59"/>
  <c r="IC653" i="59"/>
  <c r="JO654" i="59"/>
  <c r="AD655" i="59"/>
  <c r="AR655" i="59"/>
  <c r="BG655" i="59"/>
  <c r="BT655" i="59"/>
  <c r="CI655" i="59"/>
  <c r="CX655" i="59"/>
  <c r="FB655" i="59"/>
  <c r="FP655" i="59"/>
  <c r="GE655" i="59"/>
  <c r="GR655" i="59"/>
  <c r="HG655" i="59"/>
  <c r="HV655" i="59"/>
  <c r="II655" i="59"/>
  <c r="JL655" i="59"/>
  <c r="AB656" i="59"/>
  <c r="AP656" i="59"/>
  <c r="BE656" i="59"/>
  <c r="BR656" i="59"/>
  <c r="CG656" i="59"/>
  <c r="CZ656" i="59"/>
  <c r="FD656" i="59"/>
  <c r="FV656" i="59"/>
  <c r="GO656" i="59"/>
  <c r="HI656" i="59"/>
  <c r="HZ656" i="59"/>
  <c r="JN656" i="59"/>
  <c r="AE657" i="59"/>
  <c r="CJ657" i="59"/>
  <c r="IH657" i="59"/>
  <c r="AN659" i="59"/>
  <c r="BF659" i="59"/>
  <c r="BY659" i="59"/>
  <c r="CS659" i="59"/>
  <c r="EX659" i="59"/>
  <c r="FP659" i="59"/>
  <c r="GJ659" i="59"/>
  <c r="HB659" i="59"/>
  <c r="HU659" i="59"/>
  <c r="FX660" i="59"/>
  <c r="AA663" i="59"/>
  <c r="BG663" i="59"/>
  <c r="CN663" i="59"/>
  <c r="FE663" i="59"/>
  <c r="GJ663" i="59"/>
  <c r="HS663" i="59"/>
  <c r="FK664" i="59"/>
  <c r="AX665" i="59"/>
  <c r="CM665" i="59"/>
  <c r="GP667" i="59"/>
  <c r="A630" i="59"/>
  <c r="V630" i="59"/>
  <c r="Z630" i="59"/>
  <c r="AD630" i="59"/>
  <c r="AH630" i="59"/>
  <c r="AL630" i="59"/>
  <c r="AP630" i="59"/>
  <c r="AT630" i="59"/>
  <c r="AX630" i="59"/>
  <c r="BB630" i="59"/>
  <c r="BF630" i="59"/>
  <c r="BJ630" i="59"/>
  <c r="BN630" i="59"/>
  <c r="BR630" i="59"/>
  <c r="BV630" i="59"/>
  <c r="BZ630" i="59"/>
  <c r="CD630" i="59"/>
  <c r="CH630" i="59"/>
  <c r="CL630" i="59"/>
  <c r="CP630" i="59"/>
  <c r="CT630" i="59"/>
  <c r="CX630" i="59"/>
  <c r="DB630" i="59"/>
  <c r="DF630" i="59"/>
  <c r="DJ630" i="59"/>
  <c r="DN630" i="59"/>
  <c r="DR630" i="59"/>
  <c r="DV630" i="59"/>
  <c r="DZ630" i="59"/>
  <c r="ED630" i="59"/>
  <c r="EH630" i="59"/>
  <c r="EL630" i="59"/>
  <c r="EP630" i="59"/>
  <c r="ET630" i="59"/>
  <c r="HV630" i="59"/>
  <c r="ID630" i="59"/>
  <c r="IH630" i="59"/>
  <c r="IL630" i="59"/>
  <c r="IP630" i="59"/>
  <c r="IT630" i="59"/>
  <c r="IX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c r="G423" i="59"/>
  <c r="J423" i="59"/>
  <c r="J425" i="59"/>
  <c r="P423" i="59"/>
  <c r="P425" i="59"/>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c r="G413" i="59"/>
  <c r="U413" i="59"/>
  <c r="G414" i="59"/>
  <c r="A414" i="59"/>
  <c r="G406" i="59"/>
  <c r="W557" i="59"/>
  <c r="W544" i="59"/>
  <c r="P542" i="59"/>
  <c r="P546" i="59"/>
  <c r="J542" i="59"/>
  <c r="J546" i="59"/>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c r="S425" i="59"/>
  <c r="S421" i="59"/>
  <c r="S431" i="59"/>
  <c r="G421" i="59"/>
  <c r="A413" i="59"/>
  <c r="M421" i="59"/>
  <c r="J436" i="59"/>
  <c r="P436" i="59"/>
  <c r="S436" i="59"/>
  <c r="P431" i="59"/>
  <c r="S415" i="59"/>
  <c r="M431" i="59"/>
  <c r="F513" i="59"/>
  <c r="U414" i="59"/>
  <c r="C514" i="59"/>
  <c r="M415" i="59"/>
  <c r="P415" i="59"/>
  <c r="M436" i="59"/>
  <c r="J431" i="59"/>
  <c r="G415" i="59"/>
  <c r="G436" i="59"/>
  <c r="J415" i="59"/>
  <c r="G431" i="59"/>
  <c r="F512" i="59"/>
  <c r="G830"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P528" i="59"/>
  <c r="P545" i="59"/>
  <c r="P547" i="59"/>
  <c r="P549" i="59"/>
  <c r="J528" i="59"/>
  <c r="J545" i="59"/>
  <c r="J547" i="59"/>
  <c r="J549" i="59"/>
  <c r="S528" i="59"/>
  <c r="M1459" i="59"/>
  <c r="A1477" i="59"/>
  <c r="M1457" i="59"/>
  <c r="M528" i="59"/>
  <c r="M545" i="59"/>
  <c r="M547" i="59"/>
  <c r="M549" i="59"/>
  <c r="B442" i="59"/>
  <c r="F445" i="59"/>
  <c r="I389" i="59"/>
  <c r="H830" i="59"/>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c r="N21" i="59"/>
  <c r="F23" i="59"/>
  <c r="F22" i="59"/>
  <c r="F21" i="59"/>
  <c r="O17" i="59"/>
  <c r="O16" i="59"/>
  <c r="F16" i="59"/>
  <c r="O10" i="59"/>
  <c r="P164" i="59"/>
  <c r="A5" i="59"/>
  <c r="P80" i="59"/>
  <c r="H67" i="59"/>
  <c r="I830" i="59"/>
  <c r="L34" i="59"/>
  <c r="J830" i="59"/>
  <c r="K830" i="59"/>
  <c r="H4" i="51"/>
  <c r="E5" i="51"/>
  <c r="E4" i="51"/>
  <c r="B859" i="59"/>
  <c r="D56" i="51"/>
  <c r="E56" i="51"/>
  <c r="F56" i="51"/>
  <c r="G56" i="51"/>
  <c r="H56" i="51"/>
  <c r="C56" i="51"/>
  <c r="D36" i="51"/>
  <c r="E36" i="51"/>
  <c r="F36" i="51"/>
  <c r="G36" i="51"/>
  <c r="H36" i="51"/>
  <c r="I36" i="51"/>
  <c r="C36" i="51"/>
  <c r="D16" i="51"/>
  <c r="E16" i="51"/>
  <c r="F16" i="51"/>
  <c r="G16" i="51"/>
  <c r="H16" i="51"/>
  <c r="I16" i="51"/>
  <c r="C16" i="51"/>
  <c r="C859" i="59"/>
  <c r="D859" i="59"/>
  <c r="C11" i="53"/>
  <c r="C10" i="53"/>
  <c r="C9" i="53"/>
  <c r="C8" i="53"/>
  <c r="C7" i="53"/>
  <c r="G11" i="53"/>
  <c r="G10" i="53"/>
  <c r="G9" i="53"/>
  <c r="G8" i="53"/>
  <c r="G7" i="53"/>
  <c r="U103" i="36"/>
  <c r="E859" i="59"/>
  <c r="C144" i="55"/>
  <c r="F859" i="59"/>
  <c r="G859" i="59"/>
  <c r="F82" i="57"/>
  <c r="F64" i="57"/>
  <c r="A208" i="55"/>
  <c r="A206" i="49"/>
  <c r="A202" i="55"/>
  <c r="E173" i="55"/>
  <c r="E165" i="55"/>
  <c r="E186" i="55"/>
  <c r="E83" i="55"/>
  <c r="G103" i="55"/>
  <c r="D103" i="55"/>
  <c r="E98" i="55"/>
  <c r="E94" i="55"/>
  <c r="M32" i="29"/>
  <c r="M609" i="59"/>
  <c r="L32" i="29"/>
  <c r="L609" i="59"/>
  <c r="K32" i="29"/>
  <c r="K609" i="59"/>
  <c r="J32" i="29"/>
  <c r="J609" i="59"/>
  <c r="I32" i="29"/>
  <c r="I609" i="59"/>
  <c r="J17" i="29"/>
  <c r="J594" i="59"/>
  <c r="K17" i="29"/>
  <c r="K594" i="59"/>
  <c r="L17" i="29"/>
  <c r="L594" i="59"/>
  <c r="M17" i="29"/>
  <c r="M594" i="59"/>
  <c r="I17" i="29"/>
  <c r="I594" i="59"/>
  <c r="C41" i="55"/>
  <c r="C16" i="55"/>
  <c r="C15" i="55"/>
  <c r="F30" i="54"/>
  <c r="D64" i="55"/>
  <c r="F63" i="57"/>
  <c r="H859" i="59"/>
  <c r="C35" i="57"/>
  <c r="E28" i="54"/>
  <c r="I859" i="59"/>
  <c r="E16" i="50"/>
  <c r="F19" i="49"/>
  <c r="D14" i="50"/>
  <c r="J859" i="59"/>
  <c r="J150" i="11"/>
  <c r="B102" i="15"/>
  <c r="B101" i="15"/>
  <c r="B96" i="15"/>
  <c r="B97" i="15"/>
  <c r="K161" i="36"/>
  <c r="F105" i="8"/>
  <c r="F922" i="59" s="1"/>
  <c r="J161" i="36"/>
  <c r="E105" i="8"/>
  <c r="E922" i="59" s="1"/>
  <c r="I161" i="36"/>
  <c r="D105" i="8"/>
  <c r="D922" i="59"/>
  <c r="H161" i="36"/>
  <c r="C105" i="8"/>
  <c r="C922" i="59" s="1"/>
  <c r="G161" i="36"/>
  <c r="B105" i="8"/>
  <c r="B922" i="59" s="1"/>
  <c r="U158" i="36"/>
  <c r="K157" i="36"/>
  <c r="F104" i="8"/>
  <c r="F921" i="59" s="1"/>
  <c r="J157" i="36"/>
  <c r="E104" i="8"/>
  <c r="E921" i="59" s="1"/>
  <c r="I157" i="36"/>
  <c r="D104" i="8"/>
  <c r="D921" i="59"/>
  <c r="H157" i="36"/>
  <c r="C104" i="8"/>
  <c r="C921" i="59" s="1"/>
  <c r="G157" i="36"/>
  <c r="B104" i="8"/>
  <c r="B921" i="59" s="1"/>
  <c r="U154" i="36"/>
  <c r="F127" i="8"/>
  <c r="F944" i="59"/>
  <c r="E127" i="8"/>
  <c r="E944" i="59"/>
  <c r="D127" i="8"/>
  <c r="D944" i="59"/>
  <c r="C127" i="8"/>
  <c r="C944" i="59"/>
  <c r="B127" i="8"/>
  <c r="B944" i="59"/>
  <c r="F126" i="8"/>
  <c r="F943" i="59"/>
  <c r="E126" i="8"/>
  <c r="E943" i="59"/>
  <c r="D126" i="8"/>
  <c r="D943" i="59"/>
  <c r="C126" i="8"/>
  <c r="C943" i="59"/>
  <c r="B126" i="8"/>
  <c r="B943" i="59"/>
  <c r="F125" i="8"/>
  <c r="F942" i="59"/>
  <c r="E125" i="8"/>
  <c r="E942" i="59"/>
  <c r="D125" i="8"/>
  <c r="D942" i="59"/>
  <c r="C125" i="8"/>
  <c r="C942" i="59"/>
  <c r="B125" i="8"/>
  <c r="B942" i="59"/>
  <c r="F124" i="8"/>
  <c r="F941" i="59"/>
  <c r="E124" i="8"/>
  <c r="E941" i="59"/>
  <c r="D124" i="8"/>
  <c r="D941" i="59"/>
  <c r="C124" i="8"/>
  <c r="C941" i="59"/>
  <c r="B124" i="8"/>
  <c r="B941" i="59"/>
  <c r="P282" i="11"/>
  <c r="K859" i="59"/>
  <c r="E367" i="6"/>
  <c r="S64" i="15"/>
  <c r="P64" i="15"/>
  <c r="M64" i="15"/>
  <c r="J64" i="15"/>
  <c r="G64" i="15"/>
  <c r="B888" i="59"/>
  <c r="A3" i="6"/>
  <c r="H3" i="6"/>
  <c r="C888" i="59"/>
  <c r="K105" i="11"/>
  <c r="K109" i="11"/>
  <c r="K108" i="11"/>
  <c r="D888" i="59"/>
  <c r="O181" i="11"/>
  <c r="O1554" i="59"/>
  <c r="L1554" i="59"/>
  <c r="N1554" i="59"/>
  <c r="E888" i="59"/>
  <c r="I218" i="11"/>
  <c r="F888" i="59"/>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H10" i="36"/>
  <c r="G888" i="59"/>
  <c r="JO48" i="36"/>
  <c r="JK48" i="36"/>
  <c r="JP48" i="36"/>
  <c r="JQ48" i="36"/>
  <c r="JM48" i="36"/>
  <c r="JN48" i="36"/>
  <c r="JH48" i="36"/>
  <c r="JF48" i="36"/>
  <c r="JE48" i="36"/>
  <c r="JC48" i="36"/>
  <c r="JG48" i="36"/>
  <c r="JD48" i="36"/>
  <c r="JJ48" i="36"/>
  <c r="JL48" i="36"/>
  <c r="JI48" i="36"/>
  <c r="M373" i="11"/>
  <c r="P41" i="11"/>
  <c r="P1414" i="59"/>
  <c r="O41" i="11"/>
  <c r="O1414" i="59"/>
  <c r="P316" i="11"/>
  <c r="P1689" i="59"/>
  <c r="O316" i="11"/>
  <c r="O1689" i="59"/>
  <c r="O344" i="11"/>
  <c r="O345" i="11"/>
  <c r="O343" i="11"/>
  <c r="M343" i="11"/>
  <c r="M344" i="11"/>
  <c r="M345" i="11"/>
  <c r="P187" i="36"/>
  <c r="O187" i="36"/>
  <c r="P188" i="36"/>
  <c r="O188" i="36"/>
  <c r="P186" i="36"/>
  <c r="P190" i="36" s="1"/>
  <c r="N183" i="36" s="1"/>
  <c r="P182" i="36" s="1"/>
  <c r="P802" i="59" s="1"/>
  <c r="O186" i="36"/>
  <c r="H888" i="59"/>
  <c r="O335" i="11"/>
  <c r="O1708" i="59"/>
  <c r="P335" i="11"/>
  <c r="P1708" i="59"/>
  <c r="I888" i="59"/>
  <c r="N222" i="11"/>
  <c r="L222" i="11"/>
  <c r="J888" i="59"/>
  <c r="P211" i="11"/>
  <c r="P1584" i="59"/>
  <c r="O211" i="11"/>
  <c r="O1584" i="59"/>
  <c r="N1584" i="59"/>
  <c r="P181" i="11"/>
  <c r="P1554" i="59"/>
  <c r="K888" i="59"/>
  <c r="J169" i="11"/>
  <c r="B917" i="59"/>
  <c r="O115" i="11"/>
  <c r="O1488" i="59"/>
  <c r="L142" i="11"/>
  <c r="L141" i="11"/>
  <c r="L1514" i="59"/>
  <c r="C917" i="59"/>
  <c r="Q57" i="11"/>
  <c r="D917" i="59"/>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K10" i="36"/>
  <c r="HJ10" i="36"/>
  <c r="HC10" i="36"/>
  <c r="E917" i="59"/>
  <c r="FQ48" i="36"/>
  <c r="H102" i="36"/>
  <c r="FT48" i="36"/>
  <c r="K102" i="36"/>
  <c r="FR48" i="36"/>
  <c r="I102" i="36"/>
  <c r="FU48" i="36"/>
  <c r="L102" i="36"/>
  <c r="FS48" i="36"/>
  <c r="J102" i="36"/>
  <c r="IA48" i="36"/>
  <c r="J94" i="36"/>
  <c r="FG48" i="36"/>
  <c r="H96" i="36"/>
  <c r="FJ48" i="36"/>
  <c r="K96" i="36"/>
  <c r="FK48" i="36"/>
  <c r="L96" i="36"/>
  <c r="FI48" i="36"/>
  <c r="J96" i="36"/>
  <c r="FH48" i="36"/>
  <c r="I96" i="36"/>
  <c r="IC48" i="36"/>
  <c r="L94" i="36"/>
  <c r="HZ48" i="36"/>
  <c r="I94" i="36"/>
  <c r="HY48" i="36"/>
  <c r="H94" i="36"/>
  <c r="IB48" i="36"/>
  <c r="K94" i="36"/>
  <c r="HO48" i="36"/>
  <c r="H92" i="36"/>
  <c r="HS48" i="36"/>
  <c r="L92" i="36"/>
  <c r="HP48" i="36"/>
  <c r="I92" i="36"/>
  <c r="HR48" i="36"/>
  <c r="K92" i="36"/>
  <c r="HQ48" i="36"/>
  <c r="J92" i="36"/>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c r="J109" i="36"/>
  <c r="K59" i="6"/>
  <c r="K1009" i="59"/>
  <c r="H109" i="36"/>
  <c r="K57" i="6"/>
  <c r="K1007" i="59" s="1"/>
  <c r="K109" i="36"/>
  <c r="K60" i="6"/>
  <c r="I109" i="36"/>
  <c r="K58" i="6"/>
  <c r="K1008" i="59" s="1"/>
  <c r="L109" i="36"/>
  <c r="K61" i="6"/>
  <c r="K1011" i="59"/>
  <c r="M102" i="36"/>
  <c r="M96" i="36"/>
  <c r="M94" i="36"/>
  <c r="M92" i="36"/>
  <c r="HE48" i="36"/>
  <c r="H90" i="36"/>
  <c r="H111" i="36"/>
  <c r="K64" i="6"/>
  <c r="K1014" i="59" s="1"/>
  <c r="HI48" i="36"/>
  <c r="L90" i="36"/>
  <c r="L111" i="36"/>
  <c r="K68" i="6"/>
  <c r="HF48" i="36"/>
  <c r="I90" i="36"/>
  <c r="I111" i="36"/>
  <c r="K65" i="6"/>
  <c r="K1015" i="59" s="1"/>
  <c r="HG48" i="36"/>
  <c r="J90" i="36"/>
  <c r="J111" i="36"/>
  <c r="K66" i="6"/>
  <c r="K1016" i="59"/>
  <c r="HH48" i="36"/>
  <c r="K90" i="36"/>
  <c r="K111" i="36"/>
  <c r="K67" i="6"/>
  <c r="GB48" i="36"/>
  <c r="I100" i="36"/>
  <c r="GA48" i="36"/>
  <c r="H100" i="36"/>
  <c r="GE48" i="36"/>
  <c r="L100" i="36"/>
  <c r="GD48" i="36"/>
  <c r="K100" i="36"/>
  <c r="GC48" i="36"/>
  <c r="J100" i="36"/>
  <c r="GN48" i="36"/>
  <c r="K98" i="36"/>
  <c r="GL48" i="36"/>
  <c r="I98" i="36"/>
  <c r="GK48" i="36"/>
  <c r="H98" i="36"/>
  <c r="GO48" i="36"/>
  <c r="L98" i="36"/>
  <c r="GM48" i="36"/>
  <c r="J98" i="36"/>
  <c r="GU48" i="36"/>
  <c r="H88" i="36"/>
  <c r="GY48" i="36"/>
  <c r="L88" i="36"/>
  <c r="GV48" i="36"/>
  <c r="I88" i="36"/>
  <c r="GW48" i="36"/>
  <c r="J88" i="36"/>
  <c r="GX48" i="36"/>
  <c r="K88" i="36"/>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L84" i="36"/>
  <c r="H84" i="36"/>
  <c r="J84" i="36"/>
  <c r="I84" i="36"/>
  <c r="K84" i="36"/>
  <c r="M65" i="6"/>
  <c r="M1015" i="59" s="1"/>
  <c r="M58" i="6"/>
  <c r="M1008" i="59" s="1"/>
  <c r="M64" i="6"/>
  <c r="M1014" i="59" s="1"/>
  <c r="M66" i="6"/>
  <c r="M1016" i="59"/>
  <c r="M61" i="6"/>
  <c r="M1011" i="59" s="1"/>
  <c r="M59" i="6"/>
  <c r="M1009" i="59"/>
  <c r="I107" i="36"/>
  <c r="K51" i="6"/>
  <c r="K1001" i="59" s="1"/>
  <c r="H105" i="36"/>
  <c r="K43" i="6"/>
  <c r="L107" i="36"/>
  <c r="K54" i="6"/>
  <c r="K1004" i="59" s="1"/>
  <c r="K107" i="36"/>
  <c r="K53" i="6"/>
  <c r="K1003" i="59"/>
  <c r="H107" i="36"/>
  <c r="K50" i="6"/>
  <c r="K1000" i="59" s="1"/>
  <c r="J105" i="36"/>
  <c r="K45" i="6"/>
  <c r="I105" i="36"/>
  <c r="K44" i="6"/>
  <c r="M109" i="36"/>
  <c r="J107" i="36"/>
  <c r="K52" i="6"/>
  <c r="L105" i="36"/>
  <c r="K47" i="6"/>
  <c r="K997" i="59"/>
  <c r="M111" i="36"/>
  <c r="K105" i="36"/>
  <c r="K46" i="6"/>
  <c r="K996" i="59"/>
  <c r="M90" i="36"/>
  <c r="M100" i="36"/>
  <c r="M98" i="36"/>
  <c r="M88" i="36"/>
  <c r="H32" i="57"/>
  <c r="C32" i="57"/>
  <c r="I7" i="57"/>
  <c r="H5" i="57"/>
  <c r="M84" i="36"/>
  <c r="M50" i="6"/>
  <c r="M1000" i="59" s="1"/>
  <c r="M47" i="6"/>
  <c r="M997" i="59" s="1"/>
  <c r="M43" i="6"/>
  <c r="M993" i="59" s="1"/>
  <c r="M46" i="6"/>
  <c r="M996" i="59" s="1"/>
  <c r="M53" i="6"/>
  <c r="M1003" i="59"/>
  <c r="M54" i="6"/>
  <c r="M1004" i="59" s="1"/>
  <c r="M105" i="36"/>
  <c r="M107" i="36"/>
  <c r="G11" i="56"/>
  <c r="O190" i="36"/>
  <c r="P189" i="36"/>
  <c r="O189" i="36"/>
  <c r="P45" i="7"/>
  <c r="P51" i="59" s="1"/>
  <c r="E21" i="54"/>
  <c r="E8" i="54"/>
  <c r="C19" i="55"/>
  <c r="E7" i="54"/>
  <c r="C18" i="55"/>
  <c r="C23" i="55"/>
  <c r="C5" i="55"/>
  <c r="F75" i="54"/>
  <c r="E185" i="55"/>
  <c r="F73" i="54"/>
  <c r="E172" i="55"/>
  <c r="F71" i="54"/>
  <c r="E168" i="55"/>
  <c r="E50" i="54"/>
  <c r="C25" i="55"/>
  <c r="E49" i="54"/>
  <c r="C21" i="55"/>
  <c r="E47" i="54"/>
  <c r="F39" i="54"/>
  <c r="D81" i="55"/>
  <c r="E24" i="54"/>
  <c r="E23" i="54"/>
  <c r="E22" i="54"/>
  <c r="E20" i="54"/>
  <c r="E19" i="54"/>
  <c r="C139" i="55"/>
  <c r="E16" i="54"/>
  <c r="C30" i="55"/>
  <c r="F28" i="57"/>
  <c r="E12" i="54"/>
  <c r="E13" i="54"/>
  <c r="E11" i="54"/>
  <c r="E10" i="54"/>
  <c r="K24" i="53"/>
  <c r="K7" i="53"/>
  <c r="O6" i="51"/>
  <c r="E6" i="51"/>
  <c r="C1" i="51"/>
  <c r="K11" i="50"/>
  <c r="C133" i="55"/>
  <c r="B25" i="50"/>
  <c r="B32" i="50"/>
  <c r="B31" i="50"/>
  <c r="C32" i="50"/>
  <c r="C31" i="50"/>
  <c r="C30" i="50"/>
  <c r="C25" i="50"/>
  <c r="H12" i="50"/>
  <c r="H11" i="50"/>
  <c r="C132" i="55"/>
  <c r="C143" i="55"/>
  <c r="K10" i="50"/>
  <c r="C148" i="55"/>
  <c r="H10" i="50"/>
  <c r="C146" i="55"/>
  <c r="H9" i="50"/>
  <c r="C8" i="55"/>
  <c r="C16" i="50"/>
  <c r="C14" i="50"/>
  <c r="C12" i="50"/>
  <c r="C11" i="50"/>
  <c r="C59" i="55"/>
  <c r="C10" i="50"/>
  <c r="C57" i="55"/>
  <c r="E8" i="50"/>
  <c r="F13" i="49" s="1"/>
  <c r="C8" i="50"/>
  <c r="Q61" i="49"/>
  <c r="O61" i="49"/>
  <c r="N61" i="49"/>
  <c r="L61" i="49"/>
  <c r="A22" i="48"/>
  <c r="A20" i="48"/>
  <c r="A19" i="48"/>
  <c r="A12" i="48"/>
  <c r="A11" i="48"/>
  <c r="A10" i="48"/>
  <c r="F80" i="57"/>
  <c r="F74" i="57"/>
  <c r="F68" i="57"/>
  <c r="O22" i="51"/>
  <c r="O12" i="51"/>
  <c r="K5" i="51"/>
  <c r="C47" i="55"/>
  <c r="F17" i="49"/>
  <c r="H1" i="56"/>
  <c r="F15" i="49"/>
  <c r="K36" i="53"/>
  <c r="D39" i="53"/>
  <c r="C141" i="55"/>
  <c r="B3" i="57"/>
  <c r="E15" i="54"/>
  <c r="H3" i="57"/>
  <c r="C28" i="55"/>
  <c r="A2" i="50"/>
  <c r="F12" i="49"/>
  <c r="C34" i="50"/>
  <c r="D15" i="48"/>
  <c r="E65" i="54"/>
  <c r="E5" i="54"/>
  <c r="F84" i="57"/>
  <c r="A2" i="48"/>
  <c r="B2" i="53"/>
  <c r="A1" i="52"/>
  <c r="C29" i="50"/>
  <c r="A47" i="50"/>
  <c r="J340" i="11"/>
  <c r="P54" i="6"/>
  <c r="K29" i="50"/>
  <c r="K26" i="50"/>
  <c r="C36" i="50"/>
  <c r="K35" i="50"/>
  <c r="K37" i="50"/>
  <c r="P374" i="11"/>
  <c r="P376" i="11"/>
  <c r="P375" i="11"/>
  <c r="L250" i="11"/>
  <c r="Q56" i="11"/>
  <c r="Q58" i="11"/>
  <c r="A89" i="11"/>
  <c r="A90" i="11"/>
  <c r="A91" i="11"/>
  <c r="A88" i="11"/>
  <c r="A86" i="11"/>
  <c r="A84" i="11"/>
  <c r="Q62" i="11"/>
  <c r="Q60" i="11"/>
  <c r="P74" i="7"/>
  <c r="J29" i="7"/>
  <c r="K354" i="11"/>
  <c r="K1727" i="59"/>
  <c r="K352" i="11"/>
  <c r="K1725" i="59"/>
  <c r="A3" i="41"/>
  <c r="A1755" i="59"/>
  <c r="J1522" i="59"/>
  <c r="I580" i="59"/>
  <c r="A337" i="59"/>
  <c r="J35" i="59"/>
  <c r="J149" i="11"/>
  <c r="C45" i="55"/>
  <c r="C33" i="57"/>
  <c r="E17" i="54"/>
  <c r="C31" i="55"/>
  <c r="A1" i="47"/>
  <c r="I30" i="7"/>
  <c r="I36" i="59"/>
  <c r="K36" i="59"/>
  <c r="H8" i="50"/>
  <c r="F14" i="49"/>
  <c r="A3" i="48"/>
  <c r="B28" i="8"/>
  <c r="B845" i="59"/>
  <c r="L140" i="11"/>
  <c r="L1513" i="59"/>
  <c r="G304" i="11"/>
  <c r="I267" i="11"/>
  <c r="L232" i="11"/>
  <c r="I211" i="11"/>
  <c r="K212" i="11"/>
  <c r="J156" i="11"/>
  <c r="I80" i="11"/>
  <c r="J55" i="11"/>
  <c r="O78" i="11"/>
  <c r="O1451" i="59"/>
  <c r="P78" i="11"/>
  <c r="P1451" i="59"/>
  <c r="P172" i="11"/>
  <c r="P1545" i="59"/>
  <c r="P165" i="11"/>
  <c r="P1538" i="59"/>
  <c r="O165" i="11"/>
  <c r="O1538" i="59"/>
  <c r="O172" i="11"/>
  <c r="O1545" i="59"/>
  <c r="P54" i="11"/>
  <c r="P1427" i="59"/>
  <c r="O54" i="11"/>
  <c r="O1427" i="59"/>
  <c r="E103" i="11"/>
  <c r="O102" i="11"/>
  <c r="O1475" i="59"/>
  <c r="O164" i="11"/>
  <c r="P164" i="11"/>
  <c r="P155" i="11"/>
  <c r="P1528" i="59"/>
  <c r="P1537" i="59"/>
  <c r="O155" i="11"/>
  <c r="O1528" i="59"/>
  <c r="O1537" i="59"/>
  <c r="K30" i="7"/>
  <c r="I202" i="11"/>
  <c r="L258" i="11"/>
  <c r="P256" i="11"/>
  <c r="P1629" i="59"/>
  <c r="I258" i="11"/>
  <c r="O256" i="11"/>
  <c r="O1629" i="59"/>
  <c r="I212" i="11"/>
  <c r="K355" i="11"/>
  <c r="K1728" i="59"/>
  <c r="I1585" i="59"/>
  <c r="H15" i="50"/>
  <c r="F18" i="49"/>
  <c r="N41" i="3"/>
  <c r="N377" i="59"/>
  <c r="N39" i="3"/>
  <c r="N375" i="59"/>
  <c r="N38" i="3"/>
  <c r="N374" i="59"/>
  <c r="N37" i="3"/>
  <c r="N373" i="59"/>
  <c r="N372" i="59"/>
  <c r="A104" i="11"/>
  <c r="U62" i="15"/>
  <c r="A62" i="15"/>
  <c r="W40" i="15"/>
  <c r="O40" i="15"/>
  <c r="E37" i="15"/>
  <c r="E36" i="15"/>
  <c r="S38" i="15"/>
  <c r="P38" i="15"/>
  <c r="M38" i="15"/>
  <c r="J38" i="15"/>
  <c r="G38" i="15"/>
  <c r="S33" i="15"/>
  <c r="P33" i="15"/>
  <c r="M33" i="15"/>
  <c r="J33" i="15"/>
  <c r="G33" i="15"/>
  <c r="F112" i="8"/>
  <c r="F929" i="59"/>
  <c r="B112" i="8"/>
  <c r="B929" i="59"/>
  <c r="E112" i="8"/>
  <c r="E929" i="59"/>
  <c r="C112" i="8"/>
  <c r="C929" i="59"/>
  <c r="D112" i="8"/>
  <c r="D929" i="59"/>
  <c r="D113" i="8"/>
  <c r="D930" i="59"/>
  <c r="C113" i="8"/>
  <c r="C930" i="59"/>
  <c r="F113" i="8"/>
  <c r="F930" i="59"/>
  <c r="B113" i="8"/>
  <c r="B930" i="59"/>
  <c r="E113" i="8"/>
  <c r="E930" i="59"/>
  <c r="F110" i="8"/>
  <c r="B110" i="8"/>
  <c r="E110" i="8"/>
  <c r="D110" i="8"/>
  <c r="C110" i="8"/>
  <c r="F116" i="8"/>
  <c r="F933" i="59"/>
  <c r="B116" i="8"/>
  <c r="B933" i="59"/>
  <c r="C116" i="8"/>
  <c r="C933" i="59"/>
  <c r="E116" i="8"/>
  <c r="E933" i="59"/>
  <c r="D116" i="8"/>
  <c r="D933" i="59"/>
  <c r="D111" i="8"/>
  <c r="D928" i="59"/>
  <c r="C111" i="8"/>
  <c r="C928" i="59"/>
  <c r="F111" i="8"/>
  <c r="F928" i="59"/>
  <c r="B111" i="8"/>
  <c r="B928" i="59"/>
  <c r="E111" i="8"/>
  <c r="B23" i="8"/>
  <c r="B840" i="59"/>
  <c r="B25" i="8"/>
  <c r="B842" i="59"/>
  <c r="B24" i="8"/>
  <c r="B841" i="59"/>
  <c r="B29" i="8"/>
  <c r="B26" i="8"/>
  <c r="B843" i="59"/>
  <c r="B846" i="59"/>
  <c r="E119" i="8"/>
  <c r="E936" i="59" s="1"/>
  <c r="E928" i="59"/>
  <c r="D927" i="59"/>
  <c r="B927" i="59"/>
  <c r="C927" i="59"/>
  <c r="E927" i="59"/>
  <c r="F927" i="59"/>
  <c r="D119" i="8"/>
  <c r="D936" i="59" s="1"/>
  <c r="B120" i="8"/>
  <c r="B937" i="59" s="1"/>
  <c r="C119" i="8"/>
  <c r="C936" i="59" s="1"/>
  <c r="B121" i="8"/>
  <c r="B938" i="59" s="1"/>
  <c r="E120" i="8"/>
  <c r="E937" i="59" s="1"/>
  <c r="F121" i="8"/>
  <c r="F938" i="59"/>
  <c r="B119" i="8"/>
  <c r="B936" i="59" s="1"/>
  <c r="C121" i="8"/>
  <c r="C938" i="59"/>
  <c r="D120" i="8"/>
  <c r="D937" i="59" s="1"/>
  <c r="F120" i="8"/>
  <c r="F937" i="59" s="1"/>
  <c r="F119" i="8"/>
  <c r="F936" i="59" s="1"/>
  <c r="E121" i="8"/>
  <c r="E938" i="59" s="1"/>
  <c r="D121" i="8"/>
  <c r="D938" i="59" s="1"/>
  <c r="C120" i="8"/>
  <c r="C937" i="59"/>
  <c r="E8" i="52"/>
  <c r="C75" i="50"/>
  <c r="P287" i="11"/>
  <c r="P1660" i="59"/>
  <c r="O287" i="11"/>
  <c r="O1660" i="59"/>
  <c r="K75" i="6"/>
  <c r="C77" i="50"/>
  <c r="C81" i="50"/>
  <c r="I75" i="50"/>
  <c r="I77" i="50"/>
  <c r="E75" i="50"/>
  <c r="E77" i="50"/>
  <c r="K75" i="50"/>
  <c r="K77" i="50"/>
  <c r="G75" i="50"/>
  <c r="G77" i="50"/>
  <c r="BL11" i="36"/>
  <c r="BL12" i="36"/>
  <c r="BL13" i="36"/>
  <c r="BL14" i="36"/>
  <c r="BL15" i="36"/>
  <c r="BL16" i="36"/>
  <c r="BL17" i="36"/>
  <c r="BL18" i="36"/>
  <c r="BL19" i="36"/>
  <c r="BL20" i="36"/>
  <c r="BL21" i="36"/>
  <c r="BL22" i="36"/>
  <c r="BL23" i="36"/>
  <c r="BL24" i="36"/>
  <c r="BL25" i="36"/>
  <c r="BL26" i="36"/>
  <c r="BL27" i="36"/>
  <c r="BL28" i="36"/>
  <c r="BL29" i="36"/>
  <c r="BL30" i="36"/>
  <c r="BL31" i="36"/>
  <c r="BL32" i="36"/>
  <c r="BL33" i="36"/>
  <c r="BL34" i="36"/>
  <c r="BL35" i="36"/>
  <c r="BL36" i="36"/>
  <c r="BL37" i="36"/>
  <c r="BL38" i="36"/>
  <c r="BL39" i="36"/>
  <c r="BL40" i="36"/>
  <c r="BL41" i="36"/>
  <c r="BL42" i="36"/>
  <c r="BL43" i="36"/>
  <c r="BL44" i="36"/>
  <c r="BL45" i="36"/>
  <c r="BL46" i="36"/>
  <c r="BL47" i="36"/>
  <c r="BL10" i="36"/>
  <c r="C80" i="50"/>
  <c r="I250" i="11"/>
  <c r="B97" i="8"/>
  <c r="B914" i="59"/>
  <c r="B96" i="8"/>
  <c r="B913" i="59"/>
  <c r="B95" i="8"/>
  <c r="B912" i="59"/>
  <c r="B68" i="8"/>
  <c r="B885" i="59"/>
  <c r="B67" i="8"/>
  <c r="B884" i="59"/>
  <c r="B66" i="8"/>
  <c r="B883" i="59"/>
  <c r="K98" i="8"/>
  <c r="K915" i="59"/>
  <c r="J98" i="8"/>
  <c r="J915" i="59"/>
  <c r="I98" i="8"/>
  <c r="I915" i="59"/>
  <c r="H98" i="8"/>
  <c r="H915" i="59"/>
  <c r="G98" i="8"/>
  <c r="G915" i="59"/>
  <c r="F98" i="8"/>
  <c r="F915" i="59"/>
  <c r="E98" i="8"/>
  <c r="E915" i="59"/>
  <c r="D98" i="8"/>
  <c r="D915" i="59"/>
  <c r="C98" i="8"/>
  <c r="C915" i="59"/>
  <c r="K97" i="8"/>
  <c r="K914" i="59"/>
  <c r="J97" i="8"/>
  <c r="J914" i="59"/>
  <c r="I97" i="8"/>
  <c r="I914" i="59"/>
  <c r="H97" i="8"/>
  <c r="H914" i="59"/>
  <c r="G97" i="8"/>
  <c r="G914" i="59"/>
  <c r="F97" i="8"/>
  <c r="F914" i="59"/>
  <c r="E97" i="8"/>
  <c r="E914" i="59"/>
  <c r="D97" i="8"/>
  <c r="D914" i="59"/>
  <c r="C97" i="8"/>
  <c r="C914" i="59"/>
  <c r="K96" i="8"/>
  <c r="K913" i="59"/>
  <c r="J96" i="8"/>
  <c r="J913" i="59"/>
  <c r="I96" i="8"/>
  <c r="I913" i="59"/>
  <c r="H96" i="8"/>
  <c r="H913" i="59"/>
  <c r="G96" i="8"/>
  <c r="G913" i="59"/>
  <c r="F96" i="8"/>
  <c r="F913" i="59"/>
  <c r="E96" i="8"/>
  <c r="E913" i="59"/>
  <c r="D96" i="8"/>
  <c r="D913" i="59"/>
  <c r="C96" i="8"/>
  <c r="C913" i="59"/>
  <c r="K95" i="8"/>
  <c r="K912" i="59"/>
  <c r="J95" i="8"/>
  <c r="J912" i="59"/>
  <c r="I95" i="8"/>
  <c r="I912" i="59"/>
  <c r="H95" i="8"/>
  <c r="H912" i="59"/>
  <c r="G95" i="8"/>
  <c r="G912" i="59"/>
  <c r="F95" i="8"/>
  <c r="F912" i="59"/>
  <c r="E95" i="8"/>
  <c r="E912" i="59"/>
  <c r="D95" i="8"/>
  <c r="D912" i="59"/>
  <c r="C95" i="8"/>
  <c r="C912" i="59"/>
  <c r="C66" i="8"/>
  <c r="C883" i="59"/>
  <c r="D66" i="8"/>
  <c r="D883" i="59"/>
  <c r="E66" i="8"/>
  <c r="E883" i="59"/>
  <c r="F66" i="8"/>
  <c r="F883" i="59"/>
  <c r="G66" i="8"/>
  <c r="G883" i="59"/>
  <c r="H66" i="8"/>
  <c r="H883" i="59"/>
  <c r="I66" i="8"/>
  <c r="I883" i="59"/>
  <c r="J66" i="8"/>
  <c r="J883" i="59"/>
  <c r="C67" i="8"/>
  <c r="C884" i="59"/>
  <c r="D67" i="8"/>
  <c r="D884" i="59"/>
  <c r="E67" i="8"/>
  <c r="E884" i="59"/>
  <c r="F67" i="8"/>
  <c r="F884" i="59"/>
  <c r="G67" i="8"/>
  <c r="G884" i="59"/>
  <c r="H67" i="8"/>
  <c r="H884" i="59"/>
  <c r="I67" i="8"/>
  <c r="I884" i="59"/>
  <c r="J67" i="8"/>
  <c r="J884" i="59"/>
  <c r="C68" i="8"/>
  <c r="C885" i="59"/>
  <c r="D68" i="8"/>
  <c r="D885" i="59"/>
  <c r="E68" i="8"/>
  <c r="E885" i="59"/>
  <c r="F68" i="8"/>
  <c r="F885" i="59"/>
  <c r="G68" i="8"/>
  <c r="G885" i="59"/>
  <c r="H68" i="8"/>
  <c r="H885" i="59"/>
  <c r="I68" i="8"/>
  <c r="I885" i="59"/>
  <c r="J68" i="8"/>
  <c r="J885" i="59"/>
  <c r="B69" i="8"/>
  <c r="B886" i="59"/>
  <c r="C69" i="8"/>
  <c r="C886" i="59"/>
  <c r="D69" i="8"/>
  <c r="D886" i="59"/>
  <c r="E69" i="8"/>
  <c r="E886" i="59"/>
  <c r="F69" i="8"/>
  <c r="F886" i="59"/>
  <c r="G69" i="8"/>
  <c r="G886" i="59"/>
  <c r="H69" i="8"/>
  <c r="H886" i="59"/>
  <c r="I69" i="8"/>
  <c r="I886" i="59"/>
  <c r="J69" i="8"/>
  <c r="J886" i="59"/>
  <c r="K69" i="8"/>
  <c r="K886" i="59"/>
  <c r="K68" i="8"/>
  <c r="K885" i="59"/>
  <c r="K67" i="8"/>
  <c r="K884" i="59"/>
  <c r="K66" i="8"/>
  <c r="K883" i="59"/>
  <c r="D37" i="8"/>
  <c r="D854" i="59"/>
  <c r="E37" i="8"/>
  <c r="E854" i="59"/>
  <c r="F37" i="8"/>
  <c r="F854" i="59"/>
  <c r="G37" i="8"/>
  <c r="G854" i="59"/>
  <c r="H37" i="8"/>
  <c r="H854" i="59"/>
  <c r="I37" i="8"/>
  <c r="I854" i="59"/>
  <c r="J37" i="8"/>
  <c r="J854" i="59"/>
  <c r="K37" i="8"/>
  <c r="K854" i="59"/>
  <c r="D38" i="8"/>
  <c r="D855" i="59"/>
  <c r="E38" i="8"/>
  <c r="E855" i="59"/>
  <c r="F38" i="8"/>
  <c r="F855" i="59"/>
  <c r="G38" i="8"/>
  <c r="G855" i="59"/>
  <c r="H38" i="8"/>
  <c r="H855" i="59"/>
  <c r="I38" i="8"/>
  <c r="I855" i="59"/>
  <c r="J38" i="8"/>
  <c r="J855" i="59"/>
  <c r="K38" i="8"/>
  <c r="K855" i="59"/>
  <c r="D39" i="8"/>
  <c r="D856" i="59"/>
  <c r="E39" i="8"/>
  <c r="E856" i="59"/>
  <c r="F39" i="8"/>
  <c r="F856" i="59"/>
  <c r="G39" i="8"/>
  <c r="G856" i="59"/>
  <c r="H39" i="8"/>
  <c r="H856" i="59"/>
  <c r="I39" i="8"/>
  <c r="I856" i="59"/>
  <c r="J39" i="8"/>
  <c r="J856" i="59"/>
  <c r="K39" i="8"/>
  <c r="K856" i="59"/>
  <c r="D40" i="8"/>
  <c r="D857" i="59"/>
  <c r="E40" i="8"/>
  <c r="E857" i="59"/>
  <c r="F40" i="8"/>
  <c r="F857" i="59"/>
  <c r="G40" i="8"/>
  <c r="G857" i="59"/>
  <c r="H40" i="8"/>
  <c r="H857" i="59"/>
  <c r="I40" i="8"/>
  <c r="I857" i="59"/>
  <c r="J40" i="8"/>
  <c r="J857" i="59"/>
  <c r="K40" i="8"/>
  <c r="K857" i="59"/>
  <c r="C39" i="8"/>
  <c r="C856" i="59"/>
  <c r="C38" i="8"/>
  <c r="C855" i="59"/>
  <c r="C37" i="8"/>
  <c r="C854" i="59"/>
  <c r="B40" i="8"/>
  <c r="B857" i="59"/>
  <c r="B39" i="8"/>
  <c r="B856" i="59"/>
  <c r="B38" i="8"/>
  <c r="B855" i="59"/>
  <c r="B37" i="8"/>
  <c r="B854" i="59"/>
  <c r="B36" i="8"/>
  <c r="B853" i="59"/>
  <c r="W136" i="15"/>
  <c r="N211" i="11"/>
  <c r="N181" i="11"/>
  <c r="N69" i="11"/>
  <c r="H51" i="51"/>
  <c r="C31" i="51"/>
  <c r="F11" i="51"/>
  <c r="F51" i="51"/>
  <c r="I31" i="51"/>
  <c r="C10" i="51"/>
  <c r="D11" i="51"/>
  <c r="C11" i="51"/>
  <c r="E11" i="51"/>
  <c r="E31" i="51"/>
  <c r="H11" i="51"/>
  <c r="D51" i="51"/>
  <c r="G31" i="51"/>
  <c r="F31" i="51"/>
  <c r="I11" i="51"/>
  <c r="E51" i="51"/>
  <c r="H31" i="51"/>
  <c r="D31" i="51"/>
  <c r="G11" i="51"/>
  <c r="G51" i="51"/>
  <c r="C51" i="51"/>
  <c r="M6" i="11"/>
  <c r="P300" i="11"/>
  <c r="P1673" i="59"/>
  <c r="O300" i="1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c r="J84" i="8"/>
  <c r="J901" i="59"/>
  <c r="I84" i="8"/>
  <c r="I901" i="59"/>
  <c r="H84" i="8"/>
  <c r="H901" i="59"/>
  <c r="G84" i="8"/>
  <c r="G901" i="59"/>
  <c r="F84" i="8"/>
  <c r="F901" i="59"/>
  <c r="E84" i="8"/>
  <c r="E901" i="59"/>
  <c r="D84" i="8"/>
  <c r="D901" i="59"/>
  <c r="C84" i="8"/>
  <c r="C901" i="59"/>
  <c r="B84" i="8"/>
  <c r="B901" i="59"/>
  <c r="K83" i="8"/>
  <c r="K900" i="59"/>
  <c r="J83" i="8"/>
  <c r="J900" i="59"/>
  <c r="I83" i="8"/>
  <c r="I900" i="59"/>
  <c r="H83" i="8"/>
  <c r="H900" i="59"/>
  <c r="G83" i="8"/>
  <c r="G900" i="59"/>
  <c r="F83" i="8"/>
  <c r="F900" i="59"/>
  <c r="E83" i="8"/>
  <c r="E900" i="59"/>
  <c r="D83" i="8"/>
  <c r="D900" i="59"/>
  <c r="C83" i="8"/>
  <c r="C900" i="59"/>
  <c r="B83" i="8"/>
  <c r="B900" i="59"/>
  <c r="K82" i="8"/>
  <c r="K899" i="59"/>
  <c r="J82" i="8"/>
  <c r="J899" i="59"/>
  <c r="I82" i="8"/>
  <c r="I899" i="59"/>
  <c r="H82" i="8"/>
  <c r="H899" i="59"/>
  <c r="G82" i="8"/>
  <c r="G899" i="59"/>
  <c r="F82" i="8"/>
  <c r="F899" i="59"/>
  <c r="E82" i="8"/>
  <c r="E899" i="59"/>
  <c r="D82" i="8"/>
  <c r="D899" i="59"/>
  <c r="C82" i="8"/>
  <c r="C899" i="59"/>
  <c r="B82" i="8"/>
  <c r="B899" i="59"/>
  <c r="K55" i="8"/>
  <c r="K872" i="59"/>
  <c r="J55" i="8"/>
  <c r="J872" i="59"/>
  <c r="I55" i="8"/>
  <c r="I872" i="59"/>
  <c r="H55" i="8"/>
  <c r="H872" i="59"/>
  <c r="G55" i="8"/>
  <c r="G872" i="59"/>
  <c r="F55" i="8"/>
  <c r="F872" i="59"/>
  <c r="E55" i="8"/>
  <c r="E872" i="59"/>
  <c r="D55" i="8"/>
  <c r="D872" i="59"/>
  <c r="C55" i="8"/>
  <c r="C872" i="59"/>
  <c r="B55" i="8"/>
  <c r="B872" i="59"/>
  <c r="K54" i="8"/>
  <c r="K871" i="59"/>
  <c r="J54" i="8"/>
  <c r="J871" i="59"/>
  <c r="I54" i="8"/>
  <c r="I871" i="59"/>
  <c r="H54" i="8"/>
  <c r="H871" i="59"/>
  <c r="G54" i="8"/>
  <c r="G871" i="59"/>
  <c r="F54" i="8"/>
  <c r="F871" i="59"/>
  <c r="E54" i="8"/>
  <c r="E871" i="59"/>
  <c r="D54" i="8"/>
  <c r="D871" i="59"/>
  <c r="C54" i="8"/>
  <c r="C871" i="59"/>
  <c r="B54" i="8"/>
  <c r="B871" i="59"/>
  <c r="K53" i="8"/>
  <c r="K870" i="59"/>
  <c r="J53" i="8"/>
  <c r="J870" i="59"/>
  <c r="I53" i="8"/>
  <c r="I870" i="59"/>
  <c r="H53" i="8"/>
  <c r="H870" i="59"/>
  <c r="G53" i="8"/>
  <c r="G870" i="59"/>
  <c r="F53" i="8"/>
  <c r="F870" i="59"/>
  <c r="E53" i="8"/>
  <c r="E870" i="59"/>
  <c r="D53" i="8"/>
  <c r="D870" i="59"/>
  <c r="C53" i="8"/>
  <c r="C870" i="59"/>
  <c r="B53" i="8"/>
  <c r="B870" i="59"/>
  <c r="K26" i="8"/>
  <c r="K843" i="59"/>
  <c r="J26" i="8"/>
  <c r="J843" i="59"/>
  <c r="I26" i="8"/>
  <c r="I843" i="59"/>
  <c r="H26" i="8"/>
  <c r="H843" i="59"/>
  <c r="G26" i="8"/>
  <c r="G843" i="59"/>
  <c r="F26" i="8"/>
  <c r="F843" i="59"/>
  <c r="E26" i="8"/>
  <c r="E843" i="59"/>
  <c r="D26" i="8"/>
  <c r="D843" i="59"/>
  <c r="C26" i="8"/>
  <c r="C843" i="59"/>
  <c r="K25" i="8"/>
  <c r="K842" i="59"/>
  <c r="J25" i="8"/>
  <c r="J842" i="59"/>
  <c r="I25" i="8"/>
  <c r="I842" i="59"/>
  <c r="H25" i="8"/>
  <c r="H842" i="59"/>
  <c r="G25" i="8"/>
  <c r="G842" i="59"/>
  <c r="F25" i="8"/>
  <c r="F842" i="59"/>
  <c r="E25" i="8"/>
  <c r="E842" i="59"/>
  <c r="D25" i="8"/>
  <c r="D842" i="59"/>
  <c r="C25" i="8"/>
  <c r="C842" i="59"/>
  <c r="K24" i="8"/>
  <c r="K841" i="59"/>
  <c r="J24" i="8"/>
  <c r="J841" i="59"/>
  <c r="I24" i="8"/>
  <c r="I841" i="59"/>
  <c r="H24" i="8"/>
  <c r="H841" i="59"/>
  <c r="G24" i="8"/>
  <c r="G841" i="59"/>
  <c r="F24" i="8"/>
  <c r="F841" i="59"/>
  <c r="E24" i="8"/>
  <c r="E841" i="59"/>
  <c r="D24" i="8"/>
  <c r="D841" i="59"/>
  <c r="C24" i="8"/>
  <c r="C841" i="59"/>
  <c r="I53" i="3"/>
  <c r="O46" i="15"/>
  <c r="M17" i="15"/>
  <c r="O8" i="11"/>
  <c r="O1381" i="59"/>
  <c r="O191" i="11"/>
  <c r="O1564" i="59"/>
  <c r="O365" i="11"/>
  <c r="O1738" i="59"/>
  <c r="L1738" i="59"/>
  <c r="G116" i="15"/>
  <c r="J124" i="15"/>
  <c r="J17" i="15"/>
  <c r="J27" i="15"/>
  <c r="J77" i="15"/>
  <c r="J83" i="15"/>
  <c r="J116" i="15"/>
  <c r="J128" i="15"/>
  <c r="J144" i="15"/>
  <c r="J148" i="15"/>
  <c r="W10" i="36"/>
  <c r="W47" i="36"/>
  <c r="W18" i="36"/>
  <c r="AB10" i="36"/>
  <c r="AB47" i="36"/>
  <c r="AB18" i="36"/>
  <c r="X10" i="36"/>
  <c r="X47" i="36"/>
  <c r="X18" i="36"/>
  <c r="AC10" i="36"/>
  <c r="AC47" i="36"/>
  <c r="AC18" i="36"/>
  <c r="Y10" i="36"/>
  <c r="Y47" i="36"/>
  <c r="Y18" i="36"/>
  <c r="AD10" i="36"/>
  <c r="AD47" i="36"/>
  <c r="AD18" i="36"/>
  <c r="Z10" i="36"/>
  <c r="Z47" i="36"/>
  <c r="Z18" i="36"/>
  <c r="AE10" i="36"/>
  <c r="AE47" i="36"/>
  <c r="AE18" i="36"/>
  <c r="AA10" i="36"/>
  <c r="AA47" i="36"/>
  <c r="AA18" i="36"/>
  <c r="AF10" i="36"/>
  <c r="AF47" i="36"/>
  <c r="AF18" i="36"/>
  <c r="AL10" i="36"/>
  <c r="AL47" i="36"/>
  <c r="AL18" i="36"/>
  <c r="AM10" i="36"/>
  <c r="AM47" i="36"/>
  <c r="AM18" i="36"/>
  <c r="AN10" i="36"/>
  <c r="AN47" i="36"/>
  <c r="AN18" i="36"/>
  <c r="AO10" i="36"/>
  <c r="AO47" i="36"/>
  <c r="AO18" i="36"/>
  <c r="AP10" i="36"/>
  <c r="AP47" i="36"/>
  <c r="AP18" i="36"/>
  <c r="BZ10" i="36"/>
  <c r="BZ47" i="36"/>
  <c r="BZ18" i="36"/>
  <c r="CE10" i="36"/>
  <c r="CE47" i="36"/>
  <c r="CE18" i="36"/>
  <c r="CA10" i="36"/>
  <c r="CA47" i="36"/>
  <c r="CA18" i="36"/>
  <c r="CF10" i="36"/>
  <c r="CF47" i="36"/>
  <c r="CF18" i="36"/>
  <c r="CB10" i="36"/>
  <c r="CB47" i="36"/>
  <c r="CB18" i="36"/>
  <c r="CG10" i="36"/>
  <c r="CG47" i="36"/>
  <c r="CG18" i="36"/>
  <c r="CC10" i="36"/>
  <c r="CC47" i="36"/>
  <c r="CC18" i="36"/>
  <c r="CH10" i="36"/>
  <c r="CH47" i="36"/>
  <c r="CH18" i="36"/>
  <c r="CD10" i="36"/>
  <c r="CD47" i="36"/>
  <c r="CD18" i="36"/>
  <c r="CI10" i="36"/>
  <c r="CI47" i="36"/>
  <c r="CI18" i="36"/>
  <c r="CO10" i="36"/>
  <c r="CO47" i="36"/>
  <c r="CO18" i="36"/>
  <c r="CP10" i="36"/>
  <c r="CP47" i="36"/>
  <c r="CP18" i="36"/>
  <c r="CQ10" i="36"/>
  <c r="CQ47" i="36"/>
  <c r="CQ18" i="36"/>
  <c r="CR10" i="36"/>
  <c r="CR47" i="36"/>
  <c r="CR18" i="36"/>
  <c r="CS10" i="36"/>
  <c r="CS47" i="36"/>
  <c r="CS18" i="36"/>
  <c r="M124" i="15"/>
  <c r="M23" i="15"/>
  <c r="M27" i="15"/>
  <c r="M77" i="15"/>
  <c r="M83" i="15"/>
  <c r="M116" i="15"/>
  <c r="M128" i="15"/>
  <c r="P124" i="15"/>
  <c r="P17" i="15"/>
  <c r="P27" i="15"/>
  <c r="P77" i="15"/>
  <c r="P83" i="15"/>
  <c r="P116" i="15"/>
  <c r="P128" i="15"/>
  <c r="P144" i="15"/>
  <c r="P148" i="15"/>
  <c r="W11" i="36"/>
  <c r="W12" i="36"/>
  <c r="W13" i="36"/>
  <c r="W14" i="36"/>
  <c r="W15" i="36"/>
  <c r="W16" i="36"/>
  <c r="W17" i="36"/>
  <c r="W19" i="36"/>
  <c r="W20" i="36"/>
  <c r="W21" i="36"/>
  <c r="W22" i="36"/>
  <c r="W23" i="36"/>
  <c r="W24" i="36"/>
  <c r="W25" i="36"/>
  <c r="W26" i="36"/>
  <c r="W27" i="36"/>
  <c r="W28" i="36"/>
  <c r="W29" i="36"/>
  <c r="W30" i="36"/>
  <c r="W31" i="36"/>
  <c r="W32" i="36"/>
  <c r="W33" i="36"/>
  <c r="W34" i="36"/>
  <c r="W35" i="36"/>
  <c r="W36" i="36"/>
  <c r="W37" i="36"/>
  <c r="W38" i="36"/>
  <c r="W39" i="36"/>
  <c r="W40" i="36"/>
  <c r="W41" i="36"/>
  <c r="W42" i="36"/>
  <c r="W43" i="36"/>
  <c r="W44" i="36"/>
  <c r="W45" i="36"/>
  <c r="W46" i="36"/>
  <c r="AB11" i="36"/>
  <c r="AB12" i="36"/>
  <c r="AB13" i="36"/>
  <c r="AB14" i="36"/>
  <c r="AB15" i="36"/>
  <c r="AB16" i="36"/>
  <c r="AB17" i="36"/>
  <c r="AB19" i="36"/>
  <c r="AB20" i="36"/>
  <c r="AB21" i="36"/>
  <c r="AB22" i="36"/>
  <c r="AB23" i="36"/>
  <c r="AB24" i="36"/>
  <c r="AB25" i="36"/>
  <c r="AB26" i="36"/>
  <c r="AB27" i="36"/>
  <c r="AB28" i="36"/>
  <c r="AB29" i="36"/>
  <c r="AB30" i="36"/>
  <c r="AB31" i="36"/>
  <c r="AB32" i="36"/>
  <c r="AB33" i="36"/>
  <c r="AB34" i="36"/>
  <c r="AB35" i="36"/>
  <c r="AB36" i="36"/>
  <c r="AB37" i="36"/>
  <c r="AB38" i="36"/>
  <c r="AB39" i="36"/>
  <c r="AB40" i="36"/>
  <c r="AB41" i="36"/>
  <c r="AB42" i="36"/>
  <c r="AB43" i="36"/>
  <c r="AB44" i="36"/>
  <c r="AB45" i="36"/>
  <c r="AB46" i="36"/>
  <c r="X11" i="36"/>
  <c r="X12" i="36"/>
  <c r="X13" i="36"/>
  <c r="X14" i="36"/>
  <c r="X15" i="36"/>
  <c r="X16" i="36"/>
  <c r="X17" i="36"/>
  <c r="X19" i="36"/>
  <c r="X20" i="36"/>
  <c r="X21" i="36"/>
  <c r="X22" i="36"/>
  <c r="X23" i="36"/>
  <c r="X24" i="36"/>
  <c r="X25" i="36"/>
  <c r="X26" i="36"/>
  <c r="X27" i="36"/>
  <c r="X28" i="36"/>
  <c r="X29" i="36"/>
  <c r="X30" i="36"/>
  <c r="X31" i="36"/>
  <c r="X32" i="36"/>
  <c r="X33" i="36"/>
  <c r="X34" i="36"/>
  <c r="X35" i="36"/>
  <c r="X36" i="36"/>
  <c r="X37" i="36"/>
  <c r="X38" i="36"/>
  <c r="X39" i="36"/>
  <c r="X40" i="36"/>
  <c r="X41" i="36"/>
  <c r="X42" i="36"/>
  <c r="X43" i="36"/>
  <c r="X44" i="36"/>
  <c r="X45" i="36"/>
  <c r="X46" i="36"/>
  <c r="AC11" i="36"/>
  <c r="AC12" i="36"/>
  <c r="AC13" i="36"/>
  <c r="AC14" i="36"/>
  <c r="AC15" i="36"/>
  <c r="AC16" i="36"/>
  <c r="AC17" i="36"/>
  <c r="AC19" i="36"/>
  <c r="AC20" i="36"/>
  <c r="AC21" i="36"/>
  <c r="AC22" i="36"/>
  <c r="AC23" i="36"/>
  <c r="AC24" i="36"/>
  <c r="AC25" i="36"/>
  <c r="AC26" i="36"/>
  <c r="AC27" i="36"/>
  <c r="AC28" i="36"/>
  <c r="AC29" i="36"/>
  <c r="AC30" i="36"/>
  <c r="AC31" i="36"/>
  <c r="AC32" i="36"/>
  <c r="AC33" i="36"/>
  <c r="AC34" i="36"/>
  <c r="AC35" i="36"/>
  <c r="AC36" i="36"/>
  <c r="AC37" i="36"/>
  <c r="AC38" i="36"/>
  <c r="AC39" i="36"/>
  <c r="AC40" i="36"/>
  <c r="AC41" i="36"/>
  <c r="AC42" i="36"/>
  <c r="AC43" i="36"/>
  <c r="AC44" i="36"/>
  <c r="AC45" i="36"/>
  <c r="AC46" i="36"/>
  <c r="Y11" i="36"/>
  <c r="Y12" i="36"/>
  <c r="Y13" i="36"/>
  <c r="Y14" i="36"/>
  <c r="Y15" i="36"/>
  <c r="Y16" i="36"/>
  <c r="Y17" i="36"/>
  <c r="Y19" i="36"/>
  <c r="Y20" i="36"/>
  <c r="Y21" i="36"/>
  <c r="Y22" i="36"/>
  <c r="Y23" i="36"/>
  <c r="Y24" i="36"/>
  <c r="Y25" i="36"/>
  <c r="Y26" i="36"/>
  <c r="Y27" i="36"/>
  <c r="Y28" i="36"/>
  <c r="Y29" i="36"/>
  <c r="Y30" i="36"/>
  <c r="Y31" i="36"/>
  <c r="Y32" i="36"/>
  <c r="Y33" i="36"/>
  <c r="Y34" i="36"/>
  <c r="Y35" i="36"/>
  <c r="Y36" i="36"/>
  <c r="Y37" i="36"/>
  <c r="Y38" i="36"/>
  <c r="Y39" i="36"/>
  <c r="Y40" i="36"/>
  <c r="Y41" i="36"/>
  <c r="Y42" i="36"/>
  <c r="Y43" i="36"/>
  <c r="Y44" i="36"/>
  <c r="Y45" i="36"/>
  <c r="Y46" i="36"/>
  <c r="AD11" i="36"/>
  <c r="AD12" i="36"/>
  <c r="AD13" i="36"/>
  <c r="AD14" i="36"/>
  <c r="AD15" i="36"/>
  <c r="AD16" i="36"/>
  <c r="AD17" i="36"/>
  <c r="AD19" i="36"/>
  <c r="AD20" i="36"/>
  <c r="AD21" i="36"/>
  <c r="AD22" i="36"/>
  <c r="AD23" i="36"/>
  <c r="AD24" i="36"/>
  <c r="AD25" i="36"/>
  <c r="AD26" i="36"/>
  <c r="AD27" i="36"/>
  <c r="AD28" i="36"/>
  <c r="AD29" i="36"/>
  <c r="AD30" i="36"/>
  <c r="AD31" i="36"/>
  <c r="AD32" i="36"/>
  <c r="AD33" i="36"/>
  <c r="AD34" i="36"/>
  <c r="AD35" i="36"/>
  <c r="AD36" i="36"/>
  <c r="AD37" i="36"/>
  <c r="AD38" i="36"/>
  <c r="AD39" i="36"/>
  <c r="AD40" i="36"/>
  <c r="AD41" i="36"/>
  <c r="AD42" i="36"/>
  <c r="AD43" i="36"/>
  <c r="AD44" i="36"/>
  <c r="AD45" i="36"/>
  <c r="AD46" i="36"/>
  <c r="Z11" i="36"/>
  <c r="Z12" i="36"/>
  <c r="Z13" i="36"/>
  <c r="Z14" i="36"/>
  <c r="Z15" i="36"/>
  <c r="Z16" i="36"/>
  <c r="Z17" i="36"/>
  <c r="Z19" i="36"/>
  <c r="Z20" i="36"/>
  <c r="Z21" i="36"/>
  <c r="Z22" i="36"/>
  <c r="Z23" i="36"/>
  <c r="Z24" i="36"/>
  <c r="Z25" i="36"/>
  <c r="Z26" i="36"/>
  <c r="Z27" i="36"/>
  <c r="Z28" i="36"/>
  <c r="Z29" i="36"/>
  <c r="Z30" i="36"/>
  <c r="Z31" i="36"/>
  <c r="Z32" i="36"/>
  <c r="Z33" i="36"/>
  <c r="Z34" i="36"/>
  <c r="Z35" i="36"/>
  <c r="Z36" i="36"/>
  <c r="Z37" i="36"/>
  <c r="Z38" i="36"/>
  <c r="Z39" i="36"/>
  <c r="Z40" i="36"/>
  <c r="Z41" i="36"/>
  <c r="Z42" i="36"/>
  <c r="Z43" i="36"/>
  <c r="Z44" i="36"/>
  <c r="Z45" i="36"/>
  <c r="Z46" i="36"/>
  <c r="AE11" i="36"/>
  <c r="AE12" i="36"/>
  <c r="AE13" i="36"/>
  <c r="AE14" i="36"/>
  <c r="AE15" i="36"/>
  <c r="AE16" i="36"/>
  <c r="AE17" i="36"/>
  <c r="AE19" i="36"/>
  <c r="AE20" i="36"/>
  <c r="AE21" i="36"/>
  <c r="AE22" i="36"/>
  <c r="AE23" i="36"/>
  <c r="AE24" i="36"/>
  <c r="AE25" i="36"/>
  <c r="AE26" i="36"/>
  <c r="AE27" i="36"/>
  <c r="AE28" i="36"/>
  <c r="AE29" i="36"/>
  <c r="AE30" i="36"/>
  <c r="AE31" i="36"/>
  <c r="AE32" i="36"/>
  <c r="AE33" i="36"/>
  <c r="AE34" i="36"/>
  <c r="AE35" i="36"/>
  <c r="AE36" i="36"/>
  <c r="AE37" i="36"/>
  <c r="AE38" i="36"/>
  <c r="AE39" i="36"/>
  <c r="AE40" i="36"/>
  <c r="AE41" i="36"/>
  <c r="AE42" i="36"/>
  <c r="AE43" i="36"/>
  <c r="AE44" i="36"/>
  <c r="AE45" i="36"/>
  <c r="AE46" i="36"/>
  <c r="AA11" i="36"/>
  <c r="AA12" i="36"/>
  <c r="AA13" i="36"/>
  <c r="AA14" i="36"/>
  <c r="AA15" i="36"/>
  <c r="AA16" i="36"/>
  <c r="AA17" i="36"/>
  <c r="AA19" i="36"/>
  <c r="AA20" i="36"/>
  <c r="AA21" i="36"/>
  <c r="AA22" i="36"/>
  <c r="AA23" i="36"/>
  <c r="AA24" i="36"/>
  <c r="AA25" i="36"/>
  <c r="AA26" i="36"/>
  <c r="AA27" i="36"/>
  <c r="AA28" i="36"/>
  <c r="AA29" i="36"/>
  <c r="AA30" i="36"/>
  <c r="AA31" i="36"/>
  <c r="AA32" i="36"/>
  <c r="AA33" i="36"/>
  <c r="AA34" i="36"/>
  <c r="AA35" i="36"/>
  <c r="AA36" i="36"/>
  <c r="AA37" i="36"/>
  <c r="AA38" i="36"/>
  <c r="AA39" i="36"/>
  <c r="AA40" i="36"/>
  <c r="AA41" i="36"/>
  <c r="AA42" i="36"/>
  <c r="AA43" i="36"/>
  <c r="AA44" i="36"/>
  <c r="AA45" i="36"/>
  <c r="AA46" i="36"/>
  <c r="AF11" i="36"/>
  <c r="AF12" i="36"/>
  <c r="AF13" i="36"/>
  <c r="AF14" i="36"/>
  <c r="AF15" i="36"/>
  <c r="AF16" i="36"/>
  <c r="AF17" i="36"/>
  <c r="AF19" i="36"/>
  <c r="AF20" i="36"/>
  <c r="AF21" i="36"/>
  <c r="AF22" i="36"/>
  <c r="AF23" i="36"/>
  <c r="AF24" i="36"/>
  <c r="AF25" i="36"/>
  <c r="AF26" i="36"/>
  <c r="AF27" i="36"/>
  <c r="AF28" i="36"/>
  <c r="AF29" i="36"/>
  <c r="AF30" i="36"/>
  <c r="AF31" i="36"/>
  <c r="AF32" i="36"/>
  <c r="AF33" i="36"/>
  <c r="AF34" i="36"/>
  <c r="AF35" i="36"/>
  <c r="AF36" i="36"/>
  <c r="AF37" i="36"/>
  <c r="AF38" i="36"/>
  <c r="AF39" i="36"/>
  <c r="AF40" i="36"/>
  <c r="AF41" i="36"/>
  <c r="AF42" i="36"/>
  <c r="AF43" i="36"/>
  <c r="AF44" i="36"/>
  <c r="AF45" i="36"/>
  <c r="AF46" i="36"/>
  <c r="AL11" i="36"/>
  <c r="AL12" i="36"/>
  <c r="AL13" i="36"/>
  <c r="AL14" i="36"/>
  <c r="AL15" i="36"/>
  <c r="AL16" i="36"/>
  <c r="AL17" i="36"/>
  <c r="AL19" i="36"/>
  <c r="AL20" i="36"/>
  <c r="AL21" i="36"/>
  <c r="AL22" i="36"/>
  <c r="AL23" i="36"/>
  <c r="AL24" i="36"/>
  <c r="AL25" i="36"/>
  <c r="AL26" i="36"/>
  <c r="AL27" i="36"/>
  <c r="AL28" i="36"/>
  <c r="AL29" i="36"/>
  <c r="AL30" i="36"/>
  <c r="AL31" i="36"/>
  <c r="AL32" i="36"/>
  <c r="AL33" i="36"/>
  <c r="AL34" i="36"/>
  <c r="AL35" i="36"/>
  <c r="AL36" i="36"/>
  <c r="AL37" i="36"/>
  <c r="AL38" i="36"/>
  <c r="AL39" i="36"/>
  <c r="AL40" i="36"/>
  <c r="AL41" i="36"/>
  <c r="AL42" i="36"/>
  <c r="AL43" i="36"/>
  <c r="AL44" i="36"/>
  <c r="AL45" i="36"/>
  <c r="AL46" i="36"/>
  <c r="AM11" i="36"/>
  <c r="AM12" i="36"/>
  <c r="AM13" i="36"/>
  <c r="AM14" i="36"/>
  <c r="AM15" i="36"/>
  <c r="AM16" i="36"/>
  <c r="AM17" i="36"/>
  <c r="AM19" i="36"/>
  <c r="AM20" i="36"/>
  <c r="AM21" i="36"/>
  <c r="AM22" i="36"/>
  <c r="AM23" i="36"/>
  <c r="AM24" i="36"/>
  <c r="AM25" i="36"/>
  <c r="AM26" i="36"/>
  <c r="AM27" i="36"/>
  <c r="AM28" i="36"/>
  <c r="AM29" i="36"/>
  <c r="AM30" i="36"/>
  <c r="AM31" i="36"/>
  <c r="AM32" i="36"/>
  <c r="AM33" i="36"/>
  <c r="AM34" i="36"/>
  <c r="AM35" i="36"/>
  <c r="AM36" i="36"/>
  <c r="AM37" i="36"/>
  <c r="AM38" i="36"/>
  <c r="AM39" i="36"/>
  <c r="AM40" i="36"/>
  <c r="AM41" i="36"/>
  <c r="AM42" i="36"/>
  <c r="AM43" i="36"/>
  <c r="AM44" i="36"/>
  <c r="AM45" i="36"/>
  <c r="AM46" i="36"/>
  <c r="AN11" i="36"/>
  <c r="AN12" i="36"/>
  <c r="AN13" i="36"/>
  <c r="AN14" i="36"/>
  <c r="AN15" i="36"/>
  <c r="AN16" i="36"/>
  <c r="AN17" i="36"/>
  <c r="AN19" i="36"/>
  <c r="AN20" i="36"/>
  <c r="AN21" i="36"/>
  <c r="AN22" i="36"/>
  <c r="AN23" i="36"/>
  <c r="AN24" i="36"/>
  <c r="AN25" i="36"/>
  <c r="AN26" i="36"/>
  <c r="AN27" i="36"/>
  <c r="AN28" i="36"/>
  <c r="AN29" i="36"/>
  <c r="AN30" i="36"/>
  <c r="AN31" i="36"/>
  <c r="AN32" i="36"/>
  <c r="AN33" i="36"/>
  <c r="AN34" i="36"/>
  <c r="AN35" i="36"/>
  <c r="AN36" i="36"/>
  <c r="AN37" i="36"/>
  <c r="AN38" i="36"/>
  <c r="AN39" i="36"/>
  <c r="AN40" i="36"/>
  <c r="AN41" i="36"/>
  <c r="AN42" i="36"/>
  <c r="AN43" i="36"/>
  <c r="AN44" i="36"/>
  <c r="AN45" i="36"/>
  <c r="AN46" i="36"/>
  <c r="AO11" i="36"/>
  <c r="AO12" i="36"/>
  <c r="AO13" i="36"/>
  <c r="AO14" i="36"/>
  <c r="AO15" i="36"/>
  <c r="AO16" i="36"/>
  <c r="AO17" i="36"/>
  <c r="AO19" i="36"/>
  <c r="AO20" i="36"/>
  <c r="AO21" i="36"/>
  <c r="AO22" i="36"/>
  <c r="AO23" i="36"/>
  <c r="AO24" i="36"/>
  <c r="AO25" i="36"/>
  <c r="AO26" i="36"/>
  <c r="AO27" i="36"/>
  <c r="AO28" i="36"/>
  <c r="AO29" i="36"/>
  <c r="AO30" i="36"/>
  <c r="AO31" i="36"/>
  <c r="AO32" i="36"/>
  <c r="AO33" i="36"/>
  <c r="AO34" i="36"/>
  <c r="AO35" i="36"/>
  <c r="AO36" i="36"/>
  <c r="AO37" i="36"/>
  <c r="AO38" i="36"/>
  <c r="AO39" i="36"/>
  <c r="AO40" i="36"/>
  <c r="AO41" i="36"/>
  <c r="AO42" i="36"/>
  <c r="AO43" i="36"/>
  <c r="AO44" i="36"/>
  <c r="AO45" i="36"/>
  <c r="AO46" i="36"/>
  <c r="AP11" i="36"/>
  <c r="AP12" i="36"/>
  <c r="AP13" i="36"/>
  <c r="AP14" i="36"/>
  <c r="AP15" i="36"/>
  <c r="AP16" i="36"/>
  <c r="AP17" i="36"/>
  <c r="AP19" i="36"/>
  <c r="AP20" i="36"/>
  <c r="AP21" i="36"/>
  <c r="AP22" i="36"/>
  <c r="AP23" i="36"/>
  <c r="AP24" i="36"/>
  <c r="AP25" i="36"/>
  <c r="AP26" i="36"/>
  <c r="AP27" i="36"/>
  <c r="AP28" i="36"/>
  <c r="AP29" i="36"/>
  <c r="AP30" i="36"/>
  <c r="AP31" i="36"/>
  <c r="AP32" i="36"/>
  <c r="AP33" i="36"/>
  <c r="AP34" i="36"/>
  <c r="AP35" i="36"/>
  <c r="AP36" i="36"/>
  <c r="AP37" i="36"/>
  <c r="AP38" i="36"/>
  <c r="AP39" i="36"/>
  <c r="AP40" i="36"/>
  <c r="AP41" i="36"/>
  <c r="AP42" i="36"/>
  <c r="AP43" i="36"/>
  <c r="AP44" i="36"/>
  <c r="AP45" i="36"/>
  <c r="AP46" i="36"/>
  <c r="BZ11" i="36"/>
  <c r="BZ12" i="36"/>
  <c r="BZ13" i="36"/>
  <c r="BZ14" i="36"/>
  <c r="BZ15" i="36"/>
  <c r="BZ16" i="36"/>
  <c r="BZ17" i="36"/>
  <c r="BZ19" i="36"/>
  <c r="BZ20" i="36"/>
  <c r="BZ21" i="36"/>
  <c r="BZ22" i="36"/>
  <c r="BZ23" i="36"/>
  <c r="BZ24" i="36"/>
  <c r="BZ25" i="36"/>
  <c r="BZ26" i="36"/>
  <c r="BZ27" i="36"/>
  <c r="BZ28" i="36"/>
  <c r="BZ29" i="36"/>
  <c r="BZ30" i="36"/>
  <c r="BZ31" i="36"/>
  <c r="BZ32" i="36"/>
  <c r="BZ33" i="36"/>
  <c r="BZ34" i="36"/>
  <c r="BZ35" i="36"/>
  <c r="BZ36" i="36"/>
  <c r="BZ37" i="36"/>
  <c r="BZ38" i="36"/>
  <c r="BZ39" i="36"/>
  <c r="BZ40" i="36"/>
  <c r="BZ41" i="36"/>
  <c r="BZ42" i="36"/>
  <c r="BZ43" i="36"/>
  <c r="BZ44" i="36"/>
  <c r="BZ45" i="36"/>
  <c r="BZ46" i="36"/>
  <c r="CE11" i="36"/>
  <c r="CE12" i="36"/>
  <c r="CE13" i="36"/>
  <c r="CE14" i="36"/>
  <c r="CE15" i="36"/>
  <c r="CE16" i="36"/>
  <c r="CE17" i="36"/>
  <c r="CE19" i="36"/>
  <c r="CE20" i="36"/>
  <c r="CE21" i="36"/>
  <c r="CE22" i="36"/>
  <c r="CE23" i="36"/>
  <c r="CE24" i="36"/>
  <c r="CE25" i="36"/>
  <c r="CE26" i="36"/>
  <c r="CE27" i="36"/>
  <c r="CE28" i="36"/>
  <c r="CE29" i="36"/>
  <c r="CE30" i="36"/>
  <c r="CE31" i="36"/>
  <c r="CE32" i="36"/>
  <c r="CE33" i="36"/>
  <c r="CE34" i="36"/>
  <c r="CE35" i="36"/>
  <c r="CE36" i="36"/>
  <c r="CE37" i="36"/>
  <c r="CE38" i="36"/>
  <c r="CE39" i="36"/>
  <c r="CE40" i="36"/>
  <c r="CE41" i="36"/>
  <c r="CE42" i="36"/>
  <c r="CE43" i="36"/>
  <c r="CE44" i="36"/>
  <c r="CE45" i="36"/>
  <c r="CE46" i="36"/>
  <c r="CA11" i="36"/>
  <c r="CA12" i="36"/>
  <c r="CA13" i="36"/>
  <c r="CA14" i="36"/>
  <c r="CA15" i="36"/>
  <c r="CA16" i="36"/>
  <c r="CA17" i="36"/>
  <c r="CA19" i="36"/>
  <c r="CA20" i="36"/>
  <c r="CA21" i="36"/>
  <c r="CA22" i="36"/>
  <c r="CA23" i="36"/>
  <c r="CA24" i="36"/>
  <c r="CA25" i="36"/>
  <c r="CA26" i="36"/>
  <c r="CA27" i="36"/>
  <c r="CA28" i="36"/>
  <c r="CA29" i="36"/>
  <c r="CA30" i="36"/>
  <c r="CA31" i="36"/>
  <c r="CA32" i="36"/>
  <c r="CA33" i="36"/>
  <c r="CA34" i="36"/>
  <c r="CA35" i="36"/>
  <c r="CA36" i="36"/>
  <c r="CA37" i="36"/>
  <c r="CA38" i="36"/>
  <c r="CA39" i="36"/>
  <c r="CA40" i="36"/>
  <c r="CA41" i="36"/>
  <c r="CA42" i="36"/>
  <c r="CA43" i="36"/>
  <c r="CA44" i="36"/>
  <c r="CA45" i="36"/>
  <c r="CA46" i="36"/>
  <c r="CF11" i="36"/>
  <c r="CF12" i="36"/>
  <c r="CF13" i="36"/>
  <c r="CF14" i="36"/>
  <c r="CF15" i="36"/>
  <c r="CF16" i="36"/>
  <c r="CF17" i="36"/>
  <c r="CF19" i="36"/>
  <c r="CF20" i="36"/>
  <c r="CF21" i="36"/>
  <c r="CF22" i="36"/>
  <c r="CF23" i="36"/>
  <c r="CF24" i="36"/>
  <c r="CF25" i="36"/>
  <c r="CF26" i="36"/>
  <c r="CF27" i="36"/>
  <c r="CF28" i="36"/>
  <c r="CF29" i="36"/>
  <c r="CF30" i="36"/>
  <c r="CF31" i="36"/>
  <c r="CF32" i="36"/>
  <c r="CF33" i="36"/>
  <c r="CF34" i="36"/>
  <c r="CF35" i="36"/>
  <c r="CF36" i="36"/>
  <c r="CF37" i="36"/>
  <c r="CF38" i="36"/>
  <c r="CF39" i="36"/>
  <c r="CF40" i="36"/>
  <c r="CF41" i="36"/>
  <c r="CF42" i="36"/>
  <c r="CF43" i="36"/>
  <c r="CF44" i="36"/>
  <c r="CF45" i="36"/>
  <c r="CF46" i="36"/>
  <c r="CB11" i="36"/>
  <c r="CB12" i="36"/>
  <c r="CB13" i="36"/>
  <c r="CB14" i="36"/>
  <c r="CB15" i="36"/>
  <c r="CB16" i="36"/>
  <c r="CB17" i="36"/>
  <c r="CB19" i="36"/>
  <c r="CB20" i="36"/>
  <c r="CB21" i="36"/>
  <c r="CB22" i="36"/>
  <c r="CB23" i="36"/>
  <c r="CB24" i="36"/>
  <c r="CB25" i="36"/>
  <c r="CB26" i="36"/>
  <c r="CB27" i="36"/>
  <c r="CB28" i="36"/>
  <c r="CB29" i="36"/>
  <c r="CB30" i="36"/>
  <c r="CB31" i="36"/>
  <c r="CB32" i="36"/>
  <c r="CB33" i="36"/>
  <c r="CB34" i="36"/>
  <c r="CB35" i="36"/>
  <c r="CB36" i="36"/>
  <c r="CB37" i="36"/>
  <c r="CB38" i="36"/>
  <c r="CB39" i="36"/>
  <c r="CB40" i="36"/>
  <c r="CB41" i="36"/>
  <c r="CB42" i="36"/>
  <c r="CB43" i="36"/>
  <c r="CB44" i="36"/>
  <c r="CB45" i="36"/>
  <c r="CB46" i="36"/>
  <c r="CG11" i="36"/>
  <c r="CG12" i="36"/>
  <c r="CG13" i="36"/>
  <c r="CG14" i="36"/>
  <c r="CG15" i="36"/>
  <c r="CG16" i="36"/>
  <c r="CG17" i="36"/>
  <c r="CG19" i="36"/>
  <c r="CG20" i="36"/>
  <c r="CG21" i="36"/>
  <c r="CG22" i="36"/>
  <c r="CG23" i="36"/>
  <c r="CG24" i="36"/>
  <c r="CG25" i="36"/>
  <c r="CG26" i="36"/>
  <c r="CG27" i="36"/>
  <c r="CG28" i="36"/>
  <c r="CG29" i="36"/>
  <c r="CG30" i="36"/>
  <c r="CG31" i="36"/>
  <c r="CG32" i="36"/>
  <c r="CG33" i="36"/>
  <c r="CG34" i="36"/>
  <c r="CG35" i="36"/>
  <c r="CG36" i="36"/>
  <c r="CG37" i="36"/>
  <c r="CG38" i="36"/>
  <c r="CG39" i="36"/>
  <c r="CG40" i="36"/>
  <c r="CG41" i="36"/>
  <c r="CG42" i="36"/>
  <c r="CG43" i="36"/>
  <c r="CG44" i="36"/>
  <c r="CG45" i="36"/>
  <c r="CG46" i="36"/>
  <c r="CC11" i="36"/>
  <c r="CC12" i="36"/>
  <c r="CC13" i="36"/>
  <c r="CC14" i="36"/>
  <c r="CC15" i="36"/>
  <c r="CC16" i="36"/>
  <c r="CC17" i="36"/>
  <c r="CC19" i="36"/>
  <c r="CC20" i="36"/>
  <c r="CC21" i="36"/>
  <c r="CC22" i="36"/>
  <c r="CC23" i="36"/>
  <c r="CC24" i="36"/>
  <c r="CC25" i="36"/>
  <c r="CC26" i="36"/>
  <c r="CC27" i="36"/>
  <c r="CC28" i="36"/>
  <c r="CC29" i="36"/>
  <c r="CC30" i="36"/>
  <c r="CC31" i="36"/>
  <c r="CC32" i="36"/>
  <c r="CC33" i="36"/>
  <c r="CC34" i="36"/>
  <c r="CC35" i="36"/>
  <c r="CC36" i="36"/>
  <c r="CC37" i="36"/>
  <c r="CC38" i="36"/>
  <c r="CC39" i="36"/>
  <c r="CC40" i="36"/>
  <c r="CC41" i="36"/>
  <c r="CC42" i="36"/>
  <c r="CC43" i="36"/>
  <c r="CC44" i="36"/>
  <c r="CC45" i="36"/>
  <c r="CC46" i="36"/>
  <c r="CH11" i="36"/>
  <c r="CH12" i="36"/>
  <c r="CH13" i="36"/>
  <c r="CH14" i="36"/>
  <c r="CH15" i="36"/>
  <c r="CH16" i="36"/>
  <c r="CH17" i="36"/>
  <c r="CH19" i="36"/>
  <c r="CH20" i="36"/>
  <c r="CH21" i="36"/>
  <c r="CH22" i="36"/>
  <c r="CH23" i="36"/>
  <c r="CH24" i="36"/>
  <c r="CH25" i="36"/>
  <c r="CH26" i="36"/>
  <c r="CH27" i="36"/>
  <c r="CH28" i="36"/>
  <c r="CH29" i="36"/>
  <c r="CH30" i="36"/>
  <c r="CH31" i="36"/>
  <c r="CH32" i="36"/>
  <c r="CH33" i="36"/>
  <c r="CH34" i="36"/>
  <c r="CH35" i="36"/>
  <c r="CH36" i="36"/>
  <c r="CH37" i="36"/>
  <c r="CH38" i="36"/>
  <c r="CH39" i="36"/>
  <c r="CH40" i="36"/>
  <c r="CH41" i="36"/>
  <c r="CH42" i="36"/>
  <c r="CH43" i="36"/>
  <c r="CH44" i="36"/>
  <c r="CH45" i="36"/>
  <c r="CH46" i="36"/>
  <c r="CD11" i="36"/>
  <c r="CD12" i="36"/>
  <c r="CD13" i="36"/>
  <c r="CD14" i="36"/>
  <c r="CD15" i="36"/>
  <c r="CD16" i="36"/>
  <c r="CD17" i="36"/>
  <c r="CD19" i="36"/>
  <c r="CD20" i="36"/>
  <c r="CD21" i="36"/>
  <c r="CD22" i="36"/>
  <c r="CD23" i="36"/>
  <c r="CD24" i="36"/>
  <c r="CD25" i="36"/>
  <c r="CD26" i="36"/>
  <c r="CD27" i="36"/>
  <c r="CD28" i="36"/>
  <c r="CD29" i="36"/>
  <c r="CD30" i="36"/>
  <c r="CD31" i="36"/>
  <c r="CD32" i="36"/>
  <c r="CD33" i="36"/>
  <c r="CD34" i="36"/>
  <c r="CD35" i="36"/>
  <c r="CD36" i="36"/>
  <c r="CD37" i="36"/>
  <c r="CD38" i="36"/>
  <c r="CD39" i="36"/>
  <c r="CD40" i="36"/>
  <c r="CD41" i="36"/>
  <c r="CD42" i="36"/>
  <c r="CD43" i="36"/>
  <c r="CD44" i="36"/>
  <c r="CD45" i="36"/>
  <c r="CD46" i="36"/>
  <c r="CI11" i="36"/>
  <c r="CI12" i="36"/>
  <c r="CI13" i="36"/>
  <c r="CI14" i="36"/>
  <c r="CI15" i="36"/>
  <c r="CI16" i="36"/>
  <c r="CI17" i="36"/>
  <c r="CI19" i="36"/>
  <c r="CI20" i="36"/>
  <c r="CI21" i="36"/>
  <c r="CI22" i="36"/>
  <c r="CI23" i="36"/>
  <c r="CI24" i="36"/>
  <c r="CI25" i="36"/>
  <c r="CI26" i="36"/>
  <c r="CI27" i="36"/>
  <c r="CI28" i="36"/>
  <c r="CI29" i="36"/>
  <c r="CI30" i="36"/>
  <c r="CI31" i="36"/>
  <c r="CI32" i="36"/>
  <c r="CI33" i="36"/>
  <c r="CI34" i="36"/>
  <c r="CI35" i="36"/>
  <c r="CI36" i="36"/>
  <c r="CI37" i="36"/>
  <c r="CI38" i="36"/>
  <c r="CI39" i="36"/>
  <c r="CI40" i="36"/>
  <c r="CI41" i="36"/>
  <c r="CI42" i="36"/>
  <c r="CI43" i="36"/>
  <c r="CI44" i="36"/>
  <c r="CI45" i="36"/>
  <c r="CI46" i="36"/>
  <c r="CO11" i="36"/>
  <c r="CO12" i="36"/>
  <c r="CO13" i="36"/>
  <c r="CO14" i="36"/>
  <c r="CO15" i="36"/>
  <c r="CO16" i="36"/>
  <c r="CO17" i="36"/>
  <c r="CO19" i="36"/>
  <c r="CO20" i="36"/>
  <c r="CO21" i="36"/>
  <c r="CO22" i="36"/>
  <c r="CO23" i="36"/>
  <c r="CO24" i="36"/>
  <c r="CO25" i="36"/>
  <c r="CO26" i="36"/>
  <c r="CO27" i="36"/>
  <c r="CO28" i="36"/>
  <c r="CO29" i="36"/>
  <c r="CO30" i="36"/>
  <c r="CO31" i="36"/>
  <c r="CO32" i="36"/>
  <c r="CO33" i="36"/>
  <c r="CO34" i="36"/>
  <c r="CO35" i="36"/>
  <c r="CO36" i="36"/>
  <c r="CO37" i="36"/>
  <c r="CO38" i="36"/>
  <c r="CO39" i="36"/>
  <c r="CO40" i="36"/>
  <c r="CO41" i="36"/>
  <c r="CO42" i="36"/>
  <c r="CO43" i="36"/>
  <c r="CO44" i="36"/>
  <c r="CO45" i="36"/>
  <c r="CO46" i="36"/>
  <c r="CP11" i="36"/>
  <c r="CP12" i="36"/>
  <c r="CP13" i="36"/>
  <c r="CP14" i="36"/>
  <c r="CP15" i="36"/>
  <c r="CP16" i="36"/>
  <c r="CP17" i="36"/>
  <c r="CP19" i="36"/>
  <c r="CP20" i="36"/>
  <c r="CP21" i="36"/>
  <c r="CP22" i="36"/>
  <c r="CP23" i="36"/>
  <c r="CP24" i="36"/>
  <c r="CP25" i="36"/>
  <c r="CP26" i="36"/>
  <c r="CP27" i="36"/>
  <c r="CP28" i="36"/>
  <c r="CP29" i="36"/>
  <c r="CP30" i="36"/>
  <c r="CP31" i="36"/>
  <c r="CP32" i="36"/>
  <c r="CP33" i="36"/>
  <c r="CP34" i="36"/>
  <c r="CP35" i="36"/>
  <c r="CP36" i="36"/>
  <c r="CP37" i="36"/>
  <c r="CP38" i="36"/>
  <c r="CP39" i="36"/>
  <c r="CP40" i="36"/>
  <c r="CP41" i="36"/>
  <c r="CP42" i="36"/>
  <c r="CP43" i="36"/>
  <c r="CP44" i="36"/>
  <c r="CP45" i="36"/>
  <c r="CP46" i="36"/>
  <c r="CQ11" i="36"/>
  <c r="CQ12" i="36"/>
  <c r="CQ13" i="36"/>
  <c r="CQ14" i="36"/>
  <c r="CQ15" i="36"/>
  <c r="CQ16" i="36"/>
  <c r="CQ17" i="36"/>
  <c r="CQ19" i="36"/>
  <c r="CQ20" i="36"/>
  <c r="CQ21" i="36"/>
  <c r="CQ22" i="36"/>
  <c r="CQ23" i="36"/>
  <c r="CQ24" i="36"/>
  <c r="CQ25" i="36"/>
  <c r="CQ26" i="36"/>
  <c r="CQ27" i="36"/>
  <c r="CQ28" i="36"/>
  <c r="CQ29" i="36"/>
  <c r="CQ30" i="36"/>
  <c r="CQ31" i="36"/>
  <c r="CQ32" i="36"/>
  <c r="CQ33" i="36"/>
  <c r="CQ34" i="36"/>
  <c r="CQ35" i="36"/>
  <c r="CQ36" i="36"/>
  <c r="CQ37" i="36"/>
  <c r="CQ38" i="36"/>
  <c r="CQ39" i="36"/>
  <c r="CQ40" i="36"/>
  <c r="CQ41" i="36"/>
  <c r="CQ42" i="36"/>
  <c r="CQ43" i="36"/>
  <c r="CQ44" i="36"/>
  <c r="CQ45" i="36"/>
  <c r="CQ46" i="36"/>
  <c r="CR11" i="36"/>
  <c r="CR12" i="36"/>
  <c r="CR13" i="36"/>
  <c r="CR14" i="36"/>
  <c r="CR15" i="36"/>
  <c r="CR16" i="36"/>
  <c r="CR17" i="36"/>
  <c r="CR19" i="36"/>
  <c r="CR20" i="36"/>
  <c r="CR21" i="36"/>
  <c r="CR22" i="36"/>
  <c r="CR23" i="36"/>
  <c r="CR24" i="36"/>
  <c r="CR25" i="36"/>
  <c r="CR26" i="36"/>
  <c r="CR27" i="36"/>
  <c r="CR28" i="36"/>
  <c r="CR29" i="36"/>
  <c r="CR30" i="36"/>
  <c r="CR31" i="36"/>
  <c r="CR32" i="36"/>
  <c r="CR33" i="36"/>
  <c r="CR34" i="36"/>
  <c r="CR35" i="36"/>
  <c r="CR36" i="36"/>
  <c r="CR37" i="36"/>
  <c r="CR38" i="36"/>
  <c r="CR39" i="36"/>
  <c r="CR40" i="36"/>
  <c r="CR41" i="36"/>
  <c r="CR42" i="36"/>
  <c r="CR43" i="36"/>
  <c r="CR44" i="36"/>
  <c r="CR45" i="36"/>
  <c r="CR46" i="36"/>
  <c r="CS11" i="36"/>
  <c r="CS12" i="36"/>
  <c r="CS13" i="36"/>
  <c r="CS14" i="36"/>
  <c r="CS15" i="36"/>
  <c r="CS16" i="36"/>
  <c r="CS17" i="36"/>
  <c r="CS19" i="36"/>
  <c r="CS20" i="36"/>
  <c r="CS21" i="36"/>
  <c r="CS22" i="36"/>
  <c r="CS23" i="36"/>
  <c r="CS24" i="36"/>
  <c r="CS25" i="36"/>
  <c r="CS26" i="36"/>
  <c r="CS27" i="36"/>
  <c r="CS28" i="36"/>
  <c r="CS29" i="36"/>
  <c r="CS30" i="36"/>
  <c r="CS31" i="36"/>
  <c r="CS32" i="36"/>
  <c r="CS33" i="36"/>
  <c r="CS34" i="36"/>
  <c r="CS35" i="36"/>
  <c r="CS36" i="36"/>
  <c r="CS37" i="36"/>
  <c r="CS38" i="36"/>
  <c r="CS39" i="36"/>
  <c r="CS40" i="36"/>
  <c r="CS41" i="36"/>
  <c r="CS42" i="36"/>
  <c r="CS43" i="36"/>
  <c r="CS44" i="36"/>
  <c r="CS45" i="36"/>
  <c r="CS46" i="36"/>
  <c r="BQ10" i="36"/>
  <c r="BQ11" i="36"/>
  <c r="BQ12" i="36"/>
  <c r="BQ13" i="36"/>
  <c r="BQ14" i="36"/>
  <c r="BQ15" i="36"/>
  <c r="BQ16" i="36"/>
  <c r="BQ17" i="36"/>
  <c r="BQ18" i="36"/>
  <c r="BQ19" i="36"/>
  <c r="BQ20" i="36"/>
  <c r="BQ21" i="36"/>
  <c r="BQ22" i="36"/>
  <c r="BQ23" i="36"/>
  <c r="BQ24" i="36"/>
  <c r="BQ25" i="36"/>
  <c r="BQ26" i="36"/>
  <c r="BQ27" i="36"/>
  <c r="BQ28" i="36"/>
  <c r="BQ29" i="36"/>
  <c r="BQ30" i="36"/>
  <c r="BQ31" i="36"/>
  <c r="BQ32" i="36"/>
  <c r="BQ33" i="36"/>
  <c r="BQ34" i="36"/>
  <c r="BQ35" i="36"/>
  <c r="BQ36" i="36"/>
  <c r="BQ37" i="36"/>
  <c r="BQ38" i="36"/>
  <c r="BQ39" i="36"/>
  <c r="BQ40" i="36"/>
  <c r="BQ41" i="36"/>
  <c r="BQ42" i="36"/>
  <c r="BQ43" i="36"/>
  <c r="BQ44" i="36"/>
  <c r="BQ45" i="36"/>
  <c r="BQ46" i="36"/>
  <c r="BQ47" i="36"/>
  <c r="BR10" i="36"/>
  <c r="BR11" i="36"/>
  <c r="BR12" i="36"/>
  <c r="BR13" i="36"/>
  <c r="BR14" i="36"/>
  <c r="BR15" i="36"/>
  <c r="BR16" i="36"/>
  <c r="BR17" i="36"/>
  <c r="BR18" i="36"/>
  <c r="BR19" i="36"/>
  <c r="BR20" i="36"/>
  <c r="BR21" i="36"/>
  <c r="BR22" i="36"/>
  <c r="BR23" i="36"/>
  <c r="BR24" i="36"/>
  <c r="BR25" i="36"/>
  <c r="BR26" i="36"/>
  <c r="BR27" i="36"/>
  <c r="BR28" i="36"/>
  <c r="BR29" i="36"/>
  <c r="BR30" i="36"/>
  <c r="BR31" i="36"/>
  <c r="BR32" i="36"/>
  <c r="BR33" i="36"/>
  <c r="BR34" i="36"/>
  <c r="BR35" i="36"/>
  <c r="BR36" i="36"/>
  <c r="BR37" i="36"/>
  <c r="BR38" i="36"/>
  <c r="BR39" i="36"/>
  <c r="BR40" i="36"/>
  <c r="BR41" i="36"/>
  <c r="BR42" i="36"/>
  <c r="BR43" i="36"/>
  <c r="BR44" i="36"/>
  <c r="BR45" i="36"/>
  <c r="BR46" i="36"/>
  <c r="BR47" i="36"/>
  <c r="BS10" i="36"/>
  <c r="BS11" i="36"/>
  <c r="BS12" i="36"/>
  <c r="BS13" i="36"/>
  <c r="BS14" i="36"/>
  <c r="BS15" i="36"/>
  <c r="BS16" i="36"/>
  <c r="BS17" i="36"/>
  <c r="BS18" i="36"/>
  <c r="BS19" i="36"/>
  <c r="BS20" i="36"/>
  <c r="BS21" i="36"/>
  <c r="BS22" i="36"/>
  <c r="BS23" i="36"/>
  <c r="BS24" i="36"/>
  <c r="BS25" i="36"/>
  <c r="BS26" i="36"/>
  <c r="BS27" i="36"/>
  <c r="BS28" i="36"/>
  <c r="BS29" i="36"/>
  <c r="BS30" i="36"/>
  <c r="BS31" i="36"/>
  <c r="BS32" i="36"/>
  <c r="BS33" i="36"/>
  <c r="BS34" i="36"/>
  <c r="BS35" i="36"/>
  <c r="BS36" i="36"/>
  <c r="BS37" i="36"/>
  <c r="BS38" i="36"/>
  <c r="BS39" i="36"/>
  <c r="BS40" i="36"/>
  <c r="BS41" i="36"/>
  <c r="BS42" i="36"/>
  <c r="BS43" i="36"/>
  <c r="BS44" i="36"/>
  <c r="BS45" i="36"/>
  <c r="BS46" i="36"/>
  <c r="BS47" i="36"/>
  <c r="BT10" i="36"/>
  <c r="BT11" i="36"/>
  <c r="BT12" i="36"/>
  <c r="BT13" i="36"/>
  <c r="BT14" i="36"/>
  <c r="BT15" i="36"/>
  <c r="BT16" i="36"/>
  <c r="BT17" i="36"/>
  <c r="BT18" i="36"/>
  <c r="BT19" i="36"/>
  <c r="BT20" i="36"/>
  <c r="BT21" i="36"/>
  <c r="BT22" i="36"/>
  <c r="BT23" i="36"/>
  <c r="BT24" i="36"/>
  <c r="BT25" i="36"/>
  <c r="BT26" i="36"/>
  <c r="BT27" i="36"/>
  <c r="BT28" i="36"/>
  <c r="BT29" i="36"/>
  <c r="BT30" i="36"/>
  <c r="BT31" i="36"/>
  <c r="BT32" i="36"/>
  <c r="BT33" i="36"/>
  <c r="BT34" i="36"/>
  <c r="BT35" i="36"/>
  <c r="BT36" i="36"/>
  <c r="BT37" i="36"/>
  <c r="BT38" i="36"/>
  <c r="BT39" i="36"/>
  <c r="BT40" i="36"/>
  <c r="BT41" i="36"/>
  <c r="BT42" i="36"/>
  <c r="BT43" i="36"/>
  <c r="BT44" i="36"/>
  <c r="BT45" i="36"/>
  <c r="BT46" i="36"/>
  <c r="BT47" i="36"/>
  <c r="BM10" i="36"/>
  <c r="BM11" i="36"/>
  <c r="BM12" i="36"/>
  <c r="BM13" i="36"/>
  <c r="BM14" i="36"/>
  <c r="BM15" i="36"/>
  <c r="BM16" i="36"/>
  <c r="BM17" i="36"/>
  <c r="BM18" i="36"/>
  <c r="BM19" i="36"/>
  <c r="BM20" i="36"/>
  <c r="BM21" i="36"/>
  <c r="BM22" i="36"/>
  <c r="BM23" i="36"/>
  <c r="BM24" i="36"/>
  <c r="BM25" i="36"/>
  <c r="BM26" i="36"/>
  <c r="BM27" i="36"/>
  <c r="BM28" i="36"/>
  <c r="BM29" i="36"/>
  <c r="BM30" i="36"/>
  <c r="BM31" i="36"/>
  <c r="BM32" i="36"/>
  <c r="BM33" i="36"/>
  <c r="BM34" i="36"/>
  <c r="BM35" i="36"/>
  <c r="BM36" i="36"/>
  <c r="BM37" i="36"/>
  <c r="BM38" i="36"/>
  <c r="BM39" i="36"/>
  <c r="BM40" i="36"/>
  <c r="BM41" i="36"/>
  <c r="BM42" i="36"/>
  <c r="BM43" i="36"/>
  <c r="BM44" i="36"/>
  <c r="BM45" i="36"/>
  <c r="BM46" i="36"/>
  <c r="BM47" i="36"/>
  <c r="BN10" i="36"/>
  <c r="BN11" i="36"/>
  <c r="BN12" i="36"/>
  <c r="BN13" i="36"/>
  <c r="BN14" i="36"/>
  <c r="BN15" i="36"/>
  <c r="BN16" i="36"/>
  <c r="BN17" i="36"/>
  <c r="BN18" i="36"/>
  <c r="BN19" i="36"/>
  <c r="BN20" i="36"/>
  <c r="BN21" i="36"/>
  <c r="BN22" i="36"/>
  <c r="BN23" i="36"/>
  <c r="BN24" i="36"/>
  <c r="BN25" i="36"/>
  <c r="BN26" i="36"/>
  <c r="BN27" i="36"/>
  <c r="BN28" i="36"/>
  <c r="BN29" i="36"/>
  <c r="BN30" i="36"/>
  <c r="BN31" i="36"/>
  <c r="BN32" i="36"/>
  <c r="BN33" i="36"/>
  <c r="BN34" i="36"/>
  <c r="BN35" i="36"/>
  <c r="BN36" i="36"/>
  <c r="BN37" i="36"/>
  <c r="BN38" i="36"/>
  <c r="BN39" i="36"/>
  <c r="BN40" i="36"/>
  <c r="BN41" i="36"/>
  <c r="BN42" i="36"/>
  <c r="BN43" i="36"/>
  <c r="BN44" i="36"/>
  <c r="BN45" i="36"/>
  <c r="BN46" i="36"/>
  <c r="BN47" i="36"/>
  <c r="BO10" i="36"/>
  <c r="BO11" i="36"/>
  <c r="BO12" i="36"/>
  <c r="BO13" i="36"/>
  <c r="BO14" i="36"/>
  <c r="BO15" i="36"/>
  <c r="BO16" i="36"/>
  <c r="BO17" i="36"/>
  <c r="BO18" i="36"/>
  <c r="BO19" i="36"/>
  <c r="BO20" i="36"/>
  <c r="BO21" i="36"/>
  <c r="BO22" i="36"/>
  <c r="BO23" i="36"/>
  <c r="BO24" i="36"/>
  <c r="BO25" i="36"/>
  <c r="BO26" i="36"/>
  <c r="BO27" i="36"/>
  <c r="BO28" i="36"/>
  <c r="BO29" i="36"/>
  <c r="BO30" i="36"/>
  <c r="BO31" i="36"/>
  <c r="BO32" i="36"/>
  <c r="BO33" i="36"/>
  <c r="BO34" i="36"/>
  <c r="BO35" i="36"/>
  <c r="BO36" i="36"/>
  <c r="BO37" i="36"/>
  <c r="BO38" i="36"/>
  <c r="BO39" i="36"/>
  <c r="BO40" i="36"/>
  <c r="BO41" i="36"/>
  <c r="BO42" i="36"/>
  <c r="BO43" i="36"/>
  <c r="BO44" i="36"/>
  <c r="BO45" i="36"/>
  <c r="BO46" i="36"/>
  <c r="BO47" i="36"/>
  <c r="BK10" i="36"/>
  <c r="BK11" i="36"/>
  <c r="BK12" i="36"/>
  <c r="BK13" i="36"/>
  <c r="BK14" i="36"/>
  <c r="BK15" i="36"/>
  <c r="BK16" i="36"/>
  <c r="BK17" i="36"/>
  <c r="BK18" i="36"/>
  <c r="BK19" i="36"/>
  <c r="BK20" i="36"/>
  <c r="BK21" i="36"/>
  <c r="BK22" i="36"/>
  <c r="BK23" i="36"/>
  <c r="BK24" i="36"/>
  <c r="BK25" i="36"/>
  <c r="BK26" i="36"/>
  <c r="BK27" i="36"/>
  <c r="BK28" i="36"/>
  <c r="BK29" i="36"/>
  <c r="BK30" i="36"/>
  <c r="BK31" i="36"/>
  <c r="BK32" i="36"/>
  <c r="BK33" i="36"/>
  <c r="BK34" i="36"/>
  <c r="BK35" i="36"/>
  <c r="BK36" i="36"/>
  <c r="BK37" i="36"/>
  <c r="BK38" i="36"/>
  <c r="BK39" i="36"/>
  <c r="BK40" i="36"/>
  <c r="BK41" i="36"/>
  <c r="BK42" i="36"/>
  <c r="BK43" i="36"/>
  <c r="BK44" i="36"/>
  <c r="BK45" i="36"/>
  <c r="BK46" i="36"/>
  <c r="BK47" i="36"/>
  <c r="BP10" i="36"/>
  <c r="BP11" i="36"/>
  <c r="BP12" i="36"/>
  <c r="BP13" i="36"/>
  <c r="BP14" i="36"/>
  <c r="BP15" i="36"/>
  <c r="BP16" i="36"/>
  <c r="BP17" i="36"/>
  <c r="BP18" i="36"/>
  <c r="BP19" i="36"/>
  <c r="BP20" i="36"/>
  <c r="BP21" i="36"/>
  <c r="BP22" i="36"/>
  <c r="BP23" i="36"/>
  <c r="BP24" i="36"/>
  <c r="BP25" i="36"/>
  <c r="BP26" i="36"/>
  <c r="BP27" i="36"/>
  <c r="BP28" i="36"/>
  <c r="BP29" i="36"/>
  <c r="BP30" i="36"/>
  <c r="BP31" i="36"/>
  <c r="BP32" i="36"/>
  <c r="BP33" i="36"/>
  <c r="BP34" i="36"/>
  <c r="BP35" i="36"/>
  <c r="BP36" i="36"/>
  <c r="BP37" i="36"/>
  <c r="BP38" i="36"/>
  <c r="BP39" i="36"/>
  <c r="BP40" i="36"/>
  <c r="BP41" i="36"/>
  <c r="BP42" i="36"/>
  <c r="BP43" i="36"/>
  <c r="BP44" i="36"/>
  <c r="BP45" i="36"/>
  <c r="BP46" i="36"/>
  <c r="BP47" i="36"/>
  <c r="G124" i="15"/>
  <c r="G17" i="15"/>
  <c r="G23" i="15"/>
  <c r="G27" i="15"/>
  <c r="G77" i="15"/>
  <c r="G83" i="15"/>
  <c r="G91" i="15"/>
  <c r="G105" i="15"/>
  <c r="G111" i="15"/>
  <c r="G128" i="15"/>
  <c r="BU10" i="36"/>
  <c r="BU11" i="36"/>
  <c r="BU12" i="36"/>
  <c r="BU13" i="36"/>
  <c r="BU14" i="36"/>
  <c r="BU15" i="36"/>
  <c r="BU16" i="36"/>
  <c r="BU17" i="36"/>
  <c r="BU18" i="36"/>
  <c r="BU19" i="36"/>
  <c r="BU20" i="36"/>
  <c r="BU21" i="36"/>
  <c r="BU22" i="36"/>
  <c r="BU23" i="36"/>
  <c r="BU24" i="36"/>
  <c r="BU25" i="36"/>
  <c r="BU26" i="36"/>
  <c r="BU27" i="36"/>
  <c r="BU28" i="36"/>
  <c r="BU29" i="36"/>
  <c r="BU30" i="36"/>
  <c r="BU31" i="36"/>
  <c r="BU32" i="36"/>
  <c r="BU33" i="36"/>
  <c r="BU34" i="36"/>
  <c r="BU35" i="36"/>
  <c r="BU36" i="36"/>
  <c r="BU37" i="36"/>
  <c r="BU38" i="36"/>
  <c r="BU39" i="36"/>
  <c r="BU40" i="36"/>
  <c r="BU41" i="36"/>
  <c r="BU42" i="36"/>
  <c r="BU43" i="36"/>
  <c r="BU44" i="36"/>
  <c r="BU45" i="36"/>
  <c r="BU46" i="36"/>
  <c r="BU47" i="36"/>
  <c r="BV10" i="36"/>
  <c r="BV11" i="36"/>
  <c r="BV12" i="36"/>
  <c r="BV13" i="36"/>
  <c r="BV14" i="36"/>
  <c r="BV15" i="36"/>
  <c r="BV16" i="36"/>
  <c r="BV17" i="36"/>
  <c r="BV18" i="36"/>
  <c r="BV19" i="36"/>
  <c r="BV20" i="36"/>
  <c r="BV21" i="36"/>
  <c r="BV22" i="36"/>
  <c r="BV23" i="36"/>
  <c r="BV24" i="36"/>
  <c r="BV25" i="36"/>
  <c r="BV26" i="36"/>
  <c r="BV27" i="36"/>
  <c r="BV28" i="36"/>
  <c r="BV29" i="36"/>
  <c r="BV30" i="36"/>
  <c r="BV31" i="36"/>
  <c r="BV32" i="36"/>
  <c r="BV33" i="36"/>
  <c r="BV34" i="36"/>
  <c r="BV35" i="36"/>
  <c r="BV36" i="36"/>
  <c r="BV37" i="36"/>
  <c r="BV38" i="36"/>
  <c r="BV39" i="36"/>
  <c r="BV40" i="36"/>
  <c r="BV41" i="36"/>
  <c r="BV42" i="36"/>
  <c r="BV43" i="36"/>
  <c r="BV44" i="36"/>
  <c r="BV45" i="36"/>
  <c r="BV46" i="36"/>
  <c r="BV47" i="36"/>
  <c r="BW10" i="36"/>
  <c r="BW11" i="36"/>
  <c r="BW12" i="36"/>
  <c r="BW13" i="36"/>
  <c r="BW14" i="36"/>
  <c r="BW15" i="36"/>
  <c r="BW16" i="36"/>
  <c r="BW17" i="36"/>
  <c r="BW18" i="36"/>
  <c r="BW19" i="36"/>
  <c r="BW20" i="36"/>
  <c r="BW21" i="36"/>
  <c r="BW22" i="36"/>
  <c r="BW23" i="36"/>
  <c r="BW24" i="36"/>
  <c r="BW25" i="36"/>
  <c r="BW26" i="36"/>
  <c r="BW27" i="36"/>
  <c r="BW28" i="36"/>
  <c r="BW29" i="36"/>
  <c r="BW30" i="36"/>
  <c r="BW31" i="36"/>
  <c r="BW32" i="36"/>
  <c r="BW33" i="36"/>
  <c r="BW34" i="36"/>
  <c r="BW35" i="36"/>
  <c r="BW36" i="36"/>
  <c r="BW37" i="36"/>
  <c r="BW38" i="36"/>
  <c r="BW39" i="36"/>
  <c r="BW40" i="36"/>
  <c r="BW41" i="36"/>
  <c r="BW42" i="36"/>
  <c r="BW43" i="36"/>
  <c r="BW44" i="36"/>
  <c r="BW45" i="36"/>
  <c r="BW46" i="36"/>
  <c r="BW47" i="36"/>
  <c r="BX10" i="36"/>
  <c r="BX11" i="36"/>
  <c r="BX12" i="36"/>
  <c r="BX13" i="36"/>
  <c r="BX14" i="36"/>
  <c r="BX15" i="36"/>
  <c r="BX16" i="36"/>
  <c r="BX17" i="36"/>
  <c r="BX18" i="36"/>
  <c r="BX19" i="36"/>
  <c r="BX20" i="36"/>
  <c r="BX21" i="36"/>
  <c r="BX22" i="36"/>
  <c r="BX23" i="36"/>
  <c r="BX24" i="36"/>
  <c r="BX25" i="36"/>
  <c r="BX26" i="36"/>
  <c r="BX27" i="36"/>
  <c r="BX28" i="36"/>
  <c r="BX29" i="36"/>
  <c r="BX30" i="36"/>
  <c r="BX31" i="36"/>
  <c r="BX32" i="36"/>
  <c r="BX33" i="36"/>
  <c r="BX34" i="36"/>
  <c r="BX35" i="36"/>
  <c r="BX36" i="36"/>
  <c r="BX37" i="36"/>
  <c r="BX38" i="36"/>
  <c r="BX39" i="36"/>
  <c r="BX40" i="36"/>
  <c r="BX41" i="36"/>
  <c r="BX42" i="36"/>
  <c r="BX43" i="36"/>
  <c r="BX44" i="36"/>
  <c r="BX45" i="36"/>
  <c r="BX46" i="36"/>
  <c r="BX47" i="36"/>
  <c r="BY10" i="36"/>
  <c r="BY11" i="36"/>
  <c r="BY12" i="36"/>
  <c r="BY13" i="36"/>
  <c r="BY14" i="36"/>
  <c r="BY15" i="36"/>
  <c r="BY16" i="36"/>
  <c r="BY17" i="36"/>
  <c r="BY18" i="36"/>
  <c r="BY19" i="36"/>
  <c r="BY20" i="36"/>
  <c r="BY21" i="36"/>
  <c r="BY22" i="36"/>
  <c r="BY23" i="36"/>
  <c r="BY24" i="36"/>
  <c r="BY25" i="36"/>
  <c r="BY26" i="36"/>
  <c r="BY27" i="36"/>
  <c r="BY28" i="36"/>
  <c r="BY29" i="36"/>
  <c r="BY30" i="36"/>
  <c r="BY31" i="36"/>
  <c r="BY32" i="36"/>
  <c r="BY33" i="36"/>
  <c r="BY34" i="36"/>
  <c r="BY35" i="36"/>
  <c r="BY36" i="36"/>
  <c r="BY37" i="36"/>
  <c r="BY38" i="36"/>
  <c r="BY39" i="36"/>
  <c r="BY40" i="36"/>
  <c r="BY41" i="36"/>
  <c r="BY42" i="36"/>
  <c r="BY43" i="36"/>
  <c r="BY44" i="36"/>
  <c r="BY45" i="36"/>
  <c r="BY46" i="36"/>
  <c r="BY47" i="36"/>
  <c r="BF11" i="36"/>
  <c r="BG11" i="36"/>
  <c r="BH11" i="36"/>
  <c r="BI11" i="36"/>
  <c r="BJ11" i="36"/>
  <c r="BF12" i="36"/>
  <c r="BG12" i="36"/>
  <c r="BH12" i="36"/>
  <c r="BI12" i="36"/>
  <c r="BJ12" i="36"/>
  <c r="BF13" i="36"/>
  <c r="BG13" i="36"/>
  <c r="BH13" i="36"/>
  <c r="BI13" i="36"/>
  <c r="BJ13" i="36"/>
  <c r="BF14" i="36"/>
  <c r="BG14" i="36"/>
  <c r="BH14" i="36"/>
  <c r="BI14" i="36"/>
  <c r="BJ14" i="36"/>
  <c r="BF15" i="36"/>
  <c r="BG15" i="36"/>
  <c r="BH15" i="36"/>
  <c r="BI15" i="36"/>
  <c r="BJ15" i="36"/>
  <c r="BF16" i="36"/>
  <c r="BG16" i="36"/>
  <c r="BH16" i="36"/>
  <c r="BI16" i="36"/>
  <c r="BJ16" i="36"/>
  <c r="BF17" i="36"/>
  <c r="BG17" i="36"/>
  <c r="BH17" i="36"/>
  <c r="BI17" i="36"/>
  <c r="BJ17" i="36"/>
  <c r="BF18" i="36"/>
  <c r="BG18" i="36"/>
  <c r="BH18" i="36"/>
  <c r="BI18" i="36"/>
  <c r="BJ18" i="36"/>
  <c r="BF19" i="36"/>
  <c r="BG19" i="36"/>
  <c r="BH19" i="36"/>
  <c r="BI19" i="36"/>
  <c r="BJ19" i="36"/>
  <c r="BF20" i="36"/>
  <c r="BG20" i="36"/>
  <c r="BH20" i="36"/>
  <c r="BI20" i="36"/>
  <c r="BJ20" i="36"/>
  <c r="BF21" i="36"/>
  <c r="BG21" i="36"/>
  <c r="BH21" i="36"/>
  <c r="BI21" i="36"/>
  <c r="BJ21" i="36"/>
  <c r="BF22" i="36"/>
  <c r="BG22" i="36"/>
  <c r="BH22" i="36"/>
  <c r="BI22" i="36"/>
  <c r="BJ22" i="36"/>
  <c r="BF23" i="36"/>
  <c r="BG23" i="36"/>
  <c r="BH23" i="36"/>
  <c r="BI23" i="36"/>
  <c r="BJ23" i="36"/>
  <c r="BF24" i="36"/>
  <c r="BG24" i="36"/>
  <c r="BH24" i="36"/>
  <c r="BI24" i="36"/>
  <c r="BJ24" i="36"/>
  <c r="BF25" i="36"/>
  <c r="BG25" i="36"/>
  <c r="BH25" i="36"/>
  <c r="BI25" i="36"/>
  <c r="BJ25" i="36"/>
  <c r="BF26" i="36"/>
  <c r="BG26" i="36"/>
  <c r="BH26" i="36"/>
  <c r="BI26" i="36"/>
  <c r="BJ26" i="36"/>
  <c r="BF27" i="36"/>
  <c r="BG27" i="36"/>
  <c r="BH27" i="36"/>
  <c r="BI27" i="36"/>
  <c r="BJ27" i="36"/>
  <c r="BF28" i="36"/>
  <c r="BG28" i="36"/>
  <c r="BH28" i="36"/>
  <c r="BI28" i="36"/>
  <c r="BJ28" i="36"/>
  <c r="BF29" i="36"/>
  <c r="BG29" i="36"/>
  <c r="BH29" i="36"/>
  <c r="BI29" i="36"/>
  <c r="BJ29" i="36"/>
  <c r="BF30" i="36"/>
  <c r="BG30" i="36"/>
  <c r="BH30" i="36"/>
  <c r="BI30" i="36"/>
  <c r="BJ30" i="36"/>
  <c r="BF31" i="36"/>
  <c r="BG31" i="36"/>
  <c r="BH31" i="36"/>
  <c r="BI31" i="36"/>
  <c r="BJ31" i="36"/>
  <c r="BF32" i="36"/>
  <c r="BG32" i="36"/>
  <c r="BH32" i="36"/>
  <c r="BI32" i="36"/>
  <c r="BJ32" i="36"/>
  <c r="BF33" i="36"/>
  <c r="BG33" i="36"/>
  <c r="BH33" i="36"/>
  <c r="BI33" i="36"/>
  <c r="BJ33" i="36"/>
  <c r="BF34" i="36"/>
  <c r="BG34" i="36"/>
  <c r="BH34" i="36"/>
  <c r="BI34" i="36"/>
  <c r="BJ34" i="36"/>
  <c r="BF35" i="36"/>
  <c r="BG35" i="36"/>
  <c r="BH35" i="36"/>
  <c r="BI35" i="36"/>
  <c r="BJ35" i="36"/>
  <c r="BF36" i="36"/>
  <c r="BG36" i="36"/>
  <c r="BH36" i="36"/>
  <c r="BI36" i="36"/>
  <c r="BJ36" i="36"/>
  <c r="BF37" i="36"/>
  <c r="BG37" i="36"/>
  <c r="BH37" i="36"/>
  <c r="BI37" i="36"/>
  <c r="BJ37" i="36"/>
  <c r="BF38" i="36"/>
  <c r="BG38" i="36"/>
  <c r="BH38" i="36"/>
  <c r="BI38" i="36"/>
  <c r="BJ38" i="36"/>
  <c r="BF39" i="36"/>
  <c r="BG39" i="36"/>
  <c r="BH39" i="36"/>
  <c r="BI39" i="36"/>
  <c r="BJ39" i="36"/>
  <c r="BF40" i="36"/>
  <c r="BG40" i="36"/>
  <c r="BH40" i="36"/>
  <c r="BI40" i="36"/>
  <c r="BJ40" i="36"/>
  <c r="BF41" i="36"/>
  <c r="BG41" i="36"/>
  <c r="BH41" i="36"/>
  <c r="BI41" i="36"/>
  <c r="BJ41" i="36"/>
  <c r="BF42" i="36"/>
  <c r="BG42" i="36"/>
  <c r="BH42" i="36"/>
  <c r="BI42" i="36"/>
  <c r="BJ42" i="36"/>
  <c r="BF43" i="36"/>
  <c r="BG43" i="36"/>
  <c r="BH43" i="36"/>
  <c r="BI43" i="36"/>
  <c r="BJ43" i="36"/>
  <c r="BF44" i="36"/>
  <c r="BG44" i="36"/>
  <c r="BH44" i="36"/>
  <c r="BI44" i="36"/>
  <c r="BJ44" i="36"/>
  <c r="BF45" i="36"/>
  <c r="BG45" i="36"/>
  <c r="BH45" i="36"/>
  <c r="BI45" i="36"/>
  <c r="BJ45" i="36"/>
  <c r="BF46" i="36"/>
  <c r="BG46" i="36"/>
  <c r="BH46" i="36"/>
  <c r="BI46" i="36"/>
  <c r="BJ46" i="36"/>
  <c r="BF47" i="36"/>
  <c r="BG47" i="36"/>
  <c r="BH47" i="36"/>
  <c r="BI47" i="36"/>
  <c r="BJ47" i="36"/>
  <c r="BJ10" i="36"/>
  <c r="BI10" i="36"/>
  <c r="BH10" i="36"/>
  <c r="BG10" i="36"/>
  <c r="BF10" i="36"/>
  <c r="AQ11" i="36"/>
  <c r="AR11" i="36"/>
  <c r="AS11" i="36"/>
  <c r="AT11" i="36"/>
  <c r="AU11" i="36"/>
  <c r="AV11" i="36"/>
  <c r="AW11" i="36"/>
  <c r="AX11" i="36"/>
  <c r="AY11" i="36"/>
  <c r="AZ11" i="36"/>
  <c r="BA11" i="36"/>
  <c r="BB11" i="36"/>
  <c r="BC11" i="36"/>
  <c r="BD11" i="36"/>
  <c r="BE11" i="36"/>
  <c r="AQ12" i="36"/>
  <c r="AR12" i="36"/>
  <c r="AS12" i="36"/>
  <c r="AT12" i="36"/>
  <c r="AU12" i="36"/>
  <c r="AV12" i="36"/>
  <c r="AW12" i="36"/>
  <c r="AX12" i="36"/>
  <c r="AY12" i="36"/>
  <c r="AZ12" i="36"/>
  <c r="BA12" i="36"/>
  <c r="BB12" i="36"/>
  <c r="BC12" i="36"/>
  <c r="BD12" i="36"/>
  <c r="BE12" i="36"/>
  <c r="AQ13" i="36"/>
  <c r="AR13" i="36"/>
  <c r="AS13" i="36"/>
  <c r="AT13" i="36"/>
  <c r="AU13" i="36"/>
  <c r="AV13" i="36"/>
  <c r="AW13" i="36"/>
  <c r="AX13" i="36"/>
  <c r="AY13" i="36"/>
  <c r="AZ13" i="36"/>
  <c r="BA13" i="36"/>
  <c r="BB13" i="36"/>
  <c r="BC13" i="36"/>
  <c r="BD13" i="36"/>
  <c r="BE13" i="36"/>
  <c r="AQ14" i="36"/>
  <c r="AR14" i="36"/>
  <c r="AS14" i="36"/>
  <c r="AT14" i="36"/>
  <c r="AU14" i="36"/>
  <c r="AV14" i="36"/>
  <c r="AW14" i="36"/>
  <c r="AX14" i="36"/>
  <c r="AY14" i="36"/>
  <c r="AZ14" i="36"/>
  <c r="BA14" i="36"/>
  <c r="BB14" i="36"/>
  <c r="BC14" i="36"/>
  <c r="BD14" i="36"/>
  <c r="BE14" i="36"/>
  <c r="AQ15" i="36"/>
  <c r="AR15" i="36"/>
  <c r="AS15" i="36"/>
  <c r="AT15" i="36"/>
  <c r="AU15" i="36"/>
  <c r="AV15" i="36"/>
  <c r="AW15" i="36"/>
  <c r="AX15" i="36"/>
  <c r="AY15" i="36"/>
  <c r="AZ15" i="36"/>
  <c r="BA15" i="36"/>
  <c r="BB15" i="36"/>
  <c r="BC15" i="36"/>
  <c r="BD15" i="36"/>
  <c r="BE15" i="36"/>
  <c r="AQ16" i="36"/>
  <c r="AR16" i="36"/>
  <c r="AS16" i="36"/>
  <c r="AT16" i="36"/>
  <c r="AU16" i="36"/>
  <c r="AV16" i="36"/>
  <c r="AW16" i="36"/>
  <c r="AX16" i="36"/>
  <c r="AY16" i="36"/>
  <c r="AZ16" i="36"/>
  <c r="BA16" i="36"/>
  <c r="BB16" i="36"/>
  <c r="BC16" i="36"/>
  <c r="BD16" i="36"/>
  <c r="BE16" i="36"/>
  <c r="AQ17" i="36"/>
  <c r="AR17" i="36"/>
  <c r="AS17" i="36"/>
  <c r="AT17" i="36"/>
  <c r="AU17" i="36"/>
  <c r="AV17" i="36"/>
  <c r="AW17" i="36"/>
  <c r="AX17" i="36"/>
  <c r="AY17" i="36"/>
  <c r="AZ17" i="36"/>
  <c r="BA17" i="36"/>
  <c r="BB17" i="36"/>
  <c r="BC17" i="36"/>
  <c r="BD17" i="36"/>
  <c r="BE17" i="36"/>
  <c r="AQ18" i="36"/>
  <c r="AR18" i="36"/>
  <c r="AS18" i="36"/>
  <c r="AT18" i="36"/>
  <c r="AU18" i="36"/>
  <c r="AV18" i="36"/>
  <c r="AW18" i="36"/>
  <c r="AX18" i="36"/>
  <c r="AY18" i="36"/>
  <c r="AZ18" i="36"/>
  <c r="BA18" i="36"/>
  <c r="BB18" i="36"/>
  <c r="BC18" i="36"/>
  <c r="BD18" i="36"/>
  <c r="BE18" i="36"/>
  <c r="AQ19" i="36"/>
  <c r="AR19" i="36"/>
  <c r="AS19" i="36"/>
  <c r="AT19" i="36"/>
  <c r="AU19" i="36"/>
  <c r="AV19" i="36"/>
  <c r="AW19" i="36"/>
  <c r="AX19" i="36"/>
  <c r="AY19" i="36"/>
  <c r="AZ19" i="36"/>
  <c r="BA19" i="36"/>
  <c r="BB19" i="36"/>
  <c r="BC19" i="36"/>
  <c r="BD19" i="36"/>
  <c r="BE19" i="36"/>
  <c r="AQ20" i="36"/>
  <c r="AR20" i="36"/>
  <c r="AS20" i="36"/>
  <c r="AT20" i="36"/>
  <c r="AU20" i="36"/>
  <c r="AV20" i="36"/>
  <c r="AW20" i="36"/>
  <c r="AX20" i="36"/>
  <c r="AY20" i="36"/>
  <c r="AZ20" i="36"/>
  <c r="BA20" i="36"/>
  <c r="BB20" i="36"/>
  <c r="BC20" i="36"/>
  <c r="BD20" i="36"/>
  <c r="BE20" i="36"/>
  <c r="AQ21" i="36"/>
  <c r="AR21" i="36"/>
  <c r="AS21" i="36"/>
  <c r="AT21" i="36"/>
  <c r="AU21" i="36"/>
  <c r="AV21" i="36"/>
  <c r="AW21" i="36"/>
  <c r="AX21" i="36"/>
  <c r="AY21" i="36"/>
  <c r="AZ21" i="36"/>
  <c r="BA21" i="36"/>
  <c r="BB21" i="36"/>
  <c r="BC21" i="36"/>
  <c r="BD21" i="36"/>
  <c r="BE21" i="36"/>
  <c r="AQ22" i="36"/>
  <c r="AR22" i="36"/>
  <c r="AS22" i="36"/>
  <c r="AT22" i="36"/>
  <c r="AU22" i="36"/>
  <c r="AV22" i="36"/>
  <c r="AW22" i="36"/>
  <c r="AX22" i="36"/>
  <c r="AY22" i="36"/>
  <c r="AZ22" i="36"/>
  <c r="BA22" i="36"/>
  <c r="BB22" i="36"/>
  <c r="BC22" i="36"/>
  <c r="BD22" i="36"/>
  <c r="BE22" i="36"/>
  <c r="AQ23" i="36"/>
  <c r="AR23" i="36"/>
  <c r="AS23" i="36"/>
  <c r="AT23" i="36"/>
  <c r="AU23" i="36"/>
  <c r="AV23" i="36"/>
  <c r="AW23" i="36"/>
  <c r="AX23" i="36"/>
  <c r="AY23" i="36"/>
  <c r="AZ23" i="36"/>
  <c r="BA23" i="36"/>
  <c r="BB23" i="36"/>
  <c r="BC23" i="36"/>
  <c r="BD23" i="36"/>
  <c r="BE23" i="36"/>
  <c r="AQ24" i="36"/>
  <c r="AR24" i="36"/>
  <c r="AS24" i="36"/>
  <c r="AT24" i="36"/>
  <c r="AU24" i="36"/>
  <c r="AV24" i="36"/>
  <c r="AW24" i="36"/>
  <c r="AX24" i="36"/>
  <c r="AY24" i="36"/>
  <c r="AZ24" i="36"/>
  <c r="BA24" i="36"/>
  <c r="BB24" i="36"/>
  <c r="BC24" i="36"/>
  <c r="BD24" i="36"/>
  <c r="BE24" i="36"/>
  <c r="AQ25" i="36"/>
  <c r="AR25" i="36"/>
  <c r="AS25" i="36"/>
  <c r="AT25" i="36"/>
  <c r="AU25" i="36"/>
  <c r="AV25" i="36"/>
  <c r="AW25" i="36"/>
  <c r="AX25" i="36"/>
  <c r="AY25" i="36"/>
  <c r="AZ25" i="36"/>
  <c r="BA25" i="36"/>
  <c r="BB25" i="36"/>
  <c r="BC25" i="36"/>
  <c r="BD25" i="36"/>
  <c r="BE25" i="36"/>
  <c r="AQ26" i="36"/>
  <c r="AR26" i="36"/>
  <c r="AS26" i="36"/>
  <c r="AT26" i="36"/>
  <c r="AU26" i="36"/>
  <c r="AV26" i="36"/>
  <c r="AW26" i="36"/>
  <c r="AX26" i="36"/>
  <c r="AY26" i="36"/>
  <c r="AZ26" i="36"/>
  <c r="BA26" i="36"/>
  <c r="BB26" i="36"/>
  <c r="BC26" i="36"/>
  <c r="BD26" i="36"/>
  <c r="BE26" i="36"/>
  <c r="AQ27" i="36"/>
  <c r="AR27" i="36"/>
  <c r="AS27" i="36"/>
  <c r="AT27" i="36"/>
  <c r="AU27" i="36"/>
  <c r="AV27" i="36"/>
  <c r="AW27" i="36"/>
  <c r="AX27" i="36"/>
  <c r="AY27" i="36"/>
  <c r="AZ27" i="36"/>
  <c r="BA27" i="36"/>
  <c r="BB27" i="36"/>
  <c r="BC27" i="36"/>
  <c r="BD27" i="36"/>
  <c r="BE27" i="36"/>
  <c r="AQ28" i="36"/>
  <c r="AR28" i="36"/>
  <c r="AS28" i="36"/>
  <c r="AT28" i="36"/>
  <c r="AU28" i="36"/>
  <c r="AV28" i="36"/>
  <c r="AW28" i="36"/>
  <c r="AX28" i="36"/>
  <c r="AY28" i="36"/>
  <c r="AZ28" i="36"/>
  <c r="BA28" i="36"/>
  <c r="BB28" i="36"/>
  <c r="BC28" i="36"/>
  <c r="BD28" i="36"/>
  <c r="BE28" i="36"/>
  <c r="AQ29" i="36"/>
  <c r="AR29" i="36"/>
  <c r="AS29" i="36"/>
  <c r="AT29" i="36"/>
  <c r="AU29" i="36"/>
  <c r="AV29" i="36"/>
  <c r="AW29" i="36"/>
  <c r="AX29" i="36"/>
  <c r="AY29" i="36"/>
  <c r="AZ29" i="36"/>
  <c r="BA29" i="36"/>
  <c r="BB29" i="36"/>
  <c r="BC29" i="36"/>
  <c r="BD29" i="36"/>
  <c r="BE29" i="36"/>
  <c r="AQ30" i="36"/>
  <c r="AR30" i="36"/>
  <c r="AS30" i="36"/>
  <c r="AT30" i="36"/>
  <c r="AU30" i="36"/>
  <c r="AV30" i="36"/>
  <c r="AW30" i="36"/>
  <c r="AX30" i="36"/>
  <c r="AY30" i="36"/>
  <c r="AZ30" i="36"/>
  <c r="BA30" i="36"/>
  <c r="BB30" i="36"/>
  <c r="BC30" i="36"/>
  <c r="BD30" i="36"/>
  <c r="BE30" i="36"/>
  <c r="AQ31" i="36"/>
  <c r="AR31" i="36"/>
  <c r="AS31" i="36"/>
  <c r="AT31" i="36"/>
  <c r="AU31" i="36"/>
  <c r="AV31" i="36"/>
  <c r="AW31" i="36"/>
  <c r="AX31" i="36"/>
  <c r="AY31" i="36"/>
  <c r="AZ31" i="36"/>
  <c r="BA31" i="36"/>
  <c r="BB31" i="36"/>
  <c r="BC31" i="36"/>
  <c r="BD31" i="36"/>
  <c r="BE31" i="36"/>
  <c r="AQ32" i="36"/>
  <c r="AR32" i="36"/>
  <c r="AS32" i="36"/>
  <c r="AT32" i="36"/>
  <c r="AU32" i="36"/>
  <c r="AV32" i="36"/>
  <c r="AW32" i="36"/>
  <c r="AX32" i="36"/>
  <c r="AY32" i="36"/>
  <c r="AZ32" i="36"/>
  <c r="BA32" i="36"/>
  <c r="BB32" i="36"/>
  <c r="BC32" i="36"/>
  <c r="BD32" i="36"/>
  <c r="BE32" i="36"/>
  <c r="AQ33" i="36"/>
  <c r="AR33" i="36"/>
  <c r="AS33" i="36"/>
  <c r="AT33" i="36"/>
  <c r="AU33" i="36"/>
  <c r="AV33" i="36"/>
  <c r="AW33" i="36"/>
  <c r="AX33" i="36"/>
  <c r="AY33" i="36"/>
  <c r="AZ33" i="36"/>
  <c r="BA33" i="36"/>
  <c r="BB33" i="36"/>
  <c r="BC33" i="36"/>
  <c r="BD33" i="36"/>
  <c r="BE33" i="36"/>
  <c r="AQ34" i="36"/>
  <c r="AR34" i="36"/>
  <c r="AS34" i="36"/>
  <c r="AT34" i="36"/>
  <c r="AU34" i="36"/>
  <c r="AV34" i="36"/>
  <c r="AW34" i="36"/>
  <c r="AX34" i="36"/>
  <c r="AY34" i="36"/>
  <c r="AZ34" i="36"/>
  <c r="BA34" i="36"/>
  <c r="BB34" i="36"/>
  <c r="BC34" i="36"/>
  <c r="BD34" i="36"/>
  <c r="BE34" i="36"/>
  <c r="AQ35" i="36"/>
  <c r="AR35" i="36"/>
  <c r="AS35" i="36"/>
  <c r="AT35" i="36"/>
  <c r="AU35" i="36"/>
  <c r="AV35" i="36"/>
  <c r="AW35" i="36"/>
  <c r="AX35" i="36"/>
  <c r="AY35" i="36"/>
  <c r="AZ35" i="36"/>
  <c r="BA35" i="36"/>
  <c r="BB35" i="36"/>
  <c r="BC35" i="36"/>
  <c r="BD35" i="36"/>
  <c r="BE35" i="36"/>
  <c r="AQ36" i="36"/>
  <c r="AR36" i="36"/>
  <c r="AS36" i="36"/>
  <c r="AT36" i="36"/>
  <c r="AU36" i="36"/>
  <c r="AV36" i="36"/>
  <c r="AW36" i="36"/>
  <c r="AX36" i="36"/>
  <c r="AY36" i="36"/>
  <c r="AZ36" i="36"/>
  <c r="BA36" i="36"/>
  <c r="BB36" i="36"/>
  <c r="BC36" i="36"/>
  <c r="BD36" i="36"/>
  <c r="BE36" i="36"/>
  <c r="AQ37" i="36"/>
  <c r="AR37" i="36"/>
  <c r="AS37" i="36"/>
  <c r="AT37" i="36"/>
  <c r="AU37" i="36"/>
  <c r="AV37" i="36"/>
  <c r="AW37" i="36"/>
  <c r="AX37" i="36"/>
  <c r="AY37" i="36"/>
  <c r="AZ37" i="36"/>
  <c r="BA37" i="36"/>
  <c r="BB37" i="36"/>
  <c r="BC37" i="36"/>
  <c r="BD37" i="36"/>
  <c r="BE37" i="36"/>
  <c r="AQ38" i="36"/>
  <c r="AR38" i="36"/>
  <c r="AS38" i="36"/>
  <c r="AT38" i="36"/>
  <c r="AU38" i="36"/>
  <c r="AV38" i="36"/>
  <c r="AW38" i="36"/>
  <c r="AX38" i="36"/>
  <c r="AY38" i="36"/>
  <c r="AZ38" i="36"/>
  <c r="BA38" i="36"/>
  <c r="BB38" i="36"/>
  <c r="BC38" i="36"/>
  <c r="BD38" i="36"/>
  <c r="BE38" i="36"/>
  <c r="AQ39" i="36"/>
  <c r="AR39" i="36"/>
  <c r="AS39" i="36"/>
  <c r="AT39" i="36"/>
  <c r="AU39" i="36"/>
  <c r="AV39" i="36"/>
  <c r="AW39" i="36"/>
  <c r="AX39" i="36"/>
  <c r="AY39" i="36"/>
  <c r="AZ39" i="36"/>
  <c r="BA39" i="36"/>
  <c r="BB39" i="36"/>
  <c r="BC39" i="36"/>
  <c r="BD39" i="36"/>
  <c r="BE39" i="36"/>
  <c r="AQ40" i="36"/>
  <c r="AR40" i="36"/>
  <c r="AS40" i="36"/>
  <c r="AT40" i="36"/>
  <c r="AU40" i="36"/>
  <c r="AV40" i="36"/>
  <c r="AW40" i="36"/>
  <c r="AX40" i="36"/>
  <c r="AY40" i="36"/>
  <c r="AZ40" i="36"/>
  <c r="BA40" i="36"/>
  <c r="BB40" i="36"/>
  <c r="BC40" i="36"/>
  <c r="BD40" i="36"/>
  <c r="BE40" i="36"/>
  <c r="AQ41" i="36"/>
  <c r="AR41" i="36"/>
  <c r="AS41" i="36"/>
  <c r="AT41" i="36"/>
  <c r="AU41" i="36"/>
  <c r="AV41" i="36"/>
  <c r="AW41" i="36"/>
  <c r="AX41" i="36"/>
  <c r="AY41" i="36"/>
  <c r="AZ41" i="36"/>
  <c r="BA41" i="36"/>
  <c r="BB41" i="36"/>
  <c r="BC41" i="36"/>
  <c r="BD41" i="36"/>
  <c r="BE41" i="36"/>
  <c r="AQ42" i="36"/>
  <c r="AR42" i="36"/>
  <c r="AS42" i="36"/>
  <c r="AT42" i="36"/>
  <c r="AU42" i="36"/>
  <c r="AV42" i="36"/>
  <c r="AW42" i="36"/>
  <c r="AX42" i="36"/>
  <c r="AY42" i="36"/>
  <c r="AZ42" i="36"/>
  <c r="BA42" i="36"/>
  <c r="BB42" i="36"/>
  <c r="BC42" i="36"/>
  <c r="BD42" i="36"/>
  <c r="BE42" i="36"/>
  <c r="AQ43" i="36"/>
  <c r="AR43" i="36"/>
  <c r="AS43" i="36"/>
  <c r="AT43" i="36"/>
  <c r="AU43" i="36"/>
  <c r="AV43" i="36"/>
  <c r="AW43" i="36"/>
  <c r="AX43" i="36"/>
  <c r="AY43" i="36"/>
  <c r="AZ43" i="36"/>
  <c r="BA43" i="36"/>
  <c r="BB43" i="36"/>
  <c r="BC43" i="36"/>
  <c r="BD43" i="36"/>
  <c r="BE43" i="36"/>
  <c r="AQ44" i="36"/>
  <c r="AR44" i="36"/>
  <c r="AS44" i="36"/>
  <c r="AT44" i="36"/>
  <c r="AU44" i="36"/>
  <c r="AV44" i="36"/>
  <c r="AW44" i="36"/>
  <c r="AX44" i="36"/>
  <c r="AY44" i="36"/>
  <c r="AZ44" i="36"/>
  <c r="BA44" i="36"/>
  <c r="BB44" i="36"/>
  <c r="BC44" i="36"/>
  <c r="BD44" i="36"/>
  <c r="BE44" i="36"/>
  <c r="AQ45" i="36"/>
  <c r="AR45" i="36"/>
  <c r="AS45" i="36"/>
  <c r="AT45" i="36"/>
  <c r="AU45" i="36"/>
  <c r="AV45" i="36"/>
  <c r="AW45" i="36"/>
  <c r="AX45" i="36"/>
  <c r="AY45" i="36"/>
  <c r="AZ45" i="36"/>
  <c r="BA45" i="36"/>
  <c r="BB45" i="36"/>
  <c r="BC45" i="36"/>
  <c r="BD45" i="36"/>
  <c r="BE45" i="36"/>
  <c r="AQ46" i="36"/>
  <c r="AR46" i="36"/>
  <c r="AS46" i="36"/>
  <c r="AT46" i="36"/>
  <c r="AU46" i="36"/>
  <c r="AV46" i="36"/>
  <c r="AW46" i="36"/>
  <c r="AX46" i="36"/>
  <c r="AY46" i="36"/>
  <c r="AZ46" i="36"/>
  <c r="BA46" i="36"/>
  <c r="BB46" i="36"/>
  <c r="BC46" i="36"/>
  <c r="BD46" i="36"/>
  <c r="BE46" i="36"/>
  <c r="AQ47" i="36"/>
  <c r="AR47" i="36"/>
  <c r="AS47" i="36"/>
  <c r="AT47" i="36"/>
  <c r="AU47" i="36"/>
  <c r="AV47" i="36"/>
  <c r="AW47" i="36"/>
  <c r="AX47" i="36"/>
  <c r="AY47" i="36"/>
  <c r="AZ47" i="36"/>
  <c r="BA47" i="36"/>
  <c r="BB47" i="36"/>
  <c r="BC47" i="36"/>
  <c r="BD47" i="36"/>
  <c r="BE47" i="36"/>
  <c r="BE10" i="36"/>
  <c r="BD10" i="36"/>
  <c r="BC10" i="36"/>
  <c r="BB10" i="36"/>
  <c r="BA10" i="36"/>
  <c r="AZ10" i="36"/>
  <c r="AY10" i="36"/>
  <c r="AX10" i="36"/>
  <c r="AW10" i="36"/>
  <c r="AV10" i="36"/>
  <c r="AU10" i="36"/>
  <c r="AT10" i="36"/>
  <c r="AS10" i="36"/>
  <c r="AR10" i="36"/>
  <c r="AQ10" i="36"/>
  <c r="J166" i="15"/>
  <c r="E35" i="15"/>
  <c r="S17" i="15"/>
  <c r="S23" i="15"/>
  <c r="S27" i="15"/>
  <c r="S77" i="15"/>
  <c r="S83" i="15"/>
  <c r="S91" i="15"/>
  <c r="S105" i="15"/>
  <c r="S111" i="15"/>
  <c r="S116" i="15"/>
  <c r="S124" i="15"/>
  <c r="S128" i="15"/>
  <c r="CY10" i="36"/>
  <c r="CY11" i="36"/>
  <c r="CY12" i="36"/>
  <c r="CY13" i="36"/>
  <c r="CY14" i="36"/>
  <c r="CY15" i="36"/>
  <c r="CY16" i="36"/>
  <c r="CY17" i="36"/>
  <c r="CY18" i="36"/>
  <c r="CY19" i="36"/>
  <c r="CY20" i="36"/>
  <c r="CY21" i="36"/>
  <c r="CY22" i="36"/>
  <c r="CY23" i="36"/>
  <c r="CY24" i="36"/>
  <c r="CY25" i="36"/>
  <c r="CY26" i="36"/>
  <c r="CY27" i="36"/>
  <c r="CY28" i="36"/>
  <c r="CY29" i="36"/>
  <c r="CY30" i="36"/>
  <c r="CY31" i="36"/>
  <c r="CY32" i="36"/>
  <c r="CY33" i="36"/>
  <c r="CY34" i="36"/>
  <c r="CY35" i="36"/>
  <c r="CY36" i="36"/>
  <c r="CY37" i="36"/>
  <c r="CY38" i="36"/>
  <c r="CY39" i="36"/>
  <c r="CY40" i="36"/>
  <c r="CY41" i="36"/>
  <c r="CY42" i="36"/>
  <c r="CY43" i="36"/>
  <c r="CY44" i="36"/>
  <c r="CY45" i="36"/>
  <c r="CY46" i="36"/>
  <c r="CY47" i="36"/>
  <c r="CZ10" i="36"/>
  <c r="CZ11" i="36"/>
  <c r="CZ12" i="36"/>
  <c r="CZ13" i="36"/>
  <c r="CZ14" i="36"/>
  <c r="CZ15" i="36"/>
  <c r="CZ16" i="36"/>
  <c r="CZ17" i="36"/>
  <c r="CZ18" i="36"/>
  <c r="CZ19" i="36"/>
  <c r="CZ20" i="36"/>
  <c r="CZ21" i="36"/>
  <c r="CZ22" i="36"/>
  <c r="CZ23" i="36"/>
  <c r="CZ24" i="36"/>
  <c r="CZ25" i="36"/>
  <c r="CZ26" i="36"/>
  <c r="CZ27" i="36"/>
  <c r="CZ28" i="36"/>
  <c r="CZ29" i="36"/>
  <c r="CZ30" i="36"/>
  <c r="CZ31" i="36"/>
  <c r="CZ32" i="36"/>
  <c r="CZ33" i="36"/>
  <c r="CZ34" i="36"/>
  <c r="CZ35" i="36"/>
  <c r="CZ36" i="36"/>
  <c r="CZ37" i="36"/>
  <c r="CZ38" i="36"/>
  <c r="CZ39" i="36"/>
  <c r="CZ40" i="36"/>
  <c r="CZ41" i="36"/>
  <c r="CZ42" i="36"/>
  <c r="CZ43" i="36"/>
  <c r="CZ44" i="36"/>
  <c r="CZ45" i="36"/>
  <c r="CZ46" i="36"/>
  <c r="CZ47" i="36"/>
  <c r="DA10" i="36"/>
  <c r="DA11" i="36"/>
  <c r="DA12" i="36"/>
  <c r="DA13" i="36"/>
  <c r="DA14" i="36"/>
  <c r="DA15" i="36"/>
  <c r="DA16" i="36"/>
  <c r="DA17" i="36"/>
  <c r="DA18" i="36"/>
  <c r="DA19" i="36"/>
  <c r="DA20" i="36"/>
  <c r="DA21" i="36"/>
  <c r="DA22" i="36"/>
  <c r="DA23" i="36"/>
  <c r="DA24" i="36"/>
  <c r="DA25" i="36"/>
  <c r="DA26" i="36"/>
  <c r="DA27" i="36"/>
  <c r="DA28" i="36"/>
  <c r="DA29" i="36"/>
  <c r="DA30" i="36"/>
  <c r="DA31" i="36"/>
  <c r="DA32" i="36"/>
  <c r="DA33" i="36"/>
  <c r="DA34" i="36"/>
  <c r="DA35" i="36"/>
  <c r="DA36" i="36"/>
  <c r="DA37" i="36"/>
  <c r="DA38" i="36"/>
  <c r="DA39" i="36"/>
  <c r="DA40" i="36"/>
  <c r="DA41" i="36"/>
  <c r="DA42" i="36"/>
  <c r="DA43" i="36"/>
  <c r="DA44" i="36"/>
  <c r="DA45" i="36"/>
  <c r="DA46" i="36"/>
  <c r="DA47" i="36"/>
  <c r="DB10" i="36"/>
  <c r="DB11" i="36"/>
  <c r="DB12" i="36"/>
  <c r="DB13" i="36"/>
  <c r="DB14" i="36"/>
  <c r="DB15" i="36"/>
  <c r="DB16" i="36"/>
  <c r="DB17" i="36"/>
  <c r="DB18" i="36"/>
  <c r="DB19" i="36"/>
  <c r="DB20" i="36"/>
  <c r="DB21" i="36"/>
  <c r="DB22" i="36"/>
  <c r="DB23" i="36"/>
  <c r="DB24" i="36"/>
  <c r="DB25" i="36"/>
  <c r="DB26" i="36"/>
  <c r="DB27" i="36"/>
  <c r="DB28" i="36"/>
  <c r="DB29" i="36"/>
  <c r="DB30" i="36"/>
  <c r="DB31" i="36"/>
  <c r="DB32" i="36"/>
  <c r="DB33" i="36"/>
  <c r="DB34" i="36"/>
  <c r="DB35" i="36"/>
  <c r="DB36" i="36"/>
  <c r="DB37" i="36"/>
  <c r="DB38" i="36"/>
  <c r="DB39" i="36"/>
  <c r="DB40" i="36"/>
  <c r="DB41" i="36"/>
  <c r="DB42" i="36"/>
  <c r="DB43" i="36"/>
  <c r="DB44" i="36"/>
  <c r="DB45" i="36"/>
  <c r="DB46" i="36"/>
  <c r="DB47" i="36"/>
  <c r="DC10" i="36"/>
  <c r="DC11" i="36"/>
  <c r="DC12" i="36"/>
  <c r="DC13" i="36"/>
  <c r="DC14" i="36"/>
  <c r="DC15" i="36"/>
  <c r="DC16" i="36"/>
  <c r="DC17" i="36"/>
  <c r="DC18" i="36"/>
  <c r="DC19" i="36"/>
  <c r="DC20" i="36"/>
  <c r="DC21" i="36"/>
  <c r="DC22" i="36"/>
  <c r="DC23" i="36"/>
  <c r="DC24" i="36"/>
  <c r="DC25" i="36"/>
  <c r="DC26" i="36"/>
  <c r="DC27" i="36"/>
  <c r="DC28" i="36"/>
  <c r="DC29" i="36"/>
  <c r="DC30" i="36"/>
  <c r="DC31" i="36"/>
  <c r="DC32" i="36"/>
  <c r="DC33" i="36"/>
  <c r="DC34" i="36"/>
  <c r="DC35" i="36"/>
  <c r="DC36" i="36"/>
  <c r="DC37" i="36"/>
  <c r="DC38" i="36"/>
  <c r="DC39" i="36"/>
  <c r="DC40" i="36"/>
  <c r="DC41" i="36"/>
  <c r="DC42" i="36"/>
  <c r="DC43" i="36"/>
  <c r="DC44" i="36"/>
  <c r="DC45" i="36"/>
  <c r="DC46" i="36"/>
  <c r="DC47" i="36"/>
  <c r="L181" i="11"/>
  <c r="L150" i="18"/>
  <c r="L28" i="7"/>
  <c r="P8" i="11"/>
  <c r="P1381" i="59"/>
  <c r="P191" i="11"/>
  <c r="P1564" i="59"/>
  <c r="P365" i="11"/>
  <c r="P1738" i="59"/>
  <c r="A2" i="37"/>
  <c r="A2" i="59"/>
  <c r="R300" i="11"/>
  <c r="A63" i="8"/>
  <c r="A92" i="8"/>
  <c r="A121" i="8"/>
  <c r="A62" i="8"/>
  <c r="A91" i="8"/>
  <c r="A120" i="8"/>
  <c r="A61" i="8"/>
  <c r="A90" i="8"/>
  <c r="A119" i="8"/>
  <c r="A60" i="8"/>
  <c r="A89" i="8"/>
  <c r="A118" i="8"/>
  <c r="A55" i="8"/>
  <c r="A84" i="8"/>
  <c r="A113" i="8"/>
  <c r="A54" i="8"/>
  <c r="A83" i="8"/>
  <c r="A112" i="8"/>
  <c r="A53" i="8"/>
  <c r="A82" i="8"/>
  <c r="A111" i="8"/>
  <c r="A52" i="8"/>
  <c r="A81" i="8"/>
  <c r="A110" i="8"/>
  <c r="R256" i="11"/>
  <c r="T194" i="11"/>
  <c r="T192" i="11"/>
  <c r="L267" i="11"/>
  <c r="G157" i="11"/>
  <c r="B98" i="8"/>
  <c r="B915" i="59"/>
  <c r="C40" i="8"/>
  <c r="C857" i="59"/>
  <c r="N40" i="3"/>
  <c r="C29" i="8"/>
  <c r="D29" i="8"/>
  <c r="E29" i="8"/>
  <c r="F29" i="8"/>
  <c r="G29" i="8"/>
  <c r="H29" i="8"/>
  <c r="I29" i="8"/>
  <c r="J29" i="8"/>
  <c r="K29" i="8"/>
  <c r="B20" i="8"/>
  <c r="M82" i="36"/>
  <c r="L1675" i="59"/>
  <c r="EH10" i="36"/>
  <c r="EH11" i="36"/>
  <c r="EH12" i="36"/>
  <c r="EH13" i="36"/>
  <c r="EH14" i="36"/>
  <c r="EH15" i="36"/>
  <c r="EH16" i="36"/>
  <c r="EH17" i="36"/>
  <c r="EH18" i="36"/>
  <c r="EH19" i="36"/>
  <c r="EH20" i="36"/>
  <c r="EH21" i="36"/>
  <c r="EH22" i="36"/>
  <c r="EH23" i="36"/>
  <c r="EH24" i="36"/>
  <c r="EH25" i="36"/>
  <c r="EH26" i="36"/>
  <c r="EH27" i="36"/>
  <c r="EH28" i="36"/>
  <c r="EH29" i="36"/>
  <c r="EH30" i="36"/>
  <c r="EH31" i="36"/>
  <c r="EH32" i="36"/>
  <c r="EH33" i="36"/>
  <c r="EH34" i="36"/>
  <c r="EH35" i="36"/>
  <c r="EH36" i="36"/>
  <c r="EH37" i="36"/>
  <c r="EH38" i="36"/>
  <c r="EH39" i="36"/>
  <c r="EH40" i="36"/>
  <c r="EH41" i="36"/>
  <c r="EH42" i="36"/>
  <c r="EH43" i="36"/>
  <c r="EH44" i="36"/>
  <c r="EH45" i="36"/>
  <c r="EH46" i="36"/>
  <c r="EH47" i="36"/>
  <c r="EM10" i="36"/>
  <c r="EM11" i="36"/>
  <c r="EM12" i="36"/>
  <c r="EM13" i="36"/>
  <c r="EM14" i="36"/>
  <c r="EM15" i="36"/>
  <c r="EM16" i="36"/>
  <c r="EM17" i="36"/>
  <c r="EM18" i="36"/>
  <c r="EM19" i="36"/>
  <c r="EM20" i="36"/>
  <c r="EM21" i="36"/>
  <c r="EM22" i="36"/>
  <c r="EM23" i="36"/>
  <c r="EM24" i="36"/>
  <c r="EM25" i="36"/>
  <c r="EM26" i="36"/>
  <c r="EM27" i="36"/>
  <c r="EM28" i="36"/>
  <c r="EM29" i="36"/>
  <c r="EM30" i="36"/>
  <c r="EM31" i="36"/>
  <c r="EM32" i="36"/>
  <c r="EM33" i="36"/>
  <c r="EM34" i="36"/>
  <c r="EM35" i="36"/>
  <c r="EM36" i="36"/>
  <c r="EM37" i="36"/>
  <c r="EM38" i="36"/>
  <c r="EM39" i="36"/>
  <c r="EM40" i="36"/>
  <c r="EM41" i="36"/>
  <c r="EM42" i="36"/>
  <c r="EM43" i="36"/>
  <c r="EM44" i="36"/>
  <c r="EM45" i="36"/>
  <c r="EM46" i="36"/>
  <c r="EM47" i="36"/>
  <c r="ER10" i="36"/>
  <c r="ER11" i="36"/>
  <c r="ER12" i="36"/>
  <c r="ER13" i="36"/>
  <c r="ER14" i="36"/>
  <c r="ER15" i="36"/>
  <c r="ER16" i="36"/>
  <c r="ER17" i="36"/>
  <c r="ER18" i="36"/>
  <c r="ER19" i="36"/>
  <c r="ER20" i="36"/>
  <c r="ER21" i="36"/>
  <c r="ER22" i="36"/>
  <c r="ER23" i="36"/>
  <c r="ER24" i="36"/>
  <c r="ER25" i="36"/>
  <c r="ER26" i="36"/>
  <c r="ER27" i="36"/>
  <c r="ER28" i="36"/>
  <c r="ER29" i="36"/>
  <c r="ER30" i="36"/>
  <c r="ER31" i="36"/>
  <c r="ER32" i="36"/>
  <c r="ER33" i="36"/>
  <c r="ER34" i="36"/>
  <c r="ER35" i="36"/>
  <c r="ER36" i="36"/>
  <c r="ER37" i="36"/>
  <c r="ER38" i="36"/>
  <c r="ER39" i="36"/>
  <c r="ER40" i="36"/>
  <c r="ER41" i="36"/>
  <c r="ER42" i="36"/>
  <c r="ER43" i="36"/>
  <c r="ER44" i="36"/>
  <c r="ER45" i="36"/>
  <c r="ER46" i="36"/>
  <c r="ER47" i="36"/>
  <c r="EI10" i="36"/>
  <c r="EI11" i="36"/>
  <c r="EI12" i="36"/>
  <c r="EI13" i="36"/>
  <c r="EI14" i="36"/>
  <c r="EI15" i="36"/>
  <c r="EI16" i="36"/>
  <c r="EI17" i="36"/>
  <c r="EI18" i="36"/>
  <c r="EI19" i="36"/>
  <c r="EI20" i="36"/>
  <c r="EI21" i="36"/>
  <c r="EI22" i="36"/>
  <c r="EI23" i="36"/>
  <c r="EI24" i="36"/>
  <c r="EI25" i="36"/>
  <c r="EI26" i="36"/>
  <c r="EI27" i="36"/>
  <c r="EI28" i="36"/>
  <c r="EI29" i="36"/>
  <c r="EI30" i="36"/>
  <c r="EI31" i="36"/>
  <c r="EI32" i="36"/>
  <c r="EI33" i="36"/>
  <c r="EI34" i="36"/>
  <c r="EI35" i="36"/>
  <c r="EI36" i="36"/>
  <c r="EI37" i="36"/>
  <c r="EI38" i="36"/>
  <c r="EI39" i="36"/>
  <c r="EI40" i="36"/>
  <c r="EI41" i="36"/>
  <c r="EI42" i="36"/>
  <c r="EI43" i="36"/>
  <c r="EI44" i="36"/>
  <c r="EI45" i="36"/>
  <c r="EI46" i="36"/>
  <c r="EI47" i="36"/>
  <c r="EN10" i="36"/>
  <c r="EN11" i="36"/>
  <c r="EN12" i="36"/>
  <c r="EN13" i="36"/>
  <c r="EN14" i="36"/>
  <c r="EN15" i="36"/>
  <c r="EN16" i="36"/>
  <c r="EN17" i="36"/>
  <c r="EN18" i="36"/>
  <c r="EN19" i="36"/>
  <c r="EN20" i="36"/>
  <c r="EN21" i="36"/>
  <c r="EN22" i="36"/>
  <c r="EN23" i="36"/>
  <c r="EN24" i="36"/>
  <c r="EN25" i="36"/>
  <c r="EN26" i="36"/>
  <c r="EN27" i="36"/>
  <c r="EN28" i="36"/>
  <c r="EN29" i="36"/>
  <c r="EN30" i="36"/>
  <c r="EN31" i="36"/>
  <c r="EN32" i="36"/>
  <c r="EN33" i="36"/>
  <c r="EN34" i="36"/>
  <c r="EN35" i="36"/>
  <c r="EN36" i="36"/>
  <c r="EN37" i="36"/>
  <c r="EN38" i="36"/>
  <c r="EN39" i="36"/>
  <c r="EN40" i="36"/>
  <c r="EN41" i="36"/>
  <c r="EN42" i="36"/>
  <c r="EN43" i="36"/>
  <c r="EN44" i="36"/>
  <c r="EN45" i="36"/>
  <c r="EN46" i="36"/>
  <c r="EN47" i="36"/>
  <c r="ES10" i="36"/>
  <c r="ES11" i="36"/>
  <c r="ES12" i="36"/>
  <c r="ES13" i="36"/>
  <c r="ES14" i="36"/>
  <c r="ES15" i="36"/>
  <c r="ES16" i="36"/>
  <c r="ES17" i="36"/>
  <c r="ES18" i="36"/>
  <c r="ES19" i="36"/>
  <c r="ES20" i="36"/>
  <c r="ES21" i="36"/>
  <c r="ES22" i="36"/>
  <c r="ES23" i="36"/>
  <c r="ES24" i="36"/>
  <c r="ES25" i="36"/>
  <c r="ES26" i="36"/>
  <c r="ES27" i="36"/>
  <c r="ES28" i="36"/>
  <c r="ES29" i="36"/>
  <c r="ES30" i="36"/>
  <c r="ES31" i="36"/>
  <c r="ES32" i="36"/>
  <c r="ES33" i="36"/>
  <c r="ES34" i="36"/>
  <c r="ES35" i="36"/>
  <c r="ES36" i="36"/>
  <c r="ES37" i="36"/>
  <c r="ES38" i="36"/>
  <c r="ES39" i="36"/>
  <c r="ES40" i="36"/>
  <c r="ES41" i="36"/>
  <c r="ES42" i="36"/>
  <c r="ES43" i="36"/>
  <c r="ES44" i="36"/>
  <c r="ES45" i="36"/>
  <c r="ES46" i="36"/>
  <c r="ES47" i="36"/>
  <c r="EJ10" i="36"/>
  <c r="EJ11" i="36"/>
  <c r="EJ12" i="36"/>
  <c r="EJ13" i="36"/>
  <c r="EJ14" i="36"/>
  <c r="EJ15" i="36"/>
  <c r="EJ16" i="36"/>
  <c r="EJ17" i="36"/>
  <c r="EJ18" i="36"/>
  <c r="EJ19" i="36"/>
  <c r="EJ20" i="36"/>
  <c r="EJ21" i="36"/>
  <c r="EJ22" i="36"/>
  <c r="EJ23" i="36"/>
  <c r="EJ24" i="36"/>
  <c r="EJ25" i="36"/>
  <c r="EJ26" i="36"/>
  <c r="EJ27" i="36"/>
  <c r="EJ28" i="36"/>
  <c r="EJ29" i="36"/>
  <c r="EJ30" i="36"/>
  <c r="EJ31" i="36"/>
  <c r="EJ32" i="36"/>
  <c r="EJ33" i="36"/>
  <c r="EJ34" i="36"/>
  <c r="EJ35" i="36"/>
  <c r="EJ36" i="36"/>
  <c r="EJ37" i="36"/>
  <c r="EJ38" i="36"/>
  <c r="EJ39" i="36"/>
  <c r="EJ40" i="36"/>
  <c r="EJ41" i="36"/>
  <c r="EJ42" i="36"/>
  <c r="EJ43" i="36"/>
  <c r="EJ44" i="36"/>
  <c r="EJ45" i="36"/>
  <c r="EJ46" i="36"/>
  <c r="EJ47" i="36"/>
  <c r="EO10" i="36"/>
  <c r="EO11" i="36"/>
  <c r="EO12" i="36"/>
  <c r="EO13" i="36"/>
  <c r="EO14" i="36"/>
  <c r="EO15" i="36"/>
  <c r="EO16" i="36"/>
  <c r="EO17" i="36"/>
  <c r="EO18" i="36"/>
  <c r="EO19" i="36"/>
  <c r="EO20" i="36"/>
  <c r="EO21" i="36"/>
  <c r="EO22" i="36"/>
  <c r="EO23" i="36"/>
  <c r="EO24" i="36"/>
  <c r="EO25" i="36"/>
  <c r="EO26" i="36"/>
  <c r="EO27" i="36"/>
  <c r="EO28" i="36"/>
  <c r="EO29" i="36"/>
  <c r="EO30" i="36"/>
  <c r="EO31" i="36"/>
  <c r="EO32" i="36"/>
  <c r="EO33" i="36"/>
  <c r="EO34" i="36"/>
  <c r="EO35" i="36"/>
  <c r="EO36" i="36"/>
  <c r="EO37" i="36"/>
  <c r="EO38" i="36"/>
  <c r="EO39" i="36"/>
  <c r="EO40" i="36"/>
  <c r="EO41" i="36"/>
  <c r="EO42" i="36"/>
  <c r="EO43" i="36"/>
  <c r="EO44" i="36"/>
  <c r="EO45" i="36"/>
  <c r="EO46" i="36"/>
  <c r="EO47" i="36"/>
  <c r="ET10" i="36"/>
  <c r="ET11" i="36"/>
  <c r="ET12" i="36"/>
  <c r="ET13" i="36"/>
  <c r="ET14" i="36"/>
  <c r="ET15" i="36"/>
  <c r="ET16" i="36"/>
  <c r="ET17" i="36"/>
  <c r="ET18" i="36"/>
  <c r="ET19" i="36"/>
  <c r="ET20" i="36"/>
  <c r="ET21" i="36"/>
  <c r="ET22" i="36"/>
  <c r="ET23" i="36"/>
  <c r="ET24" i="36"/>
  <c r="ET25" i="36"/>
  <c r="ET26" i="36"/>
  <c r="ET27" i="36"/>
  <c r="ET28" i="36"/>
  <c r="ET29" i="36"/>
  <c r="ET30" i="36"/>
  <c r="ET31" i="36"/>
  <c r="ET32" i="36"/>
  <c r="ET33" i="36"/>
  <c r="ET34" i="36"/>
  <c r="ET35" i="36"/>
  <c r="ET36" i="36"/>
  <c r="ET37" i="36"/>
  <c r="ET38" i="36"/>
  <c r="ET39" i="36"/>
  <c r="ET40" i="36"/>
  <c r="ET41" i="36"/>
  <c r="ET42" i="36"/>
  <c r="ET43" i="36"/>
  <c r="ET44" i="36"/>
  <c r="ET45" i="36"/>
  <c r="ET46" i="36"/>
  <c r="ET47" i="36"/>
  <c r="EK10" i="36"/>
  <c r="EK11" i="36"/>
  <c r="EK12" i="36"/>
  <c r="EK13" i="36"/>
  <c r="EK14" i="36"/>
  <c r="EK15" i="36"/>
  <c r="EK16" i="36"/>
  <c r="EK17" i="36"/>
  <c r="EK18" i="36"/>
  <c r="EK19" i="36"/>
  <c r="EK20" i="36"/>
  <c r="EK21" i="36"/>
  <c r="EK22" i="36"/>
  <c r="EK23" i="36"/>
  <c r="EK24" i="36"/>
  <c r="EK25" i="36"/>
  <c r="EK26" i="36"/>
  <c r="EK27" i="36"/>
  <c r="EK28" i="36"/>
  <c r="EK29" i="36"/>
  <c r="EK30" i="36"/>
  <c r="EK31" i="36"/>
  <c r="EK32" i="36"/>
  <c r="EK33" i="36"/>
  <c r="EK34" i="36"/>
  <c r="EK35" i="36"/>
  <c r="EK36" i="36"/>
  <c r="EK37" i="36"/>
  <c r="EK38" i="36"/>
  <c r="EK39" i="36"/>
  <c r="EK40" i="36"/>
  <c r="EK41" i="36"/>
  <c r="EK42" i="36"/>
  <c r="EK43" i="36"/>
  <c r="EK44" i="36"/>
  <c r="EK45" i="36"/>
  <c r="EK46" i="36"/>
  <c r="EK47" i="36"/>
  <c r="EP10" i="36"/>
  <c r="EP11" i="36"/>
  <c r="EP12" i="36"/>
  <c r="EP13" i="36"/>
  <c r="EP14" i="36"/>
  <c r="EP15" i="36"/>
  <c r="EP16" i="36"/>
  <c r="EP17" i="36"/>
  <c r="EP18" i="36"/>
  <c r="EP19" i="36"/>
  <c r="EP20" i="36"/>
  <c r="EP21" i="36"/>
  <c r="EP22" i="36"/>
  <c r="EP23" i="36"/>
  <c r="EP24" i="36"/>
  <c r="EP25" i="36"/>
  <c r="EP26" i="36"/>
  <c r="EP27" i="36"/>
  <c r="EP28" i="36"/>
  <c r="EP29" i="36"/>
  <c r="EP30" i="36"/>
  <c r="EP31" i="36"/>
  <c r="EP32" i="36"/>
  <c r="EP33" i="36"/>
  <c r="EP34" i="36"/>
  <c r="EP35" i="36"/>
  <c r="EP36" i="36"/>
  <c r="EP37" i="36"/>
  <c r="EP38" i="36"/>
  <c r="EP39" i="36"/>
  <c r="EP40" i="36"/>
  <c r="EP41" i="36"/>
  <c r="EP42" i="36"/>
  <c r="EP43" i="36"/>
  <c r="EP44" i="36"/>
  <c r="EP45" i="36"/>
  <c r="EP46" i="36"/>
  <c r="EP47" i="36"/>
  <c r="EU10" i="36"/>
  <c r="EU11" i="36"/>
  <c r="EU12" i="36"/>
  <c r="EU13" i="36"/>
  <c r="EU14" i="36"/>
  <c r="EU15" i="36"/>
  <c r="EU16" i="36"/>
  <c r="EU17" i="36"/>
  <c r="EU18" i="36"/>
  <c r="EU19" i="36"/>
  <c r="EU20" i="36"/>
  <c r="EU21" i="36"/>
  <c r="EU22" i="36"/>
  <c r="EU23" i="36"/>
  <c r="EU24" i="36"/>
  <c r="EU25" i="36"/>
  <c r="EU26" i="36"/>
  <c r="EU27" i="36"/>
  <c r="EU28" i="36"/>
  <c r="EU29" i="36"/>
  <c r="EU30" i="36"/>
  <c r="EU31" i="36"/>
  <c r="EU32" i="36"/>
  <c r="EU33" i="36"/>
  <c r="EU34" i="36"/>
  <c r="EU35" i="36"/>
  <c r="EU36" i="36"/>
  <c r="EU37" i="36"/>
  <c r="EU38" i="36"/>
  <c r="EU39" i="36"/>
  <c r="EU40" i="36"/>
  <c r="EU41" i="36"/>
  <c r="EU42" i="36"/>
  <c r="EU43" i="36"/>
  <c r="EU44" i="36"/>
  <c r="EU45" i="36"/>
  <c r="EU46" i="36"/>
  <c r="EU47" i="36"/>
  <c r="EL10" i="36"/>
  <c r="EL11" i="36"/>
  <c r="EL12" i="36"/>
  <c r="EL13" i="36"/>
  <c r="EL14" i="36"/>
  <c r="EL15" i="36"/>
  <c r="EL16" i="36"/>
  <c r="EL17" i="36"/>
  <c r="EL18" i="36"/>
  <c r="EL19" i="36"/>
  <c r="EL20" i="36"/>
  <c r="EL21" i="36"/>
  <c r="EL22" i="36"/>
  <c r="EL23" i="36"/>
  <c r="EL24" i="36"/>
  <c r="EL25" i="36"/>
  <c r="EL26" i="36"/>
  <c r="EL27" i="36"/>
  <c r="EL28" i="36"/>
  <c r="EL29" i="36"/>
  <c r="EL30" i="36"/>
  <c r="EL31" i="36"/>
  <c r="EL32" i="36"/>
  <c r="EL33" i="36"/>
  <c r="EL34" i="36"/>
  <c r="EL35" i="36"/>
  <c r="EL36" i="36"/>
  <c r="EL37" i="36"/>
  <c r="EL38" i="36"/>
  <c r="EL39" i="36"/>
  <c r="EL40" i="36"/>
  <c r="EL41" i="36"/>
  <c r="EL42" i="36"/>
  <c r="EL43" i="36"/>
  <c r="EL44" i="36"/>
  <c r="EL45" i="36"/>
  <c r="EL46" i="36"/>
  <c r="EL47" i="36"/>
  <c r="EQ10" i="36"/>
  <c r="EQ11" i="36"/>
  <c r="EQ12" i="36"/>
  <c r="EQ13" i="36"/>
  <c r="EQ14" i="36"/>
  <c r="EQ15" i="36"/>
  <c r="EQ16" i="36"/>
  <c r="EQ17" i="36"/>
  <c r="EQ18" i="36"/>
  <c r="EQ19" i="36"/>
  <c r="EQ20" i="36"/>
  <c r="EQ21" i="36"/>
  <c r="EQ22" i="36"/>
  <c r="EQ23" i="36"/>
  <c r="EQ24" i="36"/>
  <c r="EQ25" i="36"/>
  <c r="EQ26" i="36"/>
  <c r="EQ27" i="36"/>
  <c r="EQ28" i="36"/>
  <c r="EQ29" i="36"/>
  <c r="EQ30" i="36"/>
  <c r="EQ31" i="36"/>
  <c r="EQ32" i="36"/>
  <c r="EQ33" i="36"/>
  <c r="EQ34" i="36"/>
  <c r="EQ35" i="36"/>
  <c r="EQ36" i="36"/>
  <c r="EQ37" i="36"/>
  <c r="EQ38" i="36"/>
  <c r="EQ39" i="36"/>
  <c r="EQ40" i="36"/>
  <c r="EQ41" i="36"/>
  <c r="EQ42" i="36"/>
  <c r="EQ43" i="36"/>
  <c r="EQ44" i="36"/>
  <c r="EQ45" i="36"/>
  <c r="EQ46" i="36"/>
  <c r="EQ47" i="36"/>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4" i="36"/>
  <c r="EV45" i="36"/>
  <c r="EV46" i="36"/>
  <c r="EV47" i="36"/>
  <c r="DS10" i="36"/>
  <c r="DS11" i="36"/>
  <c r="DS12" i="36"/>
  <c r="DS13" i="36"/>
  <c r="DS14" i="36"/>
  <c r="DS15" i="36"/>
  <c r="DS16" i="36"/>
  <c r="DS17" i="36"/>
  <c r="DS18" i="36"/>
  <c r="DS19" i="36"/>
  <c r="DS20" i="36"/>
  <c r="DS21" i="36"/>
  <c r="DS22" i="36"/>
  <c r="DS23" i="36"/>
  <c r="DS24" i="36"/>
  <c r="DS25" i="36"/>
  <c r="DS26" i="36"/>
  <c r="DS27" i="36"/>
  <c r="DS28" i="36"/>
  <c r="DS29" i="36"/>
  <c r="DS30" i="36"/>
  <c r="DS31" i="36"/>
  <c r="DS32" i="36"/>
  <c r="DS33" i="36"/>
  <c r="DS34" i="36"/>
  <c r="DS35" i="36"/>
  <c r="DS36" i="36"/>
  <c r="DS37" i="36"/>
  <c r="DS38" i="36"/>
  <c r="DS39" i="36"/>
  <c r="DS40" i="36"/>
  <c r="DS41" i="36"/>
  <c r="DS42" i="36"/>
  <c r="DS43" i="36"/>
  <c r="DS44" i="36"/>
  <c r="DS45" i="36"/>
  <c r="DS46" i="36"/>
  <c r="DS47" i="36"/>
  <c r="DX10" i="36"/>
  <c r="DX11" i="36"/>
  <c r="DX12" i="36"/>
  <c r="DX13" i="36"/>
  <c r="DX14" i="36"/>
  <c r="DX15" i="36"/>
  <c r="DX16" i="36"/>
  <c r="DX17" i="36"/>
  <c r="DX18" i="36"/>
  <c r="DX19" i="36"/>
  <c r="DX20" i="36"/>
  <c r="DX21" i="36"/>
  <c r="DX22" i="36"/>
  <c r="DX23" i="36"/>
  <c r="DX24" i="36"/>
  <c r="DX25" i="36"/>
  <c r="DX26" i="36"/>
  <c r="DX27" i="36"/>
  <c r="DX28" i="36"/>
  <c r="DX29" i="36"/>
  <c r="DX30" i="36"/>
  <c r="DX31" i="36"/>
  <c r="DX32" i="36"/>
  <c r="DX33" i="36"/>
  <c r="DX34" i="36"/>
  <c r="DX35" i="36"/>
  <c r="DX36" i="36"/>
  <c r="DX37" i="36"/>
  <c r="DX38" i="36"/>
  <c r="DX39" i="36"/>
  <c r="DX40" i="36"/>
  <c r="DX41" i="36"/>
  <c r="DX42" i="36"/>
  <c r="DX43" i="36"/>
  <c r="DX44" i="36"/>
  <c r="DX45" i="36"/>
  <c r="DX46" i="36"/>
  <c r="DX47" i="36"/>
  <c r="EC10" i="36"/>
  <c r="EC11" i="36"/>
  <c r="EC12" i="36"/>
  <c r="EC13" i="36"/>
  <c r="EC14" i="36"/>
  <c r="EC15" i="36"/>
  <c r="EC16" i="36"/>
  <c r="EC17" i="36"/>
  <c r="EC18" i="36"/>
  <c r="EC19" i="36"/>
  <c r="EC20" i="36"/>
  <c r="EC21" i="36"/>
  <c r="EC22" i="36"/>
  <c r="EC23" i="36"/>
  <c r="EC24" i="36"/>
  <c r="EC25" i="36"/>
  <c r="EC26" i="36"/>
  <c r="EC27" i="36"/>
  <c r="EC28" i="36"/>
  <c r="EC29" i="36"/>
  <c r="EC30" i="36"/>
  <c r="EC31" i="36"/>
  <c r="EC32" i="36"/>
  <c r="EC33" i="36"/>
  <c r="EC34" i="36"/>
  <c r="EC35" i="36"/>
  <c r="EC36" i="36"/>
  <c r="EC37" i="36"/>
  <c r="EC38" i="36"/>
  <c r="EC39" i="36"/>
  <c r="EC40" i="36"/>
  <c r="EC41" i="36"/>
  <c r="EC42" i="36"/>
  <c r="EC43" i="36"/>
  <c r="EC44" i="36"/>
  <c r="EC45" i="36"/>
  <c r="EC46" i="36"/>
  <c r="EC47" i="36"/>
  <c r="DT10" i="36"/>
  <c r="DT11" i="36"/>
  <c r="DT12" i="36"/>
  <c r="DT13" i="36"/>
  <c r="DT14" i="36"/>
  <c r="DT15" i="36"/>
  <c r="DT16" i="36"/>
  <c r="DT17" i="36"/>
  <c r="DT18" i="36"/>
  <c r="DT19" i="36"/>
  <c r="DT20" i="36"/>
  <c r="DT21" i="36"/>
  <c r="DT22" i="36"/>
  <c r="DT23" i="36"/>
  <c r="DT24" i="36"/>
  <c r="DT25" i="36"/>
  <c r="DT26" i="36"/>
  <c r="DT27" i="36"/>
  <c r="DT28" i="36"/>
  <c r="DT29" i="36"/>
  <c r="DT30" i="36"/>
  <c r="DT31" i="36"/>
  <c r="DT32" i="36"/>
  <c r="DT33" i="36"/>
  <c r="DT34" i="36"/>
  <c r="DT35" i="36"/>
  <c r="DT36" i="36"/>
  <c r="DT37" i="36"/>
  <c r="DT38" i="36"/>
  <c r="DT39" i="36"/>
  <c r="DT40" i="36"/>
  <c r="DT41" i="36"/>
  <c r="DT42" i="36"/>
  <c r="DT43" i="36"/>
  <c r="DT44" i="36"/>
  <c r="DT45" i="36"/>
  <c r="DT46" i="36"/>
  <c r="DT47" i="36"/>
  <c r="DY10" i="36"/>
  <c r="DY11" i="36"/>
  <c r="DY12" i="36"/>
  <c r="DY13" i="36"/>
  <c r="DY14" i="36"/>
  <c r="DY15" i="36"/>
  <c r="DY16" i="36"/>
  <c r="DY17" i="36"/>
  <c r="DY18" i="36"/>
  <c r="DY19" i="36"/>
  <c r="DY20" i="36"/>
  <c r="DY21" i="36"/>
  <c r="DY22" i="36"/>
  <c r="DY23" i="36"/>
  <c r="DY24" i="36"/>
  <c r="DY25" i="36"/>
  <c r="DY26" i="36"/>
  <c r="DY27" i="36"/>
  <c r="DY28" i="36"/>
  <c r="DY29" i="36"/>
  <c r="DY30" i="36"/>
  <c r="DY31" i="36"/>
  <c r="DY32" i="36"/>
  <c r="DY33" i="36"/>
  <c r="DY34" i="36"/>
  <c r="DY35" i="36"/>
  <c r="DY36" i="36"/>
  <c r="DY37" i="36"/>
  <c r="DY38" i="36"/>
  <c r="DY39" i="36"/>
  <c r="DY40" i="36"/>
  <c r="DY41" i="36"/>
  <c r="DY42" i="36"/>
  <c r="DY43" i="36"/>
  <c r="DY44" i="36"/>
  <c r="DY45" i="36"/>
  <c r="DY46" i="36"/>
  <c r="DY47" i="36"/>
  <c r="ED10" i="36"/>
  <c r="ED11" i="36"/>
  <c r="ED12" i="36"/>
  <c r="ED13" i="36"/>
  <c r="ED14" i="36"/>
  <c r="ED15" i="36"/>
  <c r="ED16" i="36"/>
  <c r="ED17" i="36"/>
  <c r="ED18" i="36"/>
  <c r="ED19" i="36"/>
  <c r="ED20" i="36"/>
  <c r="ED21" i="36"/>
  <c r="ED22" i="36"/>
  <c r="ED23" i="36"/>
  <c r="ED24" i="36"/>
  <c r="ED25" i="36"/>
  <c r="ED26" i="36"/>
  <c r="ED27" i="36"/>
  <c r="ED28" i="36"/>
  <c r="ED29" i="36"/>
  <c r="ED30" i="36"/>
  <c r="ED31" i="36"/>
  <c r="ED32" i="36"/>
  <c r="ED33" i="36"/>
  <c r="ED34" i="36"/>
  <c r="ED35" i="36"/>
  <c r="ED36" i="36"/>
  <c r="ED37" i="36"/>
  <c r="ED38" i="36"/>
  <c r="ED39" i="36"/>
  <c r="ED40" i="36"/>
  <c r="ED41" i="36"/>
  <c r="ED42" i="36"/>
  <c r="ED43" i="36"/>
  <c r="ED44" i="36"/>
  <c r="ED45" i="36"/>
  <c r="ED46" i="36"/>
  <c r="ED47" i="36"/>
  <c r="DU10" i="36"/>
  <c r="DU11" i="36"/>
  <c r="DU12" i="36"/>
  <c r="DU13" i="36"/>
  <c r="DU14" i="36"/>
  <c r="DU15" i="36"/>
  <c r="DU16" i="36"/>
  <c r="DU17" i="36"/>
  <c r="DU18" i="36"/>
  <c r="DU19" i="36"/>
  <c r="DU20" i="36"/>
  <c r="DU21" i="36"/>
  <c r="DU22" i="36"/>
  <c r="DU23" i="36"/>
  <c r="DU24" i="36"/>
  <c r="DU25" i="36"/>
  <c r="DU26" i="36"/>
  <c r="DU27" i="36"/>
  <c r="DU28" i="36"/>
  <c r="DU29" i="36"/>
  <c r="DU30" i="36"/>
  <c r="DU31" i="36"/>
  <c r="DU32" i="36"/>
  <c r="DU33" i="36"/>
  <c r="DU34" i="36"/>
  <c r="DU35" i="36"/>
  <c r="DU36" i="36"/>
  <c r="DU37" i="36"/>
  <c r="DU38" i="36"/>
  <c r="DU39" i="36"/>
  <c r="DU40" i="36"/>
  <c r="DU41" i="36"/>
  <c r="DU42" i="36"/>
  <c r="DU43" i="36"/>
  <c r="DU44" i="36"/>
  <c r="DU45" i="36"/>
  <c r="DU46" i="36"/>
  <c r="DU47" i="36"/>
  <c r="DZ10" i="36"/>
  <c r="DZ11" i="36"/>
  <c r="DZ12" i="36"/>
  <c r="DZ13" i="36"/>
  <c r="DZ14" i="36"/>
  <c r="DZ15" i="36"/>
  <c r="DZ16" i="36"/>
  <c r="DZ17" i="36"/>
  <c r="DZ18" i="36"/>
  <c r="DZ19" i="36"/>
  <c r="DZ20" i="36"/>
  <c r="DZ21" i="36"/>
  <c r="DZ22" i="36"/>
  <c r="DZ23" i="36"/>
  <c r="DZ24" i="36"/>
  <c r="DZ25" i="36"/>
  <c r="DZ26" i="36"/>
  <c r="DZ27" i="36"/>
  <c r="DZ28" i="36"/>
  <c r="DZ29" i="36"/>
  <c r="DZ30" i="36"/>
  <c r="DZ31" i="36"/>
  <c r="DZ32" i="36"/>
  <c r="DZ33" i="36"/>
  <c r="DZ34" i="36"/>
  <c r="DZ35" i="36"/>
  <c r="DZ36" i="36"/>
  <c r="DZ37" i="36"/>
  <c r="DZ38" i="36"/>
  <c r="DZ39" i="36"/>
  <c r="DZ40" i="36"/>
  <c r="DZ41" i="36"/>
  <c r="DZ42" i="36"/>
  <c r="DZ43" i="36"/>
  <c r="DZ44" i="36"/>
  <c r="DZ45" i="36"/>
  <c r="DZ46" i="36"/>
  <c r="DZ47" i="36"/>
  <c r="EE10" i="36"/>
  <c r="EE11" i="36"/>
  <c r="EE12" i="36"/>
  <c r="EE13" i="36"/>
  <c r="EE14" i="36"/>
  <c r="EE15" i="36"/>
  <c r="EE16" i="36"/>
  <c r="EE17" i="36"/>
  <c r="EE18" i="36"/>
  <c r="EE19" i="36"/>
  <c r="EE20" i="36"/>
  <c r="EE21" i="36"/>
  <c r="EE22" i="36"/>
  <c r="EE23" i="36"/>
  <c r="EE24" i="36"/>
  <c r="EE25" i="36"/>
  <c r="EE26" i="36"/>
  <c r="EE27" i="36"/>
  <c r="EE28" i="36"/>
  <c r="EE29" i="36"/>
  <c r="EE30" i="36"/>
  <c r="EE31" i="36"/>
  <c r="EE32" i="36"/>
  <c r="EE33" i="36"/>
  <c r="EE34" i="36"/>
  <c r="EE35" i="36"/>
  <c r="EE36" i="36"/>
  <c r="EE37" i="36"/>
  <c r="EE38" i="36"/>
  <c r="EE39" i="36"/>
  <c r="EE40" i="36"/>
  <c r="EE41" i="36"/>
  <c r="EE42" i="36"/>
  <c r="EE43" i="36"/>
  <c r="EE44" i="36"/>
  <c r="EE45" i="36"/>
  <c r="EE46" i="36"/>
  <c r="EE47" i="36"/>
  <c r="DV10" i="36"/>
  <c r="DV11" i="36"/>
  <c r="DV12" i="36"/>
  <c r="DV13" i="36"/>
  <c r="DV14" i="36"/>
  <c r="DV15" i="36"/>
  <c r="DV16" i="36"/>
  <c r="DV17" i="36"/>
  <c r="DV18" i="36"/>
  <c r="DV19" i="36"/>
  <c r="DV20" i="36"/>
  <c r="DV21" i="36"/>
  <c r="DV22" i="36"/>
  <c r="DV23" i="36"/>
  <c r="DV24" i="36"/>
  <c r="DV25" i="36"/>
  <c r="DV26" i="36"/>
  <c r="DV27" i="36"/>
  <c r="DV28" i="36"/>
  <c r="DV29" i="36"/>
  <c r="DV30" i="36"/>
  <c r="DV31" i="36"/>
  <c r="DV32" i="36"/>
  <c r="DV33" i="36"/>
  <c r="DV34" i="36"/>
  <c r="DV35" i="36"/>
  <c r="DV36" i="36"/>
  <c r="DV37" i="36"/>
  <c r="DV38" i="36"/>
  <c r="DV39" i="36"/>
  <c r="DV40" i="36"/>
  <c r="DV41" i="36"/>
  <c r="DV42" i="36"/>
  <c r="DV43" i="36"/>
  <c r="DV44" i="36"/>
  <c r="DV45" i="36"/>
  <c r="DV46" i="36"/>
  <c r="DV47" i="36"/>
  <c r="EA10" i="36"/>
  <c r="EA11" i="36"/>
  <c r="EA12" i="36"/>
  <c r="EA13" i="36"/>
  <c r="EA14" i="36"/>
  <c r="EA15" i="36"/>
  <c r="EA16" i="36"/>
  <c r="EA17" i="36"/>
  <c r="EA18" i="36"/>
  <c r="EA19" i="36"/>
  <c r="EA20" i="36"/>
  <c r="EA21" i="36"/>
  <c r="EA22" i="36"/>
  <c r="EA23" i="36"/>
  <c r="EA24" i="36"/>
  <c r="EA25" i="36"/>
  <c r="EA26" i="36"/>
  <c r="EA27" i="36"/>
  <c r="EA28" i="36"/>
  <c r="EA29" i="36"/>
  <c r="EA30" i="36"/>
  <c r="EA31" i="36"/>
  <c r="EA32" i="36"/>
  <c r="EA33" i="36"/>
  <c r="EA34" i="36"/>
  <c r="EA35" i="36"/>
  <c r="EA36" i="36"/>
  <c r="EA37" i="36"/>
  <c r="EA38" i="36"/>
  <c r="EA39" i="36"/>
  <c r="EA40" i="36"/>
  <c r="EA41" i="36"/>
  <c r="EA42" i="36"/>
  <c r="EA43" i="36"/>
  <c r="EA44" i="36"/>
  <c r="EA45" i="36"/>
  <c r="EA46" i="36"/>
  <c r="EA47" i="36"/>
  <c r="EF10" i="36"/>
  <c r="EF11" i="36"/>
  <c r="EF12" i="36"/>
  <c r="EF13" i="36"/>
  <c r="EF14" i="36"/>
  <c r="EF15" i="36"/>
  <c r="EF16" i="36"/>
  <c r="EF17" i="36"/>
  <c r="EF18" i="36"/>
  <c r="EF19" i="36"/>
  <c r="EF20" i="36"/>
  <c r="EF21" i="36"/>
  <c r="EF22" i="36"/>
  <c r="EF23" i="36"/>
  <c r="EF24" i="36"/>
  <c r="EF25" i="36"/>
  <c r="EF26" i="36"/>
  <c r="EF27" i="36"/>
  <c r="EF28" i="36"/>
  <c r="EF29" i="36"/>
  <c r="EF30" i="36"/>
  <c r="EF31" i="36"/>
  <c r="EF32" i="36"/>
  <c r="EF33" i="36"/>
  <c r="EF34" i="36"/>
  <c r="EF35" i="36"/>
  <c r="EF36" i="36"/>
  <c r="EF37" i="36"/>
  <c r="EF38" i="36"/>
  <c r="EF39" i="36"/>
  <c r="EF40" i="36"/>
  <c r="EF41" i="36"/>
  <c r="EF42" i="36"/>
  <c r="EF43" i="36"/>
  <c r="EF44" i="36"/>
  <c r="EF45" i="36"/>
  <c r="EF46" i="36"/>
  <c r="EF47" i="36"/>
  <c r="DW10" i="36"/>
  <c r="DW11" i="36"/>
  <c r="DW12" i="36"/>
  <c r="DW13" i="36"/>
  <c r="DW14" i="36"/>
  <c r="DW15" i="36"/>
  <c r="DW16" i="36"/>
  <c r="DW17" i="36"/>
  <c r="DW18" i="36"/>
  <c r="DW19" i="36"/>
  <c r="DW20" i="36"/>
  <c r="DW21" i="36"/>
  <c r="DW22" i="36"/>
  <c r="DW23" i="36"/>
  <c r="DW24" i="36"/>
  <c r="DW25" i="36"/>
  <c r="DW26" i="36"/>
  <c r="DW27" i="36"/>
  <c r="DW28" i="36"/>
  <c r="DW29" i="36"/>
  <c r="DW30" i="36"/>
  <c r="DW31" i="36"/>
  <c r="DW32" i="36"/>
  <c r="DW33" i="36"/>
  <c r="DW34" i="36"/>
  <c r="DW35" i="36"/>
  <c r="DW36" i="36"/>
  <c r="DW37" i="36"/>
  <c r="DW38" i="36"/>
  <c r="DW39" i="36"/>
  <c r="DW40" i="36"/>
  <c r="DW41" i="36"/>
  <c r="DW42" i="36"/>
  <c r="DW43" i="36"/>
  <c r="DW44" i="36"/>
  <c r="DW45" i="36"/>
  <c r="DW46" i="36"/>
  <c r="DW47" i="36"/>
  <c r="EB10" i="36"/>
  <c r="EB11" i="36"/>
  <c r="EB12" i="36"/>
  <c r="EB13" i="36"/>
  <c r="EB14" i="36"/>
  <c r="EB15" i="36"/>
  <c r="EB16" i="36"/>
  <c r="EB17" i="36"/>
  <c r="EB18" i="36"/>
  <c r="EB19" i="36"/>
  <c r="EB20" i="36"/>
  <c r="EB21" i="36"/>
  <c r="EB22" i="36"/>
  <c r="EB23" i="36"/>
  <c r="EB24" i="36"/>
  <c r="EB25" i="36"/>
  <c r="EB26" i="36"/>
  <c r="EB27" i="36"/>
  <c r="EB28" i="36"/>
  <c r="EB29" i="36"/>
  <c r="EB30" i="36"/>
  <c r="EB31" i="36"/>
  <c r="EB32" i="36"/>
  <c r="EB33" i="36"/>
  <c r="EB34" i="36"/>
  <c r="EB35" i="36"/>
  <c r="EB36" i="36"/>
  <c r="EB37" i="36"/>
  <c r="EB38" i="36"/>
  <c r="EB39" i="36"/>
  <c r="EB40" i="36"/>
  <c r="EB41" i="36"/>
  <c r="EB42" i="36"/>
  <c r="EB43" i="36"/>
  <c r="EB44" i="36"/>
  <c r="EB45" i="36"/>
  <c r="EB46" i="36"/>
  <c r="EB47" i="36"/>
  <c r="EG10" i="36"/>
  <c r="EG11" i="36"/>
  <c r="EG12" i="36"/>
  <c r="EG13" i="36"/>
  <c r="EG14" i="36"/>
  <c r="EG15" i="36"/>
  <c r="EG16" i="36"/>
  <c r="EG17" i="36"/>
  <c r="EG18" i="36"/>
  <c r="EG19" i="36"/>
  <c r="EG20" i="36"/>
  <c r="EG21" i="36"/>
  <c r="EG22" i="36"/>
  <c r="EG23" i="36"/>
  <c r="EG24" i="36"/>
  <c r="EG25" i="36"/>
  <c r="EG26" i="36"/>
  <c r="EG27" i="36"/>
  <c r="EG28" i="36"/>
  <c r="EG29" i="36"/>
  <c r="EG30" i="36"/>
  <c r="EG31" i="36"/>
  <c r="EG32" i="36"/>
  <c r="EG33" i="36"/>
  <c r="EG34" i="36"/>
  <c r="EG35" i="36"/>
  <c r="EG36" i="36"/>
  <c r="EG37" i="36"/>
  <c r="EG38" i="36"/>
  <c r="EG39" i="36"/>
  <c r="EG40" i="36"/>
  <c r="EG41" i="36"/>
  <c r="EG42" i="36"/>
  <c r="EG43" i="36"/>
  <c r="EG44" i="36"/>
  <c r="EG45" i="36"/>
  <c r="EG46" i="36"/>
  <c r="EG47" i="36"/>
  <c r="M81" i="36"/>
  <c r="P44" i="7"/>
  <c r="P50" i="59" s="1"/>
  <c r="DD10" i="36"/>
  <c r="DD11" i="36"/>
  <c r="DD12" i="36"/>
  <c r="DD13" i="36"/>
  <c r="DD14" i="36"/>
  <c r="DD15" i="36"/>
  <c r="DD16" i="36"/>
  <c r="DD17" i="36"/>
  <c r="DD18" i="36"/>
  <c r="DD19" i="36"/>
  <c r="DD20" i="36"/>
  <c r="DD21" i="36"/>
  <c r="DD22" i="36"/>
  <c r="DD23" i="36"/>
  <c r="DD24" i="36"/>
  <c r="DD25" i="36"/>
  <c r="DD26" i="36"/>
  <c r="DD27" i="36"/>
  <c r="DD28" i="36"/>
  <c r="DD29" i="36"/>
  <c r="DD30" i="36"/>
  <c r="DD31" i="36"/>
  <c r="DD32" i="36"/>
  <c r="DD33" i="36"/>
  <c r="DD34" i="36"/>
  <c r="DD35" i="36"/>
  <c r="DD36" i="36"/>
  <c r="DD37" i="36"/>
  <c r="DD38" i="36"/>
  <c r="DD39" i="36"/>
  <c r="DD40" i="36"/>
  <c r="DD41" i="36"/>
  <c r="DD42" i="36"/>
  <c r="DD43" i="36"/>
  <c r="DD44" i="36"/>
  <c r="DD45" i="36"/>
  <c r="DD46" i="36"/>
  <c r="DD47" i="36"/>
  <c r="DI10" i="36"/>
  <c r="DI11" i="36"/>
  <c r="DI12" i="36"/>
  <c r="DI13" i="36"/>
  <c r="DI14" i="36"/>
  <c r="DI15" i="36"/>
  <c r="DI16" i="36"/>
  <c r="DI17" i="36"/>
  <c r="DI18" i="36"/>
  <c r="DI19" i="36"/>
  <c r="DI20" i="36"/>
  <c r="DI21" i="36"/>
  <c r="DI22" i="36"/>
  <c r="DI23" i="36"/>
  <c r="DI24" i="36"/>
  <c r="DI25" i="36"/>
  <c r="DI26" i="36"/>
  <c r="DI27" i="36"/>
  <c r="DI28" i="36"/>
  <c r="DI29" i="36"/>
  <c r="DI30" i="36"/>
  <c r="DI31" i="36"/>
  <c r="DI32" i="36"/>
  <c r="DI33" i="36"/>
  <c r="DI34" i="36"/>
  <c r="DI35" i="36"/>
  <c r="DI36" i="36"/>
  <c r="DI37" i="36"/>
  <c r="DI38" i="36"/>
  <c r="DI39" i="36"/>
  <c r="DI40" i="36"/>
  <c r="DI41" i="36"/>
  <c r="DI42" i="36"/>
  <c r="DI43" i="36"/>
  <c r="DI44" i="36"/>
  <c r="DI45" i="36"/>
  <c r="DI46" i="36"/>
  <c r="DI47" i="36"/>
  <c r="DN10" i="36"/>
  <c r="DN11" i="36"/>
  <c r="DN12" i="36"/>
  <c r="DN13" i="36"/>
  <c r="DN14" i="36"/>
  <c r="DN15" i="36"/>
  <c r="DN16" i="36"/>
  <c r="DN17" i="36"/>
  <c r="DN18" i="36"/>
  <c r="DN19" i="36"/>
  <c r="DN20" i="36"/>
  <c r="DN21" i="36"/>
  <c r="DN22" i="36"/>
  <c r="DN23" i="36"/>
  <c r="DN24" i="36"/>
  <c r="DN25" i="36"/>
  <c r="DN26" i="36"/>
  <c r="DN27" i="36"/>
  <c r="DN28" i="36"/>
  <c r="DN29" i="36"/>
  <c r="DN30" i="36"/>
  <c r="DN31" i="36"/>
  <c r="DN32" i="36"/>
  <c r="DN33" i="36"/>
  <c r="DN34" i="36"/>
  <c r="DN35" i="36"/>
  <c r="DN36" i="36"/>
  <c r="DN37" i="36"/>
  <c r="DN38" i="36"/>
  <c r="DN39" i="36"/>
  <c r="DN40" i="36"/>
  <c r="DN41" i="36"/>
  <c r="DN42" i="36"/>
  <c r="DN43" i="36"/>
  <c r="DN44" i="36"/>
  <c r="DN45" i="36"/>
  <c r="DN46" i="36"/>
  <c r="DN47" i="36"/>
  <c r="DE10" i="36"/>
  <c r="DE11" i="36"/>
  <c r="DE12" i="36"/>
  <c r="DE13" i="36"/>
  <c r="DE14" i="36"/>
  <c r="DE15" i="36"/>
  <c r="DE16" i="36"/>
  <c r="DE17" i="36"/>
  <c r="DE18" i="36"/>
  <c r="DE19" i="36"/>
  <c r="DE20" i="36"/>
  <c r="DE21" i="36"/>
  <c r="DE22" i="36"/>
  <c r="DE23" i="36"/>
  <c r="DE24" i="36"/>
  <c r="DE25" i="36"/>
  <c r="DE26" i="36"/>
  <c r="DE27" i="36"/>
  <c r="DE28" i="36"/>
  <c r="DE29" i="36"/>
  <c r="DE30" i="36"/>
  <c r="DE31" i="36"/>
  <c r="DE32" i="36"/>
  <c r="DE33" i="36"/>
  <c r="DE34" i="36"/>
  <c r="DE35" i="36"/>
  <c r="DE36" i="36"/>
  <c r="DE37" i="36"/>
  <c r="DE38" i="36"/>
  <c r="DE39" i="36"/>
  <c r="DE40" i="36"/>
  <c r="DE41" i="36"/>
  <c r="DE42" i="36"/>
  <c r="DE43" i="36"/>
  <c r="DE44" i="36"/>
  <c r="DE45" i="36"/>
  <c r="DE46" i="36"/>
  <c r="DE47" i="36"/>
  <c r="DJ10" i="36"/>
  <c r="DJ11" i="36"/>
  <c r="DJ12" i="36"/>
  <c r="DJ13" i="36"/>
  <c r="DJ14" i="36"/>
  <c r="DJ15" i="36"/>
  <c r="DJ16" i="36"/>
  <c r="DJ17" i="36"/>
  <c r="DJ18" i="36"/>
  <c r="DJ19" i="36"/>
  <c r="DJ20" i="36"/>
  <c r="DJ21" i="36"/>
  <c r="DJ22" i="36"/>
  <c r="DJ23" i="36"/>
  <c r="DJ24" i="36"/>
  <c r="DJ25" i="36"/>
  <c r="DJ26" i="36"/>
  <c r="DJ27" i="36"/>
  <c r="DJ28" i="36"/>
  <c r="DJ29" i="36"/>
  <c r="DJ30" i="36"/>
  <c r="DJ31" i="36"/>
  <c r="DJ32" i="36"/>
  <c r="DJ33" i="36"/>
  <c r="DJ34" i="36"/>
  <c r="DJ35" i="36"/>
  <c r="DJ36" i="36"/>
  <c r="DJ37" i="36"/>
  <c r="DJ38" i="36"/>
  <c r="DJ39" i="36"/>
  <c r="DJ40" i="36"/>
  <c r="DJ41" i="36"/>
  <c r="DJ42" i="36"/>
  <c r="DJ43" i="36"/>
  <c r="DJ44" i="36"/>
  <c r="DJ45" i="36"/>
  <c r="DJ46" i="36"/>
  <c r="DJ47" i="36"/>
  <c r="DO10" i="36"/>
  <c r="DO11" i="36"/>
  <c r="DO12" i="36"/>
  <c r="DO13" i="36"/>
  <c r="DO14" i="36"/>
  <c r="DO15" i="36"/>
  <c r="DO16" i="36"/>
  <c r="DO17" i="36"/>
  <c r="DO18" i="36"/>
  <c r="DO19" i="36"/>
  <c r="DO20" i="36"/>
  <c r="DO21" i="36"/>
  <c r="DO22" i="36"/>
  <c r="DO23" i="36"/>
  <c r="DO24" i="36"/>
  <c r="DO25" i="36"/>
  <c r="DO26" i="36"/>
  <c r="DO27" i="36"/>
  <c r="DO28" i="36"/>
  <c r="DO29" i="36"/>
  <c r="DO30" i="36"/>
  <c r="DO31" i="36"/>
  <c r="DO32" i="36"/>
  <c r="DO33" i="36"/>
  <c r="DO34" i="36"/>
  <c r="DO35" i="36"/>
  <c r="DO36" i="36"/>
  <c r="DO37" i="36"/>
  <c r="DO38" i="36"/>
  <c r="DO39" i="36"/>
  <c r="DO40" i="36"/>
  <c r="DO41" i="36"/>
  <c r="DO42" i="36"/>
  <c r="DO43" i="36"/>
  <c r="DO44" i="36"/>
  <c r="DO45" i="36"/>
  <c r="DO46" i="36"/>
  <c r="DO47" i="36"/>
  <c r="DF10" i="36"/>
  <c r="DF11" i="36"/>
  <c r="DF12" i="36"/>
  <c r="DF13" i="36"/>
  <c r="DF14" i="36"/>
  <c r="DF15" i="36"/>
  <c r="DF16" i="36"/>
  <c r="DF17" i="36"/>
  <c r="DF18" i="36"/>
  <c r="DF19" i="36"/>
  <c r="DF20" i="36"/>
  <c r="DF21" i="36"/>
  <c r="DF22" i="36"/>
  <c r="DF23" i="36"/>
  <c r="DF24" i="36"/>
  <c r="DF25" i="36"/>
  <c r="DF26" i="36"/>
  <c r="DF27" i="36"/>
  <c r="DF28" i="36"/>
  <c r="DF29" i="36"/>
  <c r="DF30" i="36"/>
  <c r="DF31" i="36"/>
  <c r="DF32" i="36"/>
  <c r="DF33" i="36"/>
  <c r="DF34" i="36"/>
  <c r="DF35" i="36"/>
  <c r="DF36" i="36"/>
  <c r="DF37" i="36"/>
  <c r="DF38" i="36"/>
  <c r="DF39" i="36"/>
  <c r="DF40" i="36"/>
  <c r="DF41" i="36"/>
  <c r="DF42" i="36"/>
  <c r="DF43" i="36"/>
  <c r="DF44" i="36"/>
  <c r="DF45" i="36"/>
  <c r="DF46" i="36"/>
  <c r="DF47" i="36"/>
  <c r="DK10" i="36"/>
  <c r="DK11" i="36"/>
  <c r="DK12" i="36"/>
  <c r="DK13" i="36"/>
  <c r="DK14" i="36"/>
  <c r="DK15" i="36"/>
  <c r="DK16" i="36"/>
  <c r="DK17" i="36"/>
  <c r="DK18" i="36"/>
  <c r="DK19" i="36"/>
  <c r="DK20" i="36"/>
  <c r="DK21" i="36"/>
  <c r="DK22" i="36"/>
  <c r="DK23" i="36"/>
  <c r="DK24" i="36"/>
  <c r="DK25" i="36"/>
  <c r="DK26" i="36"/>
  <c r="DK27" i="36"/>
  <c r="DK28" i="36"/>
  <c r="DK29" i="36"/>
  <c r="DK30" i="36"/>
  <c r="DK31" i="36"/>
  <c r="DK32" i="36"/>
  <c r="DK33" i="36"/>
  <c r="DK34" i="36"/>
  <c r="DK35" i="36"/>
  <c r="DK36" i="36"/>
  <c r="DK37" i="36"/>
  <c r="DK38" i="36"/>
  <c r="DK39" i="36"/>
  <c r="DK40" i="36"/>
  <c r="DK41" i="36"/>
  <c r="DK42" i="36"/>
  <c r="DK43" i="36"/>
  <c r="DK44" i="36"/>
  <c r="DK45" i="36"/>
  <c r="DK46" i="36"/>
  <c r="DK47" i="36"/>
  <c r="DP10" i="36"/>
  <c r="DP11" i="36"/>
  <c r="DP12" i="36"/>
  <c r="DP13" i="36"/>
  <c r="DP14" i="36"/>
  <c r="DP15" i="36"/>
  <c r="DP16" i="36"/>
  <c r="DP17" i="36"/>
  <c r="DP18" i="36"/>
  <c r="DP19" i="36"/>
  <c r="DP20" i="36"/>
  <c r="DP21" i="36"/>
  <c r="DP22" i="36"/>
  <c r="DP23" i="36"/>
  <c r="DP24" i="36"/>
  <c r="DP25" i="36"/>
  <c r="DP26" i="36"/>
  <c r="DP27" i="36"/>
  <c r="DP28" i="36"/>
  <c r="DP29" i="36"/>
  <c r="DP30" i="36"/>
  <c r="DP31" i="36"/>
  <c r="DP32" i="36"/>
  <c r="DP33" i="36"/>
  <c r="DP34" i="36"/>
  <c r="DP35" i="36"/>
  <c r="DP36" i="36"/>
  <c r="DP37" i="36"/>
  <c r="DP38" i="36"/>
  <c r="DP39" i="36"/>
  <c r="DP40" i="36"/>
  <c r="DP41" i="36"/>
  <c r="DP42" i="36"/>
  <c r="DP43" i="36"/>
  <c r="DP44" i="36"/>
  <c r="DP45" i="36"/>
  <c r="DP46" i="36"/>
  <c r="DP47" i="36"/>
  <c r="DG10" i="36"/>
  <c r="DG11" i="36"/>
  <c r="DG12" i="36"/>
  <c r="DG13" i="36"/>
  <c r="DG14" i="36"/>
  <c r="DG15" i="36"/>
  <c r="DG16" i="36"/>
  <c r="DG17" i="36"/>
  <c r="DG18" i="36"/>
  <c r="DG19" i="36"/>
  <c r="DG20" i="36"/>
  <c r="DG21" i="36"/>
  <c r="DG22" i="36"/>
  <c r="DG23" i="36"/>
  <c r="DG24" i="36"/>
  <c r="DG25" i="36"/>
  <c r="DG26" i="36"/>
  <c r="DG27" i="36"/>
  <c r="DG28" i="36"/>
  <c r="DG29" i="36"/>
  <c r="DG30" i="36"/>
  <c r="DG31" i="36"/>
  <c r="DG32" i="36"/>
  <c r="DG33" i="36"/>
  <c r="DG34" i="36"/>
  <c r="DG35" i="36"/>
  <c r="DG36" i="36"/>
  <c r="DG37" i="36"/>
  <c r="DG38" i="36"/>
  <c r="DG39" i="36"/>
  <c r="DG40" i="36"/>
  <c r="DG41" i="36"/>
  <c r="DG42" i="36"/>
  <c r="DG43" i="36"/>
  <c r="DG44" i="36"/>
  <c r="DG45" i="36"/>
  <c r="DG46" i="36"/>
  <c r="DG47" i="36"/>
  <c r="DL10" i="36"/>
  <c r="DL11" i="36"/>
  <c r="DL12" i="36"/>
  <c r="DL13" i="36"/>
  <c r="DL14" i="36"/>
  <c r="DL15" i="36"/>
  <c r="DL16" i="36"/>
  <c r="DL17" i="36"/>
  <c r="DL18" i="36"/>
  <c r="DL19" i="36"/>
  <c r="DL20" i="36"/>
  <c r="DL21" i="36"/>
  <c r="DL22" i="36"/>
  <c r="DL23" i="36"/>
  <c r="DL24" i="36"/>
  <c r="DL25" i="36"/>
  <c r="DL26" i="36"/>
  <c r="DL27" i="36"/>
  <c r="DL28" i="36"/>
  <c r="DL29" i="36"/>
  <c r="DL30" i="36"/>
  <c r="DL31" i="36"/>
  <c r="DL32" i="36"/>
  <c r="DL33" i="36"/>
  <c r="DL34" i="36"/>
  <c r="DL35" i="36"/>
  <c r="DL36" i="36"/>
  <c r="DL37" i="36"/>
  <c r="DL38" i="36"/>
  <c r="DL39" i="36"/>
  <c r="DL40" i="36"/>
  <c r="DL41" i="36"/>
  <c r="DL42" i="36"/>
  <c r="DL43" i="36"/>
  <c r="DL44" i="36"/>
  <c r="DL45" i="36"/>
  <c r="DL46" i="36"/>
  <c r="DL47" i="36"/>
  <c r="DQ10" i="36"/>
  <c r="DQ11" i="36"/>
  <c r="DQ12" i="36"/>
  <c r="DQ13" i="36"/>
  <c r="DQ14" i="36"/>
  <c r="DQ15" i="36"/>
  <c r="DQ16" i="36"/>
  <c r="DQ17" i="36"/>
  <c r="DQ18" i="36"/>
  <c r="DQ19" i="36"/>
  <c r="DQ20" i="36"/>
  <c r="DQ21" i="36"/>
  <c r="DQ22" i="36"/>
  <c r="DQ23" i="36"/>
  <c r="DQ24" i="36"/>
  <c r="DQ25" i="36"/>
  <c r="DQ26" i="36"/>
  <c r="DQ27" i="36"/>
  <c r="DQ28" i="36"/>
  <c r="DQ29" i="36"/>
  <c r="DQ30" i="36"/>
  <c r="DQ31" i="36"/>
  <c r="DQ32" i="36"/>
  <c r="DQ33" i="36"/>
  <c r="DQ34" i="36"/>
  <c r="DQ35" i="36"/>
  <c r="DQ36" i="36"/>
  <c r="DQ37" i="36"/>
  <c r="DQ38" i="36"/>
  <c r="DQ39" i="36"/>
  <c r="DQ40" i="36"/>
  <c r="DQ41" i="36"/>
  <c r="DQ42" i="36"/>
  <c r="DQ43" i="36"/>
  <c r="DQ44" i="36"/>
  <c r="DQ45" i="36"/>
  <c r="DQ46" i="36"/>
  <c r="DQ47" i="36"/>
  <c r="DH10" i="36"/>
  <c r="DH11" i="36"/>
  <c r="DH12" i="36"/>
  <c r="DH13" i="36"/>
  <c r="DH14" i="36"/>
  <c r="DH15" i="36"/>
  <c r="DH16" i="36"/>
  <c r="DH17" i="36"/>
  <c r="DH18" i="36"/>
  <c r="DH19" i="36"/>
  <c r="DH20" i="36"/>
  <c r="DH21" i="36"/>
  <c r="DH22" i="36"/>
  <c r="DH23" i="36"/>
  <c r="DH24" i="36"/>
  <c r="DH25" i="36"/>
  <c r="DH26" i="36"/>
  <c r="DH27" i="36"/>
  <c r="DH28" i="36"/>
  <c r="DH29" i="36"/>
  <c r="DH30" i="36"/>
  <c r="DH31" i="36"/>
  <c r="DH32" i="36"/>
  <c r="DH33" i="36"/>
  <c r="DH34" i="36"/>
  <c r="DH35" i="36"/>
  <c r="DH36" i="36"/>
  <c r="DH37" i="36"/>
  <c r="DH38" i="36"/>
  <c r="DH39" i="36"/>
  <c r="DH40" i="36"/>
  <c r="DH41" i="36"/>
  <c r="DH42" i="36"/>
  <c r="DH43" i="36"/>
  <c r="DH44" i="36"/>
  <c r="DH45" i="36"/>
  <c r="DH46" i="36"/>
  <c r="DH47" i="36"/>
  <c r="DM10" i="36"/>
  <c r="DM11" i="36"/>
  <c r="DM12" i="36"/>
  <c r="DM13" i="36"/>
  <c r="DM14" i="36"/>
  <c r="DM15" i="36"/>
  <c r="DM16" i="36"/>
  <c r="DM17" i="36"/>
  <c r="DM18" i="36"/>
  <c r="DM19" i="36"/>
  <c r="DM20" i="36"/>
  <c r="DM21" i="36"/>
  <c r="DM22" i="36"/>
  <c r="DM23" i="36"/>
  <c r="DM24" i="36"/>
  <c r="DM25" i="36"/>
  <c r="DM26" i="36"/>
  <c r="DM27" i="36"/>
  <c r="DM28" i="36"/>
  <c r="DM29" i="36"/>
  <c r="DM30" i="36"/>
  <c r="DM31" i="36"/>
  <c r="DM32" i="36"/>
  <c r="DM33" i="36"/>
  <c r="DM34" i="36"/>
  <c r="DM35" i="36"/>
  <c r="DM36" i="36"/>
  <c r="DM37" i="36"/>
  <c r="DM38" i="36"/>
  <c r="DM39" i="36"/>
  <c r="DM40" i="36"/>
  <c r="DM41" i="36"/>
  <c r="DM42" i="36"/>
  <c r="DM43" i="36"/>
  <c r="DM44" i="36"/>
  <c r="DM45" i="36"/>
  <c r="DM46" i="36"/>
  <c r="DM47" i="36"/>
  <c r="DR10" i="36"/>
  <c r="DR11" i="36"/>
  <c r="DR12" i="36"/>
  <c r="DR13" i="36"/>
  <c r="DR14" i="36"/>
  <c r="DR15" i="36"/>
  <c r="DR16" i="36"/>
  <c r="DR17" i="36"/>
  <c r="DR18" i="36"/>
  <c r="DR19" i="36"/>
  <c r="DR20" i="36"/>
  <c r="DR21" i="36"/>
  <c r="DR22" i="36"/>
  <c r="DR23" i="36"/>
  <c r="DR24" i="36"/>
  <c r="DR25" i="36"/>
  <c r="DR26" i="36"/>
  <c r="DR27" i="36"/>
  <c r="DR28" i="36"/>
  <c r="DR29" i="36"/>
  <c r="DR30" i="36"/>
  <c r="DR31" i="36"/>
  <c r="DR32" i="36"/>
  <c r="DR33" i="36"/>
  <c r="DR34" i="36"/>
  <c r="DR35" i="36"/>
  <c r="DR36" i="36"/>
  <c r="DR37" i="36"/>
  <c r="DR38" i="36"/>
  <c r="DR39" i="36"/>
  <c r="DR40" i="36"/>
  <c r="DR41" i="36"/>
  <c r="DR42" i="36"/>
  <c r="DR43" i="36"/>
  <c r="DR44" i="36"/>
  <c r="DR45" i="36"/>
  <c r="DR46" i="36"/>
  <c r="DR47" i="36"/>
  <c r="J8" i="7"/>
  <c r="J14" i="59"/>
  <c r="II10" i="36"/>
  <c r="II11" i="36"/>
  <c r="II12" i="36"/>
  <c r="II13" i="36"/>
  <c r="II14" i="36"/>
  <c r="II15" i="36"/>
  <c r="II16" i="36"/>
  <c r="II17" i="36"/>
  <c r="II18" i="36"/>
  <c r="II19" i="36"/>
  <c r="II20" i="36"/>
  <c r="II21" i="36"/>
  <c r="II22" i="36"/>
  <c r="II23" i="36"/>
  <c r="II24" i="36"/>
  <c r="II25" i="36"/>
  <c r="II26" i="36"/>
  <c r="II27" i="36"/>
  <c r="II28" i="36"/>
  <c r="II29" i="36"/>
  <c r="II30" i="36"/>
  <c r="II31" i="36"/>
  <c r="II32" i="36"/>
  <c r="II33" i="36"/>
  <c r="II34" i="36"/>
  <c r="II35" i="36"/>
  <c r="II36" i="36"/>
  <c r="II37" i="36"/>
  <c r="II38" i="36"/>
  <c r="II39" i="36"/>
  <c r="II40" i="36"/>
  <c r="II41" i="36"/>
  <c r="II42" i="36"/>
  <c r="II43" i="36"/>
  <c r="II44" i="36"/>
  <c r="II45" i="36"/>
  <c r="II46" i="36"/>
  <c r="II47" i="36"/>
  <c r="IJ10" i="36"/>
  <c r="IJ11" i="36"/>
  <c r="IJ12" i="36"/>
  <c r="IJ13" i="36"/>
  <c r="IJ14" i="36"/>
  <c r="IJ15" i="36"/>
  <c r="IJ16" i="36"/>
  <c r="IJ17" i="36"/>
  <c r="IJ18" i="36"/>
  <c r="IJ19" i="36"/>
  <c r="IJ20" i="36"/>
  <c r="IJ21" i="36"/>
  <c r="IJ22" i="36"/>
  <c r="IJ23" i="36"/>
  <c r="IJ24" i="36"/>
  <c r="IJ25" i="36"/>
  <c r="IJ26" i="36"/>
  <c r="IJ27" i="36"/>
  <c r="IJ28" i="36"/>
  <c r="IJ29" i="36"/>
  <c r="IJ30" i="36"/>
  <c r="IJ31" i="36"/>
  <c r="IJ32" i="36"/>
  <c r="IJ33" i="36"/>
  <c r="IJ34" i="36"/>
  <c r="IJ35" i="36"/>
  <c r="IJ36" i="36"/>
  <c r="IJ37" i="36"/>
  <c r="IJ38" i="36"/>
  <c r="IJ39" i="36"/>
  <c r="IJ40" i="36"/>
  <c r="IJ41" i="36"/>
  <c r="IJ42" i="36"/>
  <c r="IJ43" i="36"/>
  <c r="IJ44" i="36"/>
  <c r="IJ45" i="36"/>
  <c r="IJ46" i="36"/>
  <c r="IJ47" i="36"/>
  <c r="IK10" i="36"/>
  <c r="IK11" i="36"/>
  <c r="IK12" i="36"/>
  <c r="IK13" i="36"/>
  <c r="IK14" i="36"/>
  <c r="IK15" i="36"/>
  <c r="IK16" i="36"/>
  <c r="IK17" i="36"/>
  <c r="IK18" i="36"/>
  <c r="IK19" i="36"/>
  <c r="IK20" i="36"/>
  <c r="IK21" i="36"/>
  <c r="IK22" i="36"/>
  <c r="IK23" i="36"/>
  <c r="IK24" i="36"/>
  <c r="IK25" i="36"/>
  <c r="IK26" i="36"/>
  <c r="IK27" i="36"/>
  <c r="IK28" i="36"/>
  <c r="IK29" i="36"/>
  <c r="IK30" i="36"/>
  <c r="IK31" i="36"/>
  <c r="IK32" i="36"/>
  <c r="IK33" i="36"/>
  <c r="IK34" i="36"/>
  <c r="IK35" i="36"/>
  <c r="IK36" i="36"/>
  <c r="IK37" i="36"/>
  <c r="IK38" i="36"/>
  <c r="IK39" i="36"/>
  <c r="IK40" i="36"/>
  <c r="IK41" i="36"/>
  <c r="IK42" i="36"/>
  <c r="IK43" i="36"/>
  <c r="IK44" i="36"/>
  <c r="IK45" i="36"/>
  <c r="IK46" i="36"/>
  <c r="IK47" i="36"/>
  <c r="IL10" i="36"/>
  <c r="IL11" i="36"/>
  <c r="IL12" i="36"/>
  <c r="IL13" i="36"/>
  <c r="IL14" i="36"/>
  <c r="IL15" i="36"/>
  <c r="IL16" i="36"/>
  <c r="IL17" i="36"/>
  <c r="IL18" i="36"/>
  <c r="IL19" i="36"/>
  <c r="IL20" i="36"/>
  <c r="IL21" i="36"/>
  <c r="IL22" i="36"/>
  <c r="IL23" i="36"/>
  <c r="IL24" i="36"/>
  <c r="IL25" i="36"/>
  <c r="IL26" i="36"/>
  <c r="IL27" i="36"/>
  <c r="IL28" i="36"/>
  <c r="IL29" i="36"/>
  <c r="IL30" i="36"/>
  <c r="IL31" i="36"/>
  <c r="IL32" i="36"/>
  <c r="IL33" i="36"/>
  <c r="IL34" i="36"/>
  <c r="IL35" i="36"/>
  <c r="IL36" i="36"/>
  <c r="IL37" i="36"/>
  <c r="IL38" i="36"/>
  <c r="IL39" i="36"/>
  <c r="IL40" i="36"/>
  <c r="IL41" i="36"/>
  <c r="IL42" i="36"/>
  <c r="IL43" i="36"/>
  <c r="IL44" i="36"/>
  <c r="IL45" i="36"/>
  <c r="IL46" i="36"/>
  <c r="IL47" i="36"/>
  <c r="IM10" i="36"/>
  <c r="IM11" i="36"/>
  <c r="IM12" i="36"/>
  <c r="IM13" i="36"/>
  <c r="IM14" i="36"/>
  <c r="IM15" i="36"/>
  <c r="IM16" i="36"/>
  <c r="IM17" i="36"/>
  <c r="IM18" i="36"/>
  <c r="IM19" i="36"/>
  <c r="IM20" i="36"/>
  <c r="IM21" i="36"/>
  <c r="IM22" i="36"/>
  <c r="IM23" i="36"/>
  <c r="IM24" i="36"/>
  <c r="IM25" i="36"/>
  <c r="IM26" i="36"/>
  <c r="IM27" i="36"/>
  <c r="IM28" i="36"/>
  <c r="IM29" i="36"/>
  <c r="IM30" i="36"/>
  <c r="IM31" i="36"/>
  <c r="IM32" i="36"/>
  <c r="IM33" i="36"/>
  <c r="IM34" i="36"/>
  <c r="IM35" i="36"/>
  <c r="IM36" i="36"/>
  <c r="IM37" i="36"/>
  <c r="IM38" i="36"/>
  <c r="IM39" i="36"/>
  <c r="IM40" i="36"/>
  <c r="IM41" i="36"/>
  <c r="IM42" i="36"/>
  <c r="IM43" i="36"/>
  <c r="IM44" i="36"/>
  <c r="IM45" i="36"/>
  <c r="IM46" i="36"/>
  <c r="IM47" i="36"/>
  <c r="A127" i="15"/>
  <c r="A123" i="15"/>
  <c r="A110" i="15"/>
  <c r="A104" i="15"/>
  <c r="A103" i="15"/>
  <c r="A90" i="15"/>
  <c r="A76" i="15"/>
  <c r="A63" i="15"/>
  <c r="A15" i="15"/>
  <c r="A16" i="15"/>
  <c r="A14" i="15"/>
  <c r="U14" i="15"/>
  <c r="U127" i="15"/>
  <c r="U123" i="15"/>
  <c r="U110" i="15"/>
  <c r="U104" i="15"/>
  <c r="U103" i="15"/>
  <c r="U90" i="15"/>
  <c r="U76" i="15"/>
  <c r="U63" i="15"/>
  <c r="U15" i="15"/>
  <c r="U16" i="15"/>
  <c r="ID11" i="36"/>
  <c r="ID12" i="36"/>
  <c r="ID13" i="36"/>
  <c r="ID10" i="36"/>
  <c r="ID14" i="36"/>
  <c r="ID15" i="36"/>
  <c r="ID16" i="36"/>
  <c r="ID17" i="36"/>
  <c r="ID18" i="36"/>
  <c r="ID19" i="36"/>
  <c r="ID20" i="36"/>
  <c r="ID21" i="36"/>
  <c r="ID22" i="36"/>
  <c r="ID23" i="36"/>
  <c r="ID24" i="36"/>
  <c r="ID25" i="36"/>
  <c r="ID26" i="36"/>
  <c r="ID27" i="36"/>
  <c r="ID28" i="36"/>
  <c r="ID29" i="36"/>
  <c r="ID30" i="36"/>
  <c r="ID31" i="36"/>
  <c r="ID32" i="36"/>
  <c r="ID33" i="36"/>
  <c r="ID34" i="36"/>
  <c r="ID35" i="36"/>
  <c r="ID36" i="36"/>
  <c r="ID37" i="36"/>
  <c r="ID38" i="36"/>
  <c r="ID39" i="36"/>
  <c r="ID40" i="36"/>
  <c r="ID41" i="36"/>
  <c r="ID42" i="36"/>
  <c r="ID43" i="36"/>
  <c r="ID44" i="36"/>
  <c r="ID45" i="36"/>
  <c r="ID46" i="36"/>
  <c r="ID47" i="36"/>
  <c r="IE11" i="36"/>
  <c r="IE12" i="36"/>
  <c r="IE13" i="36"/>
  <c r="IE10" i="36"/>
  <c r="IE14" i="36"/>
  <c r="IE15" i="36"/>
  <c r="IE16" i="36"/>
  <c r="IE17" i="36"/>
  <c r="IE18" i="36"/>
  <c r="IE19" i="36"/>
  <c r="IE20" i="36"/>
  <c r="IE21" i="36"/>
  <c r="IE22" i="36"/>
  <c r="IE23" i="36"/>
  <c r="IE24" i="36"/>
  <c r="IE25" i="36"/>
  <c r="IE26" i="36"/>
  <c r="IE27" i="36"/>
  <c r="IE28" i="36"/>
  <c r="IE29" i="36"/>
  <c r="IE30" i="36"/>
  <c r="IE31" i="36"/>
  <c r="IE32" i="36"/>
  <c r="IE33" i="36"/>
  <c r="IE34" i="36"/>
  <c r="IE35" i="36"/>
  <c r="IE36" i="36"/>
  <c r="IE37" i="36"/>
  <c r="IE38" i="36"/>
  <c r="IE39" i="36"/>
  <c r="IE40" i="36"/>
  <c r="IE41" i="36"/>
  <c r="IE42" i="36"/>
  <c r="IE43" i="36"/>
  <c r="IE44" i="36"/>
  <c r="IE45" i="36"/>
  <c r="IE46" i="36"/>
  <c r="IE47" i="36"/>
  <c r="IF11" i="36"/>
  <c r="IF12" i="36"/>
  <c r="IF13" i="36"/>
  <c r="IF10" i="36"/>
  <c r="IF14" i="36"/>
  <c r="IF15" i="36"/>
  <c r="IF16" i="36"/>
  <c r="IF17" i="36"/>
  <c r="IF18" i="36"/>
  <c r="IF19" i="36"/>
  <c r="IF20" i="36"/>
  <c r="IF21" i="36"/>
  <c r="IF22" i="36"/>
  <c r="IF23" i="36"/>
  <c r="IF24" i="36"/>
  <c r="IF25" i="36"/>
  <c r="IF26" i="36"/>
  <c r="IF27" i="36"/>
  <c r="IF28" i="36"/>
  <c r="IF29" i="36"/>
  <c r="IF30" i="36"/>
  <c r="IF31" i="36"/>
  <c r="IF32" i="36"/>
  <c r="IF33" i="36"/>
  <c r="IF34" i="36"/>
  <c r="IF35" i="36"/>
  <c r="IF36" i="36"/>
  <c r="IF37" i="36"/>
  <c r="IF38" i="36"/>
  <c r="IF39" i="36"/>
  <c r="IF40" i="36"/>
  <c r="IF41" i="36"/>
  <c r="IF42" i="36"/>
  <c r="IF43" i="36"/>
  <c r="IF44" i="36"/>
  <c r="IF45" i="36"/>
  <c r="IF46" i="36"/>
  <c r="IF47" i="36"/>
  <c r="IG11" i="36"/>
  <c r="IG12" i="36"/>
  <c r="IG13" i="36"/>
  <c r="IG10" i="36"/>
  <c r="IG14" i="36"/>
  <c r="IG15" i="36"/>
  <c r="IG16" i="36"/>
  <c r="IG17" i="36"/>
  <c r="IG18" i="36"/>
  <c r="IG19" i="36"/>
  <c r="IG20" i="36"/>
  <c r="IG21" i="36"/>
  <c r="IG22" i="36"/>
  <c r="IG23" i="36"/>
  <c r="IG24" i="36"/>
  <c r="IG25" i="36"/>
  <c r="IG26" i="36"/>
  <c r="IG27" i="36"/>
  <c r="IG28" i="36"/>
  <c r="IG29" i="36"/>
  <c r="IG30" i="36"/>
  <c r="IG31" i="36"/>
  <c r="IG32" i="36"/>
  <c r="IG33" i="36"/>
  <c r="IG34" i="36"/>
  <c r="IG35" i="36"/>
  <c r="IG36" i="36"/>
  <c r="IG37" i="36"/>
  <c r="IG38" i="36"/>
  <c r="IG39" i="36"/>
  <c r="IG40" i="36"/>
  <c r="IG41" i="36"/>
  <c r="IG42" i="36"/>
  <c r="IG43" i="36"/>
  <c r="IG44" i="36"/>
  <c r="IG45" i="36"/>
  <c r="IG46" i="36"/>
  <c r="IG47" i="36"/>
  <c r="IH11" i="36"/>
  <c r="IH12" i="36"/>
  <c r="IH13" i="36"/>
  <c r="IH10" i="36"/>
  <c r="IH14" i="36"/>
  <c r="IH15" i="36"/>
  <c r="IH16" i="36"/>
  <c r="IH17" i="36"/>
  <c r="IH18" i="36"/>
  <c r="IH19" i="36"/>
  <c r="IH20" i="36"/>
  <c r="IH21" i="36"/>
  <c r="IH22" i="36"/>
  <c r="IH23" i="36"/>
  <c r="IH24" i="36"/>
  <c r="IH25" i="36"/>
  <c r="IH26" i="36"/>
  <c r="IH27" i="36"/>
  <c r="IH28" i="36"/>
  <c r="IH29" i="36"/>
  <c r="IH30" i="36"/>
  <c r="IH31" i="36"/>
  <c r="IH32" i="36"/>
  <c r="IH33" i="36"/>
  <c r="IH34" i="36"/>
  <c r="IH35" i="36"/>
  <c r="IH36" i="36"/>
  <c r="IH37" i="36"/>
  <c r="IH38" i="36"/>
  <c r="IH39" i="36"/>
  <c r="IH40" i="36"/>
  <c r="IH41" i="36"/>
  <c r="IH42" i="36"/>
  <c r="IH43" i="36"/>
  <c r="IH44" i="36"/>
  <c r="IH45" i="36"/>
  <c r="IH46" i="36"/>
  <c r="IH47" i="36"/>
  <c r="IX11" i="36"/>
  <c r="IX12" i="36"/>
  <c r="IX13" i="36"/>
  <c r="IX10" i="36"/>
  <c r="IX14" i="36"/>
  <c r="IX15" i="36"/>
  <c r="IX16" i="36"/>
  <c r="IX17" i="36"/>
  <c r="IX18" i="36"/>
  <c r="IX19" i="36"/>
  <c r="IX20" i="36"/>
  <c r="IX21" i="36"/>
  <c r="IX22" i="36"/>
  <c r="IX23" i="36"/>
  <c r="IX24" i="36"/>
  <c r="IX25" i="36"/>
  <c r="IX26" i="36"/>
  <c r="IX27" i="36"/>
  <c r="IX28" i="36"/>
  <c r="IX29" i="36"/>
  <c r="IX30" i="36"/>
  <c r="IX31" i="36"/>
  <c r="IX32" i="36"/>
  <c r="IX33" i="36"/>
  <c r="IX34" i="36"/>
  <c r="IX35" i="36"/>
  <c r="IX36" i="36"/>
  <c r="IX37" i="36"/>
  <c r="IX38" i="36"/>
  <c r="IX39" i="36"/>
  <c r="IX40" i="36"/>
  <c r="IX41" i="36"/>
  <c r="IX42" i="36"/>
  <c r="IX43" i="36"/>
  <c r="IX44" i="36"/>
  <c r="IX45" i="36"/>
  <c r="IX46" i="36"/>
  <c r="IX47" i="36"/>
  <c r="IY11" i="36"/>
  <c r="IY12" i="36"/>
  <c r="IY13" i="36"/>
  <c r="IY10" i="36"/>
  <c r="IY14" i="36"/>
  <c r="IY15" i="36"/>
  <c r="IY16" i="36"/>
  <c r="IY17" i="36"/>
  <c r="IY18" i="36"/>
  <c r="IY19" i="36"/>
  <c r="IY20" i="36"/>
  <c r="IY21" i="36"/>
  <c r="IY22" i="36"/>
  <c r="IY23" i="36"/>
  <c r="IY24" i="36"/>
  <c r="IY25" i="36"/>
  <c r="IY26" i="36"/>
  <c r="IY27" i="36"/>
  <c r="IY28" i="36"/>
  <c r="IY29" i="36"/>
  <c r="IY30" i="36"/>
  <c r="IY31" i="36"/>
  <c r="IY32" i="36"/>
  <c r="IY33" i="36"/>
  <c r="IY34" i="36"/>
  <c r="IY35" i="36"/>
  <c r="IY36" i="36"/>
  <c r="IY37" i="36"/>
  <c r="IY38" i="36"/>
  <c r="IY39" i="36"/>
  <c r="IY40" i="36"/>
  <c r="IY41" i="36"/>
  <c r="IY42" i="36"/>
  <c r="IY43" i="36"/>
  <c r="IY44" i="36"/>
  <c r="IY45" i="36"/>
  <c r="IY46" i="36"/>
  <c r="IY47" i="36"/>
  <c r="IZ11" i="36"/>
  <c r="IZ12" i="36"/>
  <c r="IZ13" i="36"/>
  <c r="IZ10" i="36"/>
  <c r="IZ14" i="36"/>
  <c r="IZ15" i="36"/>
  <c r="IZ16" i="36"/>
  <c r="IZ17" i="36"/>
  <c r="IZ18" i="36"/>
  <c r="IZ19" i="36"/>
  <c r="IZ20" i="36"/>
  <c r="IZ21" i="36"/>
  <c r="IZ22" i="36"/>
  <c r="IZ23" i="36"/>
  <c r="IZ24" i="36"/>
  <c r="IZ25" i="36"/>
  <c r="IZ26" i="36"/>
  <c r="IZ27" i="36"/>
  <c r="IZ28" i="36"/>
  <c r="IZ29" i="36"/>
  <c r="IZ30" i="36"/>
  <c r="IZ31" i="36"/>
  <c r="IZ32" i="36"/>
  <c r="IZ33" i="36"/>
  <c r="IZ34" i="36"/>
  <c r="IZ35" i="36"/>
  <c r="IZ36" i="36"/>
  <c r="IZ37" i="36"/>
  <c r="IZ38" i="36"/>
  <c r="IZ39" i="36"/>
  <c r="IZ40" i="36"/>
  <c r="IZ41" i="36"/>
  <c r="IZ42" i="36"/>
  <c r="IZ43" i="36"/>
  <c r="IZ44" i="36"/>
  <c r="IZ45" i="36"/>
  <c r="IZ46" i="36"/>
  <c r="IZ47" i="36"/>
  <c r="JA11" i="36"/>
  <c r="JA12" i="36"/>
  <c r="JA13" i="36"/>
  <c r="JA10" i="36"/>
  <c r="JA14" i="36"/>
  <c r="JA15" i="36"/>
  <c r="JA16" i="36"/>
  <c r="JA17" i="36"/>
  <c r="JA18" i="36"/>
  <c r="JA19" i="36"/>
  <c r="JA20" i="36"/>
  <c r="JA21" i="36"/>
  <c r="JA22" i="36"/>
  <c r="JA23" i="36"/>
  <c r="JA24" i="36"/>
  <c r="JA25" i="36"/>
  <c r="JA26" i="36"/>
  <c r="JA27" i="36"/>
  <c r="JA28" i="36"/>
  <c r="JA29" i="36"/>
  <c r="JA30" i="36"/>
  <c r="JA31" i="36"/>
  <c r="JA32" i="36"/>
  <c r="JA33" i="36"/>
  <c r="JA34" i="36"/>
  <c r="JA35" i="36"/>
  <c r="JA36" i="36"/>
  <c r="JA37" i="36"/>
  <c r="JA38" i="36"/>
  <c r="JA39" i="36"/>
  <c r="JA40" i="36"/>
  <c r="JA41" i="36"/>
  <c r="JA42" i="36"/>
  <c r="JA43" i="36"/>
  <c r="JA44" i="36"/>
  <c r="JA45" i="36"/>
  <c r="JA46" i="36"/>
  <c r="JA47" i="36"/>
  <c r="JB11" i="36"/>
  <c r="JB12" i="36"/>
  <c r="JB13" i="36"/>
  <c r="JB10" i="36"/>
  <c r="JB14" i="36"/>
  <c r="JB15" i="36"/>
  <c r="JB16" i="36"/>
  <c r="JB17" i="36"/>
  <c r="JB18" i="36"/>
  <c r="JB19" i="36"/>
  <c r="JB20" i="36"/>
  <c r="JB21" i="36"/>
  <c r="JB22" i="36"/>
  <c r="JB23" i="36"/>
  <c r="JB24" i="36"/>
  <c r="JB25" i="36"/>
  <c r="JB26" i="36"/>
  <c r="JB27" i="36"/>
  <c r="JB28" i="36"/>
  <c r="JB29" i="36"/>
  <c r="JB30" i="36"/>
  <c r="JB31" i="36"/>
  <c r="JB32" i="36"/>
  <c r="JB33" i="36"/>
  <c r="JB34" i="36"/>
  <c r="JB35" i="36"/>
  <c r="JB36" i="36"/>
  <c r="JB37" i="36"/>
  <c r="JB38" i="36"/>
  <c r="JB39" i="36"/>
  <c r="JB40" i="36"/>
  <c r="JB41" i="36"/>
  <c r="JB42" i="36"/>
  <c r="JB43" i="36"/>
  <c r="JB44" i="36"/>
  <c r="JB45" i="36"/>
  <c r="JB46" i="36"/>
  <c r="JB47" i="36"/>
  <c r="IS11" i="36"/>
  <c r="IS12" i="36"/>
  <c r="IS13" i="36"/>
  <c r="IS10" i="36"/>
  <c r="IS14" i="36"/>
  <c r="IS15" i="36"/>
  <c r="IS16" i="36"/>
  <c r="IS17" i="36"/>
  <c r="IS18" i="36"/>
  <c r="IS19" i="36"/>
  <c r="IS20" i="36"/>
  <c r="IS21" i="36"/>
  <c r="IS22" i="36"/>
  <c r="IS23" i="36"/>
  <c r="IS24" i="36"/>
  <c r="IS25" i="36"/>
  <c r="IS26" i="36"/>
  <c r="IS27" i="36"/>
  <c r="IS28" i="36"/>
  <c r="IS29" i="36"/>
  <c r="IS30" i="36"/>
  <c r="IS31" i="36"/>
  <c r="IS32" i="36"/>
  <c r="IS33" i="36"/>
  <c r="IS34" i="36"/>
  <c r="IS35" i="36"/>
  <c r="IS36" i="36"/>
  <c r="IS37" i="36"/>
  <c r="IS38" i="36"/>
  <c r="IS39" i="36"/>
  <c r="IS40" i="36"/>
  <c r="IS41" i="36"/>
  <c r="IS42" i="36"/>
  <c r="IS43" i="36"/>
  <c r="IS44" i="36"/>
  <c r="IS45" i="36"/>
  <c r="IS46" i="36"/>
  <c r="IS47" i="36"/>
  <c r="IT11" i="36"/>
  <c r="IT12" i="36"/>
  <c r="IT13" i="36"/>
  <c r="IT10" i="36"/>
  <c r="IT14" i="36"/>
  <c r="IT15" i="36"/>
  <c r="IT16" i="36"/>
  <c r="IT17" i="36"/>
  <c r="IT18" i="36"/>
  <c r="IT19" i="36"/>
  <c r="IT20" i="36"/>
  <c r="IT21" i="36"/>
  <c r="IT22" i="36"/>
  <c r="IT23" i="36"/>
  <c r="IT24" i="36"/>
  <c r="IT25" i="36"/>
  <c r="IT26" i="36"/>
  <c r="IT27" i="36"/>
  <c r="IT28" i="36"/>
  <c r="IT29" i="36"/>
  <c r="IT30" i="36"/>
  <c r="IT31" i="36"/>
  <c r="IT32" i="36"/>
  <c r="IT33" i="36"/>
  <c r="IT34" i="36"/>
  <c r="IT35" i="36"/>
  <c r="IT36" i="36"/>
  <c r="IT37" i="36"/>
  <c r="IT38" i="36"/>
  <c r="IT39" i="36"/>
  <c r="IT40" i="36"/>
  <c r="IT41" i="36"/>
  <c r="IT42" i="36"/>
  <c r="IT43" i="36"/>
  <c r="IT44" i="36"/>
  <c r="IT45" i="36"/>
  <c r="IT46" i="36"/>
  <c r="IT47" i="36"/>
  <c r="IU11" i="36"/>
  <c r="IU12" i="36"/>
  <c r="IU13" i="36"/>
  <c r="IU10" i="36"/>
  <c r="IU14" i="36"/>
  <c r="IU15" i="36"/>
  <c r="IU16" i="36"/>
  <c r="IU17" i="36"/>
  <c r="IU18" i="36"/>
  <c r="IU19" i="36"/>
  <c r="IU20" i="36"/>
  <c r="IU21" i="36"/>
  <c r="IU22" i="36"/>
  <c r="IU23" i="36"/>
  <c r="IU24" i="36"/>
  <c r="IU25" i="36"/>
  <c r="IU26" i="36"/>
  <c r="IU27" i="36"/>
  <c r="IU28" i="36"/>
  <c r="IU29" i="36"/>
  <c r="IU30" i="36"/>
  <c r="IU31" i="36"/>
  <c r="IU32" i="36"/>
  <c r="IU33" i="36"/>
  <c r="IU34" i="36"/>
  <c r="IU35" i="36"/>
  <c r="IU36" i="36"/>
  <c r="IU37" i="36"/>
  <c r="IU38" i="36"/>
  <c r="IU39" i="36"/>
  <c r="IU40" i="36"/>
  <c r="IU41" i="36"/>
  <c r="IU42" i="36"/>
  <c r="IU43" i="36"/>
  <c r="IU44" i="36"/>
  <c r="IU45" i="36"/>
  <c r="IU46" i="36"/>
  <c r="IU47" i="36"/>
  <c r="IV11" i="36"/>
  <c r="IV12" i="36"/>
  <c r="IV13" i="36"/>
  <c r="IV10" i="36"/>
  <c r="IV14" i="36"/>
  <c r="IV15" i="36"/>
  <c r="IV16" i="36"/>
  <c r="IV17" i="36"/>
  <c r="IV18" i="36"/>
  <c r="IV19" i="36"/>
  <c r="IV20" i="36"/>
  <c r="IV21" i="36"/>
  <c r="IV22" i="36"/>
  <c r="IV23" i="36"/>
  <c r="IV24" i="36"/>
  <c r="IV25" i="36"/>
  <c r="IV26" i="36"/>
  <c r="IV27" i="36"/>
  <c r="IV28" i="36"/>
  <c r="IV29" i="36"/>
  <c r="IV30" i="36"/>
  <c r="IV31" i="36"/>
  <c r="IV32" i="36"/>
  <c r="IV33" i="36"/>
  <c r="IV34" i="36"/>
  <c r="IV35" i="36"/>
  <c r="IV36" i="36"/>
  <c r="IV37" i="36"/>
  <c r="IV38" i="36"/>
  <c r="IV39" i="36"/>
  <c r="IV40" i="36"/>
  <c r="IV41" i="36"/>
  <c r="IV42" i="36"/>
  <c r="IV43" i="36"/>
  <c r="IV44" i="36"/>
  <c r="IV45" i="36"/>
  <c r="IV46" i="36"/>
  <c r="IV47" i="36"/>
  <c r="IW11" i="36"/>
  <c r="IW12" i="36"/>
  <c r="IW13" i="36"/>
  <c r="IW10" i="36"/>
  <c r="IW14" i="36"/>
  <c r="IW15" i="36"/>
  <c r="IW16" i="36"/>
  <c r="IW17" i="36"/>
  <c r="IW18" i="36"/>
  <c r="IW19" i="36"/>
  <c r="IW20" i="36"/>
  <c r="IW21" i="36"/>
  <c r="IW22" i="36"/>
  <c r="IW23" i="36"/>
  <c r="IW24" i="36"/>
  <c r="IW25" i="36"/>
  <c r="IW26" i="36"/>
  <c r="IW27" i="36"/>
  <c r="IW28" i="36"/>
  <c r="IW29" i="36"/>
  <c r="IW30" i="36"/>
  <c r="IW31" i="36"/>
  <c r="IW32" i="36"/>
  <c r="IW33" i="36"/>
  <c r="IW34" i="36"/>
  <c r="IW35" i="36"/>
  <c r="IW36" i="36"/>
  <c r="IW37" i="36"/>
  <c r="IW38" i="36"/>
  <c r="IW39" i="36"/>
  <c r="IW40" i="36"/>
  <c r="IW41" i="36"/>
  <c r="IW42" i="36"/>
  <c r="IW43" i="36"/>
  <c r="IW44" i="36"/>
  <c r="IW45" i="36"/>
  <c r="IW46" i="36"/>
  <c r="IW47" i="36"/>
  <c r="IN11" i="36"/>
  <c r="IN12" i="36"/>
  <c r="IN13" i="36"/>
  <c r="IN10" i="36"/>
  <c r="IN14" i="36"/>
  <c r="IN15" i="36"/>
  <c r="IN16" i="36"/>
  <c r="IN17" i="36"/>
  <c r="IN18" i="36"/>
  <c r="IN19" i="36"/>
  <c r="IN20" i="36"/>
  <c r="IN21" i="36"/>
  <c r="IN22" i="36"/>
  <c r="IN23" i="36"/>
  <c r="IN24" i="36"/>
  <c r="IN25" i="36"/>
  <c r="IN26" i="36"/>
  <c r="IN27" i="36"/>
  <c r="IN28" i="36"/>
  <c r="IN29" i="36"/>
  <c r="IN30" i="36"/>
  <c r="IN31" i="36"/>
  <c r="IN32" i="36"/>
  <c r="IN33" i="36"/>
  <c r="IN34" i="36"/>
  <c r="IN35" i="36"/>
  <c r="IN36" i="36"/>
  <c r="IN37" i="36"/>
  <c r="IN38" i="36"/>
  <c r="IN39" i="36"/>
  <c r="IN40" i="36"/>
  <c r="IN41" i="36"/>
  <c r="IN42" i="36"/>
  <c r="IN43" i="36"/>
  <c r="IN44" i="36"/>
  <c r="IN45" i="36"/>
  <c r="IN46" i="36"/>
  <c r="IN47" i="36"/>
  <c r="IO11" i="36"/>
  <c r="IO12" i="36"/>
  <c r="IO13" i="36"/>
  <c r="IO10" i="36"/>
  <c r="IO14" i="36"/>
  <c r="IO15" i="36"/>
  <c r="IO16" i="36"/>
  <c r="IO17" i="36"/>
  <c r="IO18" i="36"/>
  <c r="IO19" i="36"/>
  <c r="IO20" i="36"/>
  <c r="IO21" i="36"/>
  <c r="IO22" i="36"/>
  <c r="IO23" i="36"/>
  <c r="IO24" i="36"/>
  <c r="IO25" i="36"/>
  <c r="IO26" i="36"/>
  <c r="IO27" i="36"/>
  <c r="IO28" i="36"/>
  <c r="IO29" i="36"/>
  <c r="IO30" i="36"/>
  <c r="IO31" i="36"/>
  <c r="IO32" i="36"/>
  <c r="IO33" i="36"/>
  <c r="IO34" i="36"/>
  <c r="IO35" i="36"/>
  <c r="IO36" i="36"/>
  <c r="IO37" i="36"/>
  <c r="IO38" i="36"/>
  <c r="IO39" i="36"/>
  <c r="IO40" i="36"/>
  <c r="IO41" i="36"/>
  <c r="IO42" i="36"/>
  <c r="IO43" i="36"/>
  <c r="IO44" i="36"/>
  <c r="IO45" i="36"/>
  <c r="IO46" i="36"/>
  <c r="IO47" i="36"/>
  <c r="IP11" i="36"/>
  <c r="IP12" i="36"/>
  <c r="IP13" i="36"/>
  <c r="IP10" i="36"/>
  <c r="IP14" i="36"/>
  <c r="IP15" i="36"/>
  <c r="IP16" i="36"/>
  <c r="IP17" i="36"/>
  <c r="IP18" i="36"/>
  <c r="IP19" i="36"/>
  <c r="IP20" i="36"/>
  <c r="IP21" i="36"/>
  <c r="IP22" i="36"/>
  <c r="IP23" i="36"/>
  <c r="IP24" i="36"/>
  <c r="IP25" i="36"/>
  <c r="IP26" i="36"/>
  <c r="IP27" i="36"/>
  <c r="IP28" i="36"/>
  <c r="IP29" i="36"/>
  <c r="IP30" i="36"/>
  <c r="IP31" i="36"/>
  <c r="IP32" i="36"/>
  <c r="IP33" i="36"/>
  <c r="IP34" i="36"/>
  <c r="IP35" i="36"/>
  <c r="IP36" i="36"/>
  <c r="IP37" i="36"/>
  <c r="IP38" i="36"/>
  <c r="IP39" i="36"/>
  <c r="IP40" i="36"/>
  <c r="IP41" i="36"/>
  <c r="IP42" i="36"/>
  <c r="IP43" i="36"/>
  <c r="IP44" i="36"/>
  <c r="IP45" i="36"/>
  <c r="IP46" i="36"/>
  <c r="IP47" i="36"/>
  <c r="IQ11" i="36"/>
  <c r="IQ12" i="36"/>
  <c r="IQ13" i="36"/>
  <c r="IQ10" i="36"/>
  <c r="IQ14" i="36"/>
  <c r="IQ15" i="36"/>
  <c r="IQ16" i="36"/>
  <c r="IQ17" i="36"/>
  <c r="IQ18" i="36"/>
  <c r="IQ19" i="36"/>
  <c r="IQ20" i="36"/>
  <c r="IQ21" i="36"/>
  <c r="IQ22" i="36"/>
  <c r="IQ23" i="36"/>
  <c r="IQ24" i="36"/>
  <c r="IQ25" i="36"/>
  <c r="IQ26" i="36"/>
  <c r="IQ27" i="36"/>
  <c r="IQ28" i="36"/>
  <c r="IQ29" i="36"/>
  <c r="IQ30" i="36"/>
  <c r="IQ31" i="36"/>
  <c r="IQ32" i="36"/>
  <c r="IQ33" i="36"/>
  <c r="IQ34" i="36"/>
  <c r="IQ35" i="36"/>
  <c r="IQ36" i="36"/>
  <c r="IQ37" i="36"/>
  <c r="IQ38" i="36"/>
  <c r="IQ39" i="36"/>
  <c r="IQ40" i="36"/>
  <c r="IQ41" i="36"/>
  <c r="IQ42" i="36"/>
  <c r="IQ43" i="36"/>
  <c r="IQ44" i="36"/>
  <c r="IQ45" i="36"/>
  <c r="IQ46" i="36"/>
  <c r="IQ47" i="36"/>
  <c r="IR11" i="36"/>
  <c r="IR12" i="36"/>
  <c r="IR13" i="36"/>
  <c r="IR10" i="36"/>
  <c r="IR14" i="36"/>
  <c r="IR15" i="36"/>
  <c r="IR16" i="36"/>
  <c r="IR17" i="36"/>
  <c r="IR18" i="36"/>
  <c r="IR19" i="36"/>
  <c r="IR20" i="36"/>
  <c r="IR21" i="36"/>
  <c r="IR22" i="36"/>
  <c r="IR23" i="36"/>
  <c r="IR24" i="36"/>
  <c r="IR25" i="36"/>
  <c r="IR26" i="36"/>
  <c r="IR27" i="36"/>
  <c r="IR28" i="36"/>
  <c r="IR29" i="36"/>
  <c r="IR30" i="36"/>
  <c r="IR31" i="36"/>
  <c r="IR32" i="36"/>
  <c r="IR33" i="36"/>
  <c r="IR34" i="36"/>
  <c r="IR35" i="36"/>
  <c r="IR36" i="36"/>
  <c r="IR37" i="36"/>
  <c r="IR38" i="36"/>
  <c r="IR39" i="36"/>
  <c r="IR40" i="36"/>
  <c r="IR41" i="36"/>
  <c r="IR42" i="36"/>
  <c r="IR43" i="36"/>
  <c r="IR44" i="36"/>
  <c r="IR45" i="36"/>
  <c r="IR46" i="36"/>
  <c r="IR47" i="36"/>
  <c r="E48" i="36"/>
  <c r="L234" i="11"/>
  <c r="CT11" i="36"/>
  <c r="CU11" i="36"/>
  <c r="CV11" i="36"/>
  <c r="CW11" i="36"/>
  <c r="CX11" i="36"/>
  <c r="CT12" i="36"/>
  <c r="CU12" i="36"/>
  <c r="CV12" i="36"/>
  <c r="CW12" i="36"/>
  <c r="CX12" i="36"/>
  <c r="CT13" i="36"/>
  <c r="CU13" i="36"/>
  <c r="CV13" i="36"/>
  <c r="CW13" i="36"/>
  <c r="CX13" i="36"/>
  <c r="CT14" i="36"/>
  <c r="CU14" i="36"/>
  <c r="CV14" i="36"/>
  <c r="CW14" i="36"/>
  <c r="CX14" i="36"/>
  <c r="CT15" i="36"/>
  <c r="CU15" i="36"/>
  <c r="CV15" i="36"/>
  <c r="CW15" i="36"/>
  <c r="CX15" i="36"/>
  <c r="CT16" i="36"/>
  <c r="CU16" i="36"/>
  <c r="CV16" i="36"/>
  <c r="CW16" i="36"/>
  <c r="CX16" i="36"/>
  <c r="CT17" i="36"/>
  <c r="CU17" i="36"/>
  <c r="CV17" i="36"/>
  <c r="CW17" i="36"/>
  <c r="CX17" i="36"/>
  <c r="CT18" i="36"/>
  <c r="CU18" i="36"/>
  <c r="CV18" i="36"/>
  <c r="CW18" i="36"/>
  <c r="CX18" i="36"/>
  <c r="CT19" i="36"/>
  <c r="CU19" i="36"/>
  <c r="CV19" i="36"/>
  <c r="CW19" i="36"/>
  <c r="CX19" i="36"/>
  <c r="CT20" i="36"/>
  <c r="CU20" i="36"/>
  <c r="CV20" i="36"/>
  <c r="CW20" i="36"/>
  <c r="CX20" i="36"/>
  <c r="CT21" i="36"/>
  <c r="CU21" i="36"/>
  <c r="CV21" i="36"/>
  <c r="CW21" i="36"/>
  <c r="CX21" i="36"/>
  <c r="CT22" i="36"/>
  <c r="CU22" i="36"/>
  <c r="CV22" i="36"/>
  <c r="CW22" i="36"/>
  <c r="CX22" i="36"/>
  <c r="CT23" i="36"/>
  <c r="CU23" i="36"/>
  <c r="CV23" i="36"/>
  <c r="CW23" i="36"/>
  <c r="CX23" i="36"/>
  <c r="CT24" i="36"/>
  <c r="CU24" i="36"/>
  <c r="CV24" i="36"/>
  <c r="CW24" i="36"/>
  <c r="CX24" i="36"/>
  <c r="CT25" i="36"/>
  <c r="CU25" i="36"/>
  <c r="CV25" i="36"/>
  <c r="CW25" i="36"/>
  <c r="CX25" i="36"/>
  <c r="CT26" i="36"/>
  <c r="CU26" i="36"/>
  <c r="CV26" i="36"/>
  <c r="CW26" i="36"/>
  <c r="CX26" i="36"/>
  <c r="CT27" i="36"/>
  <c r="CU27" i="36"/>
  <c r="CV27" i="36"/>
  <c r="CW27" i="36"/>
  <c r="CX27" i="36"/>
  <c r="CT28" i="36"/>
  <c r="CU28" i="36"/>
  <c r="CV28" i="36"/>
  <c r="CW28" i="36"/>
  <c r="CX28" i="36"/>
  <c r="CT29" i="36"/>
  <c r="CU29" i="36"/>
  <c r="CV29" i="36"/>
  <c r="CW29" i="36"/>
  <c r="CX29" i="36"/>
  <c r="CT30" i="36"/>
  <c r="CU30" i="36"/>
  <c r="CV30" i="36"/>
  <c r="CW30" i="36"/>
  <c r="CX30" i="36"/>
  <c r="CT31" i="36"/>
  <c r="CU31" i="36"/>
  <c r="CV31" i="36"/>
  <c r="CW31" i="36"/>
  <c r="CX31" i="36"/>
  <c r="CT32" i="36"/>
  <c r="CU32" i="36"/>
  <c r="CV32" i="36"/>
  <c r="CW32" i="36"/>
  <c r="CX32" i="36"/>
  <c r="CT33" i="36"/>
  <c r="CU33" i="36"/>
  <c r="CV33" i="36"/>
  <c r="CW33" i="36"/>
  <c r="CX33" i="36"/>
  <c r="CT34" i="36"/>
  <c r="CU34" i="36"/>
  <c r="CV34" i="36"/>
  <c r="CW34" i="36"/>
  <c r="CX34" i="36"/>
  <c r="CT35" i="36"/>
  <c r="CU35" i="36"/>
  <c r="CV35" i="36"/>
  <c r="CW35" i="36"/>
  <c r="CX35" i="36"/>
  <c r="CT36" i="36"/>
  <c r="CU36" i="36"/>
  <c r="CV36" i="36"/>
  <c r="CW36" i="36"/>
  <c r="CX36" i="36"/>
  <c r="CT37" i="36"/>
  <c r="CU37" i="36"/>
  <c r="CV37" i="36"/>
  <c r="CW37" i="36"/>
  <c r="CX37" i="36"/>
  <c r="CT38" i="36"/>
  <c r="CU38" i="36"/>
  <c r="CV38" i="36"/>
  <c r="CW38" i="36"/>
  <c r="CX38" i="36"/>
  <c r="CT39" i="36"/>
  <c r="CU39" i="36"/>
  <c r="CV39" i="36"/>
  <c r="CW39" i="36"/>
  <c r="CX39" i="36"/>
  <c r="CT40" i="36"/>
  <c r="CU40" i="36"/>
  <c r="CV40" i="36"/>
  <c r="CW40" i="36"/>
  <c r="CX40" i="36"/>
  <c r="CT41" i="36"/>
  <c r="CU41" i="36"/>
  <c r="CV41" i="36"/>
  <c r="CW41" i="36"/>
  <c r="CX41" i="36"/>
  <c r="CT42" i="36"/>
  <c r="CU42" i="36"/>
  <c r="CV42" i="36"/>
  <c r="CW42" i="36"/>
  <c r="CX42" i="36"/>
  <c r="CT43" i="36"/>
  <c r="CU43" i="36"/>
  <c r="CV43" i="36"/>
  <c r="CW43" i="36"/>
  <c r="CX43" i="36"/>
  <c r="CT44" i="36"/>
  <c r="CU44" i="36"/>
  <c r="CV44" i="36"/>
  <c r="CW44" i="36"/>
  <c r="CX44" i="36"/>
  <c r="CT45" i="36"/>
  <c r="CU45" i="36"/>
  <c r="CV45" i="36"/>
  <c r="CW45" i="36"/>
  <c r="CX45" i="36"/>
  <c r="CT46" i="36"/>
  <c r="CU46" i="36"/>
  <c r="CV46" i="36"/>
  <c r="CW46" i="36"/>
  <c r="CX46" i="36"/>
  <c r="CT47" i="36"/>
  <c r="CU47" i="36"/>
  <c r="CV47" i="36"/>
  <c r="CW47" i="36"/>
  <c r="CX47" i="36"/>
  <c r="CX10" i="36"/>
  <c r="CW10" i="36"/>
  <c r="CV10" i="36"/>
  <c r="CU10" i="36"/>
  <c r="CT10" i="36"/>
  <c r="AG10" i="36"/>
  <c r="AG11" i="36"/>
  <c r="AG12" i="36"/>
  <c r="AG13" i="36"/>
  <c r="AG14" i="36"/>
  <c r="AG15" i="36"/>
  <c r="AG16" i="36"/>
  <c r="AG17" i="36"/>
  <c r="AG18" i="36"/>
  <c r="AG19" i="36"/>
  <c r="AG20" i="36"/>
  <c r="AG21" i="36"/>
  <c r="AG22" i="36"/>
  <c r="AG23" i="36"/>
  <c r="AG24" i="36"/>
  <c r="AG25" i="36"/>
  <c r="AG26" i="36"/>
  <c r="AG27" i="36"/>
  <c r="AG28" i="36"/>
  <c r="AG29" i="36"/>
  <c r="AG30" i="36"/>
  <c r="AG31" i="36"/>
  <c r="AG32" i="36"/>
  <c r="AG33" i="36"/>
  <c r="AG34" i="36"/>
  <c r="AG35" i="36"/>
  <c r="AG36" i="36"/>
  <c r="AG37" i="36"/>
  <c r="AG38" i="36"/>
  <c r="AG39" i="36"/>
  <c r="AG40" i="36"/>
  <c r="AG41" i="36"/>
  <c r="AG42" i="36"/>
  <c r="AG43" i="36"/>
  <c r="AG44" i="36"/>
  <c r="AG45" i="36"/>
  <c r="AG46" i="36"/>
  <c r="AG47" i="36"/>
  <c r="AH10" i="36"/>
  <c r="AH11" i="36"/>
  <c r="AH12" i="36"/>
  <c r="AH13" i="36"/>
  <c r="AH14" i="36"/>
  <c r="AH15" i="36"/>
  <c r="AH16" i="36"/>
  <c r="AH17" i="36"/>
  <c r="AH18" i="36"/>
  <c r="AH19" i="36"/>
  <c r="AH20" i="36"/>
  <c r="AH21" i="36"/>
  <c r="AH22" i="36"/>
  <c r="AH23" i="36"/>
  <c r="AH24" i="36"/>
  <c r="AH25" i="36"/>
  <c r="AH26" i="36"/>
  <c r="AH27" i="36"/>
  <c r="AH28" i="36"/>
  <c r="AH29" i="36"/>
  <c r="AH30" i="36"/>
  <c r="AH31" i="36"/>
  <c r="AH32" i="36"/>
  <c r="AH33" i="36"/>
  <c r="AH34" i="36"/>
  <c r="AH35" i="36"/>
  <c r="AH36" i="36"/>
  <c r="AH37" i="36"/>
  <c r="AH38" i="36"/>
  <c r="AH39" i="36"/>
  <c r="AH40" i="36"/>
  <c r="AH41" i="36"/>
  <c r="AH42" i="36"/>
  <c r="AH43" i="36"/>
  <c r="AH44" i="36"/>
  <c r="AH45" i="36"/>
  <c r="AH46" i="36"/>
  <c r="AH47" i="36"/>
  <c r="AI10" i="36"/>
  <c r="AI11" i="36"/>
  <c r="AI12" i="36"/>
  <c r="AI13" i="36"/>
  <c r="AI14" i="36"/>
  <c r="AI15" i="36"/>
  <c r="AI16" i="36"/>
  <c r="AI17" i="36"/>
  <c r="AI18" i="36"/>
  <c r="AI19" i="36"/>
  <c r="AI20" i="36"/>
  <c r="AI21" i="36"/>
  <c r="AI22" i="36"/>
  <c r="AI23" i="36"/>
  <c r="AI24" i="36"/>
  <c r="AI25" i="36"/>
  <c r="AI26" i="36"/>
  <c r="AI27" i="36"/>
  <c r="AI28" i="36"/>
  <c r="AI29" i="36"/>
  <c r="AI30" i="36"/>
  <c r="AI31" i="36"/>
  <c r="AI32" i="36"/>
  <c r="AI33" i="36"/>
  <c r="AI34" i="36"/>
  <c r="AI35" i="36"/>
  <c r="AI36" i="36"/>
  <c r="AI37" i="36"/>
  <c r="AI38" i="36"/>
  <c r="AI39" i="36"/>
  <c r="AI40" i="36"/>
  <c r="AI41" i="36"/>
  <c r="AI42" i="36"/>
  <c r="AI43" i="36"/>
  <c r="AI44" i="36"/>
  <c r="AI45" i="36"/>
  <c r="AI46" i="36"/>
  <c r="AI47" i="36"/>
  <c r="AJ10" i="36"/>
  <c r="AJ11" i="36"/>
  <c r="AJ12" i="36"/>
  <c r="AJ13" i="36"/>
  <c r="AJ14" i="36"/>
  <c r="AJ15" i="36"/>
  <c r="AJ16" i="36"/>
  <c r="AJ17" i="36"/>
  <c r="AJ18" i="36"/>
  <c r="AJ19" i="36"/>
  <c r="AJ20" i="36"/>
  <c r="AJ21" i="36"/>
  <c r="AJ22" i="36"/>
  <c r="AJ23" i="36"/>
  <c r="AJ24" i="36"/>
  <c r="AJ25" i="36"/>
  <c r="AJ26" i="36"/>
  <c r="AJ27" i="36"/>
  <c r="AJ28" i="36"/>
  <c r="AJ29" i="36"/>
  <c r="AJ30" i="36"/>
  <c r="AJ31" i="36"/>
  <c r="AJ32" i="36"/>
  <c r="AJ33" i="36"/>
  <c r="AJ34" i="36"/>
  <c r="AJ35" i="36"/>
  <c r="AJ36" i="36"/>
  <c r="AJ37" i="36"/>
  <c r="AJ38" i="36"/>
  <c r="AJ39" i="36"/>
  <c r="AJ40" i="36"/>
  <c r="AJ41" i="36"/>
  <c r="AJ42" i="36"/>
  <c r="AJ43" i="36"/>
  <c r="AJ44" i="36"/>
  <c r="AJ45" i="36"/>
  <c r="AJ46" i="36"/>
  <c r="AJ47" i="36"/>
  <c r="AK10" i="36"/>
  <c r="AK11" i="36"/>
  <c r="AK12" i="36"/>
  <c r="AK13" i="36"/>
  <c r="AK14" i="36"/>
  <c r="AK15" i="36"/>
  <c r="AK16" i="36"/>
  <c r="AK17" i="36"/>
  <c r="AK18" i="36"/>
  <c r="AK19" i="36"/>
  <c r="AK20" i="36"/>
  <c r="AK21" i="36"/>
  <c r="AK22" i="36"/>
  <c r="AK23" i="36"/>
  <c r="AK24" i="36"/>
  <c r="AK25" i="36"/>
  <c r="AK26" i="36"/>
  <c r="AK27" i="36"/>
  <c r="AK28" i="36"/>
  <c r="AK29" i="36"/>
  <c r="AK30" i="36"/>
  <c r="AK31" i="36"/>
  <c r="AK32" i="36"/>
  <c r="AK33" i="36"/>
  <c r="AK34" i="36"/>
  <c r="AK35" i="36"/>
  <c r="AK36" i="36"/>
  <c r="AK37" i="36"/>
  <c r="AK38" i="36"/>
  <c r="AK39" i="36"/>
  <c r="AK40" i="36"/>
  <c r="AK41" i="36"/>
  <c r="AK42" i="36"/>
  <c r="AK43" i="36"/>
  <c r="AK44" i="36"/>
  <c r="AK45" i="36"/>
  <c r="AK46" i="36"/>
  <c r="AK47" i="36"/>
  <c r="CJ10" i="36"/>
  <c r="CJ11" i="36"/>
  <c r="CJ12" i="36"/>
  <c r="CJ13" i="36"/>
  <c r="CJ14" i="36"/>
  <c r="CJ15" i="36"/>
  <c r="CJ16" i="36"/>
  <c r="CJ17" i="36"/>
  <c r="CJ18" i="36"/>
  <c r="CJ19" i="36"/>
  <c r="CJ20" i="36"/>
  <c r="CJ21" i="36"/>
  <c r="CJ22" i="36"/>
  <c r="CJ23" i="36"/>
  <c r="CJ24" i="36"/>
  <c r="CJ25" i="36"/>
  <c r="CJ26" i="36"/>
  <c r="CJ27" i="36"/>
  <c r="CJ28" i="36"/>
  <c r="CJ29" i="36"/>
  <c r="CJ30" i="36"/>
  <c r="CJ31" i="36"/>
  <c r="CJ32" i="36"/>
  <c r="CJ33" i="36"/>
  <c r="CJ34" i="36"/>
  <c r="CJ35" i="36"/>
  <c r="CJ36" i="36"/>
  <c r="CJ37" i="36"/>
  <c r="CJ38" i="36"/>
  <c r="CJ39" i="36"/>
  <c r="CJ40" i="36"/>
  <c r="CJ41" i="36"/>
  <c r="CJ42" i="36"/>
  <c r="CJ43" i="36"/>
  <c r="CJ44" i="36"/>
  <c r="CJ45" i="36"/>
  <c r="CJ46" i="36"/>
  <c r="CJ47" i="36"/>
  <c r="CK10" i="36"/>
  <c r="CK11" i="36"/>
  <c r="CK12" i="36"/>
  <c r="CK13" i="36"/>
  <c r="CK14" i="36"/>
  <c r="CK15" i="36"/>
  <c r="CK16" i="36"/>
  <c r="CK17" i="36"/>
  <c r="CK18" i="36"/>
  <c r="CK19" i="36"/>
  <c r="CK20" i="36"/>
  <c r="CK21" i="36"/>
  <c r="CK22" i="36"/>
  <c r="CK23" i="36"/>
  <c r="CK24" i="36"/>
  <c r="CK25" i="36"/>
  <c r="CK26" i="36"/>
  <c r="CK27" i="36"/>
  <c r="CK28" i="36"/>
  <c r="CK29" i="36"/>
  <c r="CK30" i="36"/>
  <c r="CK31" i="36"/>
  <c r="CK32" i="36"/>
  <c r="CK33" i="36"/>
  <c r="CK34" i="36"/>
  <c r="CK35" i="36"/>
  <c r="CK36" i="36"/>
  <c r="CK37" i="36"/>
  <c r="CK38" i="36"/>
  <c r="CK39" i="36"/>
  <c r="CK40" i="36"/>
  <c r="CK41" i="36"/>
  <c r="CK42" i="36"/>
  <c r="CK43" i="36"/>
  <c r="CK44" i="36"/>
  <c r="CK45" i="36"/>
  <c r="CK46" i="36"/>
  <c r="CK47" i="36"/>
  <c r="CL10" i="36"/>
  <c r="CL11" i="36"/>
  <c r="CL12" i="36"/>
  <c r="CL13" i="36"/>
  <c r="CL14" i="36"/>
  <c r="CL15" i="36"/>
  <c r="CL16" i="36"/>
  <c r="CL17" i="36"/>
  <c r="CL18" i="36"/>
  <c r="CL19" i="36"/>
  <c r="CL20" i="36"/>
  <c r="CL21" i="36"/>
  <c r="CL22" i="36"/>
  <c r="CL23" i="36"/>
  <c r="CL24" i="36"/>
  <c r="CL25" i="36"/>
  <c r="CL26" i="36"/>
  <c r="CL27" i="36"/>
  <c r="CL28" i="36"/>
  <c r="CL29" i="36"/>
  <c r="CL30" i="36"/>
  <c r="CL31" i="36"/>
  <c r="CL32" i="36"/>
  <c r="CL33" i="36"/>
  <c r="CL34" i="36"/>
  <c r="CL35" i="36"/>
  <c r="CL36" i="36"/>
  <c r="CL37" i="36"/>
  <c r="CL38" i="36"/>
  <c r="CL39" i="36"/>
  <c r="CL40" i="36"/>
  <c r="CL41" i="36"/>
  <c r="CL42" i="36"/>
  <c r="CL43" i="36"/>
  <c r="CL44" i="36"/>
  <c r="CL45" i="36"/>
  <c r="CL46" i="36"/>
  <c r="CL47" i="36"/>
  <c r="CM10" i="36"/>
  <c r="CM11" i="36"/>
  <c r="CM12" i="36"/>
  <c r="CM13" i="36"/>
  <c r="CM14" i="36"/>
  <c r="CM15" i="36"/>
  <c r="CM16" i="36"/>
  <c r="CM17" i="36"/>
  <c r="CM18" i="36"/>
  <c r="CM19" i="36"/>
  <c r="CM20" i="36"/>
  <c r="CM21" i="36"/>
  <c r="CM22" i="36"/>
  <c r="CM23" i="36"/>
  <c r="CM24" i="36"/>
  <c r="CM25" i="36"/>
  <c r="CM26" i="36"/>
  <c r="CM27" i="36"/>
  <c r="CM28" i="36"/>
  <c r="CM29" i="36"/>
  <c r="CM30" i="36"/>
  <c r="CM31" i="36"/>
  <c r="CM32" i="36"/>
  <c r="CM33" i="36"/>
  <c r="CM34" i="36"/>
  <c r="CM35" i="36"/>
  <c r="CM36" i="36"/>
  <c r="CM37" i="36"/>
  <c r="CM38" i="36"/>
  <c r="CM39" i="36"/>
  <c r="CM40" i="36"/>
  <c r="CM41" i="36"/>
  <c r="CM42" i="36"/>
  <c r="CM43" i="36"/>
  <c r="CM44" i="36"/>
  <c r="CM45" i="36"/>
  <c r="CM46" i="36"/>
  <c r="CM47" i="36"/>
  <c r="CN10" i="36"/>
  <c r="CN11" i="36"/>
  <c r="CN12" i="36"/>
  <c r="CN13" i="36"/>
  <c r="CN14" i="36"/>
  <c r="CN15" i="36"/>
  <c r="CN16" i="36"/>
  <c r="CN17" i="36"/>
  <c r="CN18" i="36"/>
  <c r="CN19" i="36"/>
  <c r="CN20" i="36"/>
  <c r="CN21" i="36"/>
  <c r="CN22" i="36"/>
  <c r="CN23" i="36"/>
  <c r="CN24" i="36"/>
  <c r="CN25" i="36"/>
  <c r="CN26" i="36"/>
  <c r="CN27" i="36"/>
  <c r="CN28" i="36"/>
  <c r="CN29" i="36"/>
  <c r="CN30" i="36"/>
  <c r="CN31" i="36"/>
  <c r="CN32" i="36"/>
  <c r="CN33" i="36"/>
  <c r="CN34" i="36"/>
  <c r="CN35" i="36"/>
  <c r="CN36" i="36"/>
  <c r="CN37" i="36"/>
  <c r="CN38" i="36"/>
  <c r="CN39" i="36"/>
  <c r="CN40" i="36"/>
  <c r="CN41" i="36"/>
  <c r="CN42" i="36"/>
  <c r="CN43" i="36"/>
  <c r="CN44" i="36"/>
  <c r="CN45" i="36"/>
  <c r="CN46" i="36"/>
  <c r="CN47" i="36"/>
  <c r="D10" i="25"/>
  <c r="D18" i="25"/>
  <c r="D2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c r="K14" i="36"/>
  <c r="L14" i="36"/>
  <c r="K17" i="36"/>
  <c r="L17" i="36"/>
  <c r="K13" i="36"/>
  <c r="L13" i="36"/>
  <c r="K10" i="36"/>
  <c r="L10" i="36"/>
  <c r="K11" i="36"/>
  <c r="L11" i="36"/>
  <c r="K15" i="36"/>
  <c r="L15" i="36"/>
  <c r="K16" i="36"/>
  <c r="L16" i="36"/>
  <c r="K18" i="36"/>
  <c r="L18" i="36"/>
  <c r="K19" i="36"/>
  <c r="L19" i="36"/>
  <c r="K20" i="36"/>
  <c r="L20" i="36"/>
  <c r="K21" i="36"/>
  <c r="L21" i="36"/>
  <c r="K22" i="36"/>
  <c r="L22" i="36"/>
  <c r="K23" i="36"/>
  <c r="L23" i="36"/>
  <c r="K24" i="36"/>
  <c r="L24" i="36"/>
  <c r="K25" i="36"/>
  <c r="L25" i="36"/>
  <c r="K26" i="36"/>
  <c r="L26" i="36"/>
  <c r="K27" i="36"/>
  <c r="L27" i="36"/>
  <c r="K28" i="36"/>
  <c r="L28" i="36"/>
  <c r="K29" i="36"/>
  <c r="L29" i="36"/>
  <c r="K30" i="36"/>
  <c r="L30" i="36"/>
  <c r="K31" i="36"/>
  <c r="L31" i="36"/>
  <c r="K32" i="36"/>
  <c r="L32" i="36"/>
  <c r="K33" i="36"/>
  <c r="L33" i="36"/>
  <c r="K34" i="36"/>
  <c r="L34" i="36"/>
  <c r="K35" i="36"/>
  <c r="L35" i="36"/>
  <c r="K36" i="36"/>
  <c r="L36" i="36"/>
  <c r="K37" i="36"/>
  <c r="L37" i="36"/>
  <c r="K38" i="36"/>
  <c r="L38" i="36"/>
  <c r="K39" i="36"/>
  <c r="L39" i="36"/>
  <c r="K40" i="36"/>
  <c r="L40" i="36"/>
  <c r="K41" i="36"/>
  <c r="L41" i="36"/>
  <c r="K42" i="36"/>
  <c r="L42" i="36"/>
  <c r="K43" i="36"/>
  <c r="L43" i="36"/>
  <c r="K44" i="36"/>
  <c r="L44" i="36"/>
  <c r="K45" i="36"/>
  <c r="L45" i="36"/>
  <c r="K46" i="36"/>
  <c r="L46" i="36"/>
  <c r="K47" i="36"/>
  <c r="L47" i="36"/>
  <c r="C13" i="8"/>
  <c r="C20" i="8"/>
  <c r="C837" i="59"/>
  <c r="F170" i="36"/>
  <c r="F179" i="36"/>
  <c r="F190" i="36"/>
  <c r="K168" i="36"/>
  <c r="K177" i="36"/>
  <c r="K187" i="36"/>
  <c r="P169" i="36"/>
  <c r="H148" i="36"/>
  <c r="C75" i="8"/>
  <c r="C892" i="59"/>
  <c r="I148" i="36"/>
  <c r="D75" i="8"/>
  <c r="D892" i="59" s="1"/>
  <c r="J148" i="36"/>
  <c r="E75" i="8"/>
  <c r="E892" i="59"/>
  <c r="K148" i="36"/>
  <c r="F75" i="8"/>
  <c r="F892" i="59" s="1"/>
  <c r="L148" i="36"/>
  <c r="G75" i="8"/>
  <c r="G892" i="59" s="1"/>
  <c r="M148" i="36"/>
  <c r="H75" i="8"/>
  <c r="H892" i="59" s="1"/>
  <c r="N148" i="36"/>
  <c r="I75" i="8"/>
  <c r="I892" i="59"/>
  <c r="O148" i="36"/>
  <c r="J75" i="8"/>
  <c r="J892" i="59" s="1"/>
  <c r="P148" i="36"/>
  <c r="K75" i="8"/>
  <c r="K892" i="59" s="1"/>
  <c r="G148" i="36"/>
  <c r="B75" i="8"/>
  <c r="B892" i="59"/>
  <c r="B38" i="26"/>
  <c r="H152" i="36"/>
  <c r="C76" i="8"/>
  <c r="C893" i="59"/>
  <c r="B39" i="26"/>
  <c r="I152" i="36"/>
  <c r="D76" i="8"/>
  <c r="D893" i="59"/>
  <c r="B40" i="26"/>
  <c r="J152" i="36"/>
  <c r="E76" i="8"/>
  <c r="E893" i="59"/>
  <c r="B41" i="26"/>
  <c r="K152" i="36"/>
  <c r="F76" i="8"/>
  <c r="F893" i="59"/>
  <c r="B42" i="26"/>
  <c r="L152" i="36"/>
  <c r="G76" i="8"/>
  <c r="G893" i="59"/>
  <c r="B43" i="26"/>
  <c r="M152" i="36"/>
  <c r="H76" i="8"/>
  <c r="H893" i="59"/>
  <c r="B44" i="26"/>
  <c r="N152" i="36"/>
  <c r="I76" i="8"/>
  <c r="I893" i="59"/>
  <c r="B45" i="26"/>
  <c r="O152" i="36"/>
  <c r="J76" i="8"/>
  <c r="J893" i="59"/>
  <c r="B46" i="26"/>
  <c r="P152" i="36"/>
  <c r="K76" i="8"/>
  <c r="K893" i="59"/>
  <c r="B37" i="26"/>
  <c r="G152" i="36"/>
  <c r="B76" i="8"/>
  <c r="B893" i="59"/>
  <c r="B28" i="26"/>
  <c r="H143" i="36"/>
  <c r="C47" i="8"/>
  <c r="C864" i="59"/>
  <c r="B29" i="26"/>
  <c r="I143" i="36"/>
  <c r="D47" i="8"/>
  <c r="D864" i="59"/>
  <c r="B30" i="26"/>
  <c r="J143" i="36"/>
  <c r="E47" i="8"/>
  <c r="E864" i="59"/>
  <c r="B31" i="26"/>
  <c r="K143" i="36"/>
  <c r="F47" i="8"/>
  <c r="F864" i="59"/>
  <c r="B32" i="26"/>
  <c r="L143" i="36"/>
  <c r="G47" i="8"/>
  <c r="G864" i="59"/>
  <c r="B33" i="26"/>
  <c r="M143" i="36"/>
  <c r="H47" i="8"/>
  <c r="H864" i="59"/>
  <c r="B34" i="26"/>
  <c r="N143" i="36"/>
  <c r="I47" i="8"/>
  <c r="I864" i="59"/>
  <c r="B35" i="26"/>
  <c r="O143" i="36"/>
  <c r="J47" i="8"/>
  <c r="J864" i="59"/>
  <c r="B36" i="26"/>
  <c r="P143" i="36"/>
  <c r="K47" i="8"/>
  <c r="K864" i="59"/>
  <c r="B27" i="26"/>
  <c r="G143" i="36"/>
  <c r="B47" i="8"/>
  <c r="B864" i="59"/>
  <c r="B18" i="26"/>
  <c r="H134" i="36"/>
  <c r="C18" i="8"/>
  <c r="C835" i="59"/>
  <c r="B19" i="26"/>
  <c r="I134" i="36"/>
  <c r="D18" i="8"/>
  <c r="D835" i="59"/>
  <c r="B20" i="26"/>
  <c r="J134" i="36"/>
  <c r="E18" i="8"/>
  <c r="E835" i="59"/>
  <c r="B21" i="26"/>
  <c r="K134" i="36"/>
  <c r="F18" i="8"/>
  <c r="F835" i="59"/>
  <c r="B22" i="26"/>
  <c r="L134" i="36"/>
  <c r="G18" i="8"/>
  <c r="G835" i="59"/>
  <c r="B23" i="26"/>
  <c r="M134" i="36"/>
  <c r="H18" i="8"/>
  <c r="H835" i="59"/>
  <c r="B24" i="26"/>
  <c r="N134" i="36"/>
  <c r="I18" i="8"/>
  <c r="I835" i="59"/>
  <c r="B25" i="26"/>
  <c r="O134" i="36"/>
  <c r="J18" i="8"/>
  <c r="J835" i="59"/>
  <c r="B26" i="26"/>
  <c r="P134" i="36"/>
  <c r="K18" i="8"/>
  <c r="K835" i="59"/>
  <c r="B17" i="26"/>
  <c r="G134" i="36"/>
  <c r="B18" i="8"/>
  <c r="B835" i="59"/>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c r="B863" i="59" s="1"/>
  <c r="P139" i="36"/>
  <c r="K46" i="8"/>
  <c r="K863" i="59" s="1"/>
  <c r="O139" i="36"/>
  <c r="J46" i="8"/>
  <c r="J863" i="59"/>
  <c r="N139" i="36"/>
  <c r="I46" i="8"/>
  <c r="I863" i="59" s="1"/>
  <c r="M139" i="36"/>
  <c r="H46" i="8"/>
  <c r="H863" i="59" s="1"/>
  <c r="L139" i="36"/>
  <c r="G46" i="8"/>
  <c r="G863" i="59"/>
  <c r="K139" i="36"/>
  <c r="F46" i="8"/>
  <c r="F863" i="59"/>
  <c r="J139" i="36"/>
  <c r="E46" i="8"/>
  <c r="E863" i="59" s="1"/>
  <c r="I139" i="36"/>
  <c r="D46" i="8"/>
  <c r="D863" i="59"/>
  <c r="H139" i="36"/>
  <c r="C46" i="8"/>
  <c r="C863" i="59" s="1"/>
  <c r="G130" i="36"/>
  <c r="H130" i="36"/>
  <c r="C17" i="8"/>
  <c r="C834" i="59" s="1"/>
  <c r="I130" i="36"/>
  <c r="D17" i="8"/>
  <c r="D834" i="59"/>
  <c r="J130" i="36"/>
  <c r="E17" i="8"/>
  <c r="E834" i="59" s="1"/>
  <c r="K130" i="36"/>
  <c r="F17" i="8"/>
  <c r="F834" i="59" s="1"/>
  <c r="L130" i="36"/>
  <c r="G17" i="8"/>
  <c r="G834" i="59" s="1"/>
  <c r="M130" i="36"/>
  <c r="H17" i="8"/>
  <c r="H834" i="59"/>
  <c r="N130" i="36"/>
  <c r="I17" i="8"/>
  <c r="I834" i="59" s="1"/>
  <c r="O130" i="36"/>
  <c r="J17" i="8"/>
  <c r="J834" i="59" s="1"/>
  <c r="P130" i="36"/>
  <c r="K17" i="8"/>
  <c r="K834" i="59"/>
  <c r="P16" i="11"/>
  <c r="G11" i="11"/>
  <c r="K16" i="11"/>
  <c r="G12" i="11"/>
  <c r="F16" i="11"/>
  <c r="G10" i="1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H846" i="59"/>
  <c r="D846" i="59"/>
  <c r="K846" i="59"/>
  <c r="G846" i="59"/>
  <c r="C846" i="59"/>
  <c r="D13" i="8"/>
  <c r="J846" i="59"/>
  <c r="F846" i="59"/>
  <c r="I846" i="59"/>
  <c r="E846" i="59"/>
  <c r="F36" i="15"/>
  <c r="F434" i="59"/>
  <c r="F37" i="15"/>
  <c r="F435" i="59"/>
  <c r="F35" i="15"/>
  <c r="F433" i="59"/>
  <c r="F114" i="15"/>
  <c r="F115" i="15"/>
  <c r="F113" i="15"/>
  <c r="C135" i="55"/>
  <c r="L59" i="49"/>
  <c r="S130" i="15"/>
  <c r="J162" i="15"/>
  <c r="J560" i="59"/>
  <c r="B837" i="59"/>
  <c r="P792" i="59"/>
  <c r="L302" i="11"/>
  <c r="C59" i="50"/>
  <c r="C58" i="50"/>
  <c r="I58" i="50" s="1"/>
  <c r="C61" i="50"/>
  <c r="C60" i="50"/>
  <c r="B17" i="8"/>
  <c r="B834" i="59" s="1"/>
  <c r="C55" i="50"/>
  <c r="GR48" i="36"/>
  <c r="J87" i="36"/>
  <c r="A82" i="36"/>
  <c r="E34" i="15"/>
  <c r="C116" i="15"/>
  <c r="A1" i="36"/>
  <c r="A621" i="59" s="1"/>
  <c r="T621" i="59" s="1"/>
  <c r="A1" i="7"/>
  <c r="A1" i="8"/>
  <c r="M1" i="8" s="1"/>
  <c r="A1" i="18"/>
  <c r="A183" i="59" s="1"/>
  <c r="A1" i="6"/>
  <c r="A1" i="3"/>
  <c r="S1" i="3"/>
  <c r="A1" i="11"/>
  <c r="A1" i="15"/>
  <c r="W1" i="15" s="1"/>
  <c r="AR48" i="36"/>
  <c r="AV48" i="36"/>
  <c r="H65" i="36"/>
  <c r="AZ48" i="36"/>
  <c r="L65" i="36"/>
  <c r="BD48" i="36"/>
  <c r="K64" i="36"/>
  <c r="AL48" i="36"/>
  <c r="H59" i="36"/>
  <c r="BA48" i="36"/>
  <c r="H64" i="36"/>
  <c r="H66" i="36"/>
  <c r="B44" i="15"/>
  <c r="G130" i="15"/>
  <c r="P130" i="15"/>
  <c r="P147" i="15"/>
  <c r="P149" i="15"/>
  <c r="P151" i="15"/>
  <c r="M130" i="15"/>
  <c r="M147" i="15"/>
  <c r="M149" i="15"/>
  <c r="M151" i="15"/>
  <c r="J130" i="15"/>
  <c r="J147" i="15"/>
  <c r="IH48" i="36"/>
  <c r="AN48" i="36"/>
  <c r="J59" i="36"/>
  <c r="AA48" i="36"/>
  <c r="L56" i="36"/>
  <c r="Y48" i="36"/>
  <c r="J56" i="36"/>
  <c r="W48" i="36"/>
  <c r="H56" i="36"/>
  <c r="AT48" i="36"/>
  <c r="CV48" i="36"/>
  <c r="ID48" i="36"/>
  <c r="BE48" i="36"/>
  <c r="L64" i="36"/>
  <c r="BZ48" i="36"/>
  <c r="H114" i="36"/>
  <c r="AM48" i="36"/>
  <c r="I59" i="36"/>
  <c r="AE48" i="36"/>
  <c r="K57" i="36"/>
  <c r="AC48" i="36"/>
  <c r="I57" i="36"/>
  <c r="AX48" i="36"/>
  <c r="J65" i="36"/>
  <c r="BB48" i="36"/>
  <c r="I64" i="36"/>
  <c r="HL48" i="36"/>
  <c r="J91" i="36"/>
  <c r="J108" i="36"/>
  <c r="F59" i="6"/>
  <c r="F1009" i="59"/>
  <c r="CU48" i="36"/>
  <c r="CT48" i="36"/>
  <c r="CW48" i="36"/>
  <c r="AW48" i="36"/>
  <c r="I65" i="36"/>
  <c r="CX48" i="36"/>
  <c r="HN48" i="36"/>
  <c r="L91" i="36"/>
  <c r="L108" i="36"/>
  <c r="F61" i="6"/>
  <c r="F1011" i="59" s="1"/>
  <c r="FY48" i="36"/>
  <c r="K99" i="36"/>
  <c r="GJ48" i="36"/>
  <c r="L97" i="36"/>
  <c r="GF48" i="36"/>
  <c r="H97" i="36"/>
  <c r="EY48" i="36"/>
  <c r="AP48" i="36"/>
  <c r="L59" i="36"/>
  <c r="Z48" i="36"/>
  <c r="K56" i="36"/>
  <c r="K58" i="36"/>
  <c r="X48" i="36"/>
  <c r="I56" i="36"/>
  <c r="AY48" i="36"/>
  <c r="K65" i="36"/>
  <c r="BC48" i="36"/>
  <c r="J64" i="36"/>
  <c r="BH48" i="36"/>
  <c r="AO48" i="36"/>
  <c r="K59" i="36"/>
  <c r="AF48" i="36"/>
  <c r="L57" i="36"/>
  <c r="AD48" i="36"/>
  <c r="J57" i="36"/>
  <c r="AB48" i="36"/>
  <c r="H57" i="36"/>
  <c r="GT48" i="36"/>
  <c r="L87" i="36"/>
  <c r="FC48" i="36"/>
  <c r="I95" i="36"/>
  <c r="FN48" i="36"/>
  <c r="J101" i="36"/>
  <c r="HM48" i="36"/>
  <c r="K91" i="36"/>
  <c r="K108" i="36"/>
  <c r="F60" i="6"/>
  <c r="H60" i="6" s="1"/>
  <c r="F1010" i="59"/>
  <c r="AU48" i="36"/>
  <c r="AQ48" i="36"/>
  <c r="HK48" i="36"/>
  <c r="I91" i="36"/>
  <c r="I108" i="36"/>
  <c r="F58" i="6"/>
  <c r="F1008" i="59"/>
  <c r="IU48" i="36"/>
  <c r="AS48" i="36"/>
  <c r="D41" i="3"/>
  <c r="D377" i="59"/>
  <c r="IO48" i="36"/>
  <c r="JA48" i="36"/>
  <c r="L365" i="11"/>
  <c r="EB48" i="36"/>
  <c r="L76" i="36"/>
  <c r="DV48" i="36"/>
  <c r="K75" i="36"/>
  <c r="DZ48" i="36"/>
  <c r="J76" i="36"/>
  <c r="DT48" i="36"/>
  <c r="I75" i="36"/>
  <c r="EV48" i="36"/>
  <c r="EL48" i="36"/>
  <c r="L78" i="36"/>
  <c r="ET48" i="36"/>
  <c r="EJ48" i="36"/>
  <c r="J78" i="36"/>
  <c r="EN48" i="36"/>
  <c r="I79" i="36"/>
  <c r="ER48" i="36"/>
  <c r="HC48" i="36"/>
  <c r="K89" i="36"/>
  <c r="HW48" i="36"/>
  <c r="K93" i="36"/>
  <c r="HJ48" i="36"/>
  <c r="H91" i="36"/>
  <c r="H108" i="36"/>
  <c r="F57" i="6"/>
  <c r="F1007" i="59"/>
  <c r="DE48" i="36"/>
  <c r="I72" i="36"/>
  <c r="BN48" i="36"/>
  <c r="K69" i="36"/>
  <c r="BS48" i="36"/>
  <c r="K68" i="36"/>
  <c r="DX48" i="36"/>
  <c r="H76" i="36"/>
  <c r="EP48" i="36"/>
  <c r="K79" i="36"/>
  <c r="EH48" i="36"/>
  <c r="H78" i="36"/>
  <c r="HA48" i="36"/>
  <c r="I89" i="36"/>
  <c r="HU48" i="36"/>
  <c r="I93" i="36"/>
  <c r="GP48" i="36"/>
  <c r="H87" i="36"/>
  <c r="FA48" i="36"/>
  <c r="L30" i="3"/>
  <c r="L366" i="59"/>
  <c r="L367" i="59"/>
  <c r="FL48" i="36"/>
  <c r="H101" i="36"/>
  <c r="DI48" i="36"/>
  <c r="H73" i="36"/>
  <c r="ED48" i="36"/>
  <c r="AK48" i="36"/>
  <c r="AI48" i="36"/>
  <c r="AG48" i="36"/>
  <c r="IL48" i="36"/>
  <c r="IJ48" i="36"/>
  <c r="EG48" i="36"/>
  <c r="DW48" i="36"/>
  <c r="L75" i="36"/>
  <c r="EF48" i="36"/>
  <c r="EA48" i="36"/>
  <c r="K76" i="36"/>
  <c r="EE48" i="36"/>
  <c r="DU48" i="36"/>
  <c r="J75" i="36"/>
  <c r="DY48" i="36"/>
  <c r="I76" i="36"/>
  <c r="EC48" i="36"/>
  <c r="DS48" i="36"/>
  <c r="H75" i="36"/>
  <c r="EQ48" i="36"/>
  <c r="L79" i="36"/>
  <c r="EU48" i="36"/>
  <c r="EK48" i="36"/>
  <c r="K78" i="36"/>
  <c r="EO48" i="36"/>
  <c r="J79" i="36"/>
  <c r="ES48" i="36"/>
  <c r="EI48" i="36"/>
  <c r="I78" i="36"/>
  <c r="EM48" i="36"/>
  <c r="H79" i="36"/>
  <c r="CN48" i="36"/>
  <c r="CL48" i="36"/>
  <c r="CJ48" i="36"/>
  <c r="DO48" i="36"/>
  <c r="DJ48" i="36"/>
  <c r="I73" i="36"/>
  <c r="DN48" i="36"/>
  <c r="DD48" i="36"/>
  <c r="H72" i="36"/>
  <c r="BK48" i="36"/>
  <c r="H69" i="36"/>
  <c r="BL48" i="36"/>
  <c r="I69" i="36"/>
  <c r="BQ48" i="36"/>
  <c r="I68" i="36"/>
  <c r="A48" i="36"/>
  <c r="A5" i="36"/>
  <c r="GH48" i="36"/>
  <c r="J97" i="36"/>
  <c r="IW48" i="36"/>
  <c r="P172" i="36"/>
  <c r="BF48" i="36"/>
  <c r="BJ48" i="36"/>
  <c r="IQ48" i="36"/>
  <c r="IS48" i="36"/>
  <c r="IF48" i="36"/>
  <c r="IY48" i="36"/>
  <c r="FP48" i="36"/>
  <c r="L101" i="36"/>
  <c r="FW48" i="36"/>
  <c r="I99" i="36"/>
  <c r="FE48" i="36"/>
  <c r="K95" i="36"/>
  <c r="EW48" i="36"/>
  <c r="FV48" i="36"/>
  <c r="H99" i="36"/>
  <c r="GG48" i="36"/>
  <c r="I97" i="36"/>
  <c r="FD48" i="36"/>
  <c r="J95" i="36"/>
  <c r="EZ48" i="36"/>
  <c r="CK48" i="36"/>
  <c r="AH48" i="36"/>
  <c r="IR48" i="36"/>
  <c r="IN48" i="36"/>
  <c r="IT48" i="36"/>
  <c r="IZ48" i="36"/>
  <c r="IG48" i="36"/>
  <c r="IM48" i="36"/>
  <c r="II48" i="36"/>
  <c r="DR48" i="36"/>
  <c r="DM48" i="36"/>
  <c r="L73" i="36"/>
  <c r="DH48" i="36"/>
  <c r="L72" i="36"/>
  <c r="DQ48" i="36"/>
  <c r="DL48" i="36"/>
  <c r="K73" i="36"/>
  <c r="DG48" i="36"/>
  <c r="K72" i="36"/>
  <c r="DP48" i="36"/>
  <c r="DK48" i="36"/>
  <c r="J73" i="36"/>
  <c r="DF48" i="36"/>
  <c r="J72" i="36"/>
  <c r="DC48" i="36"/>
  <c r="L119" i="36"/>
  <c r="DB48" i="36"/>
  <c r="K119" i="36"/>
  <c r="DA48" i="36"/>
  <c r="J119" i="36"/>
  <c r="CZ48" i="36"/>
  <c r="I119" i="36"/>
  <c r="CY48" i="36"/>
  <c r="H119" i="36"/>
  <c r="BG48" i="36"/>
  <c r="BI48" i="36"/>
  <c r="BY48" i="36"/>
  <c r="L61" i="36"/>
  <c r="BX48" i="36"/>
  <c r="K61" i="36"/>
  <c r="BW48" i="36"/>
  <c r="J61" i="36"/>
  <c r="BV48" i="36"/>
  <c r="I61" i="36"/>
  <c r="BU48" i="36"/>
  <c r="H61" i="36"/>
  <c r="BO48" i="36"/>
  <c r="L69" i="36"/>
  <c r="BT48" i="36"/>
  <c r="L68" i="36"/>
  <c r="GI48" i="36"/>
  <c r="K97" i="36"/>
  <c r="FF48" i="36"/>
  <c r="L95" i="36"/>
  <c r="FB48" i="36"/>
  <c r="H95" i="36"/>
  <c r="EX48" i="36"/>
  <c r="L48" i="36"/>
  <c r="L49" i="36"/>
  <c r="H124" i="36"/>
  <c r="O124" i="36" s="1"/>
  <c r="H744" i="59"/>
  <c r="CM48" i="36"/>
  <c r="AJ48" i="36"/>
  <c r="IP48" i="36"/>
  <c r="IV48" i="36"/>
  <c r="JB48" i="36"/>
  <c r="IX48" i="36"/>
  <c r="IE48" i="36"/>
  <c r="IK48" i="36"/>
  <c r="BP48" i="36"/>
  <c r="H68" i="36"/>
  <c r="BM48" i="36"/>
  <c r="J69" i="36"/>
  <c r="BR48" i="36"/>
  <c r="J68" i="36"/>
  <c r="HX48" i="36"/>
  <c r="L93" i="36"/>
  <c r="HV48" i="36"/>
  <c r="J93" i="36"/>
  <c r="HT48" i="36"/>
  <c r="H93" i="36"/>
  <c r="HD48" i="36"/>
  <c r="L89" i="36"/>
  <c r="HB48" i="36"/>
  <c r="J89" i="36"/>
  <c r="GZ48" i="36"/>
  <c r="H89" i="36"/>
  <c r="GS48" i="36"/>
  <c r="K87" i="36"/>
  <c r="GQ48" i="36"/>
  <c r="I87" i="36"/>
  <c r="FZ48" i="36"/>
  <c r="L99" i="36"/>
  <c r="FX48" i="36"/>
  <c r="J99" i="36"/>
  <c r="FO48" i="36"/>
  <c r="K101" i="36"/>
  <c r="FM48" i="36"/>
  <c r="I101" i="36"/>
  <c r="C28" i="8"/>
  <c r="C845" i="59"/>
  <c r="B58" i="8"/>
  <c r="C58" i="8"/>
  <c r="D58" i="8"/>
  <c r="E58" i="8"/>
  <c r="F58" i="8"/>
  <c r="F875" i="59"/>
  <c r="G58" i="8"/>
  <c r="G875" i="59"/>
  <c r="H58" i="8"/>
  <c r="H875" i="59"/>
  <c r="I58" i="8"/>
  <c r="I875" i="59"/>
  <c r="J58" i="8"/>
  <c r="J875" i="59"/>
  <c r="K58" i="8"/>
  <c r="K875" i="59"/>
  <c r="B87" i="8"/>
  <c r="B904" i="59"/>
  <c r="C87" i="8"/>
  <c r="C904" i="59"/>
  <c r="D87" i="8"/>
  <c r="D904" i="59"/>
  <c r="E87" i="8"/>
  <c r="E904" i="59"/>
  <c r="F87" i="8"/>
  <c r="F904" i="59"/>
  <c r="G87" i="8"/>
  <c r="G904" i="59"/>
  <c r="H87" i="8"/>
  <c r="H904" i="59"/>
  <c r="I87" i="8"/>
  <c r="I904" i="59"/>
  <c r="J87" i="8"/>
  <c r="J904" i="59"/>
  <c r="K87" i="8"/>
  <c r="K904" i="59"/>
  <c r="A58" i="26"/>
  <c r="G58" i="26"/>
  <c r="A1" i="25"/>
  <c r="O30" i="7"/>
  <c r="I3" i="29"/>
  <c r="A50" i="25"/>
  <c r="A1" i="29"/>
  <c r="A578" i="59" s="1"/>
  <c r="A1" i="26"/>
  <c r="A3" i="37"/>
  <c r="A3" i="59"/>
  <c r="N30" i="7"/>
  <c r="N36" i="59"/>
  <c r="CS48" i="36"/>
  <c r="L117" i="36"/>
  <c r="CR48" i="36"/>
  <c r="K117" i="36"/>
  <c r="CQ48" i="36"/>
  <c r="J117" i="36"/>
  <c r="CP48" i="36"/>
  <c r="I117" i="36"/>
  <c r="CO48" i="36"/>
  <c r="H117" i="36"/>
  <c r="CI48" i="36"/>
  <c r="L115" i="36"/>
  <c r="CD48" i="36"/>
  <c r="L114" i="36"/>
  <c r="CH48" i="36"/>
  <c r="K115" i="36"/>
  <c r="CC48" i="36"/>
  <c r="K114" i="36"/>
  <c r="CG48" i="36"/>
  <c r="J115" i="36"/>
  <c r="CB48" i="36"/>
  <c r="J114" i="36"/>
  <c r="CF48" i="36"/>
  <c r="I115" i="36"/>
  <c r="CA48" i="36"/>
  <c r="I114" i="36"/>
  <c r="CE48" i="36"/>
  <c r="H115" i="36"/>
  <c r="D875" i="59"/>
  <c r="E13" i="8"/>
  <c r="D20" i="8"/>
  <c r="D837" i="59" s="1"/>
  <c r="C875" i="59"/>
  <c r="E875" i="59"/>
  <c r="B875" i="59"/>
  <c r="H326" i="11"/>
  <c r="H1699" i="59"/>
  <c r="F47" i="15"/>
  <c r="J149" i="15"/>
  <c r="J151" i="15"/>
  <c r="E3" i="51"/>
  <c r="I15" i="51"/>
  <c r="J326" i="11"/>
  <c r="J1699" i="59"/>
  <c r="L1699" i="59"/>
  <c r="I1625" i="59"/>
  <c r="P1001" i="59"/>
  <c r="I390" i="59"/>
  <c r="P46" i="6"/>
  <c r="P996" i="59"/>
  <c r="K353" i="11"/>
  <c r="K1726" i="59"/>
  <c r="M626" i="59"/>
  <c r="O626" i="59"/>
  <c r="O36" i="59"/>
  <c r="A399" i="59"/>
  <c r="W399" i="59" s="1"/>
  <c r="U1" i="36"/>
  <c r="I59" i="50"/>
  <c r="K60" i="50"/>
  <c r="E60" i="50"/>
  <c r="E61" i="50"/>
  <c r="I61" i="50"/>
  <c r="K61" i="50"/>
  <c r="G61" i="50"/>
  <c r="H18" i="50"/>
  <c r="C40" i="50"/>
  <c r="I55" i="50"/>
  <c r="G55" i="50"/>
  <c r="E55" i="50"/>
  <c r="K55" i="50"/>
  <c r="E58" i="50"/>
  <c r="K58" i="50"/>
  <c r="G58" i="50"/>
  <c r="K9" i="53"/>
  <c r="K23" i="53"/>
  <c r="K28" i="53"/>
  <c r="F39" i="53"/>
  <c r="C18" i="50"/>
  <c r="K40" i="50"/>
  <c r="I58" i="36"/>
  <c r="K86" i="36"/>
  <c r="J86" i="36"/>
  <c r="I86" i="36"/>
  <c r="H86" i="36"/>
  <c r="L86" i="36"/>
  <c r="G51" i="6"/>
  <c r="G1001" i="59"/>
  <c r="L45" i="6"/>
  <c r="G61" i="6"/>
  <c r="G60" i="6"/>
  <c r="G44" i="6"/>
  <c r="G994" i="59"/>
  <c r="L60" i="6"/>
  <c r="G47" i="6"/>
  <c r="G997" i="59"/>
  <c r="L46" i="6"/>
  <c r="L58" i="6"/>
  <c r="L64" i="6"/>
  <c r="G52" i="6"/>
  <c r="G1002" i="59"/>
  <c r="L53" i="6"/>
  <c r="L57" i="6"/>
  <c r="G45" i="6"/>
  <c r="G995" i="59"/>
  <c r="G64" i="6"/>
  <c r="G1014" i="59"/>
  <c r="G68" i="6"/>
  <c r="G1018" i="59"/>
  <c r="G58" i="6"/>
  <c r="G43" i="6"/>
  <c r="G993" i="59"/>
  <c r="G54" i="6"/>
  <c r="G1004" i="59"/>
  <c r="L51" i="6"/>
  <c r="L59" i="6"/>
  <c r="L52" i="6"/>
  <c r="L66" i="6"/>
  <c r="G59" i="6"/>
  <c r="G67" i="6"/>
  <c r="G1017" i="59"/>
  <c r="G46" i="6"/>
  <c r="G996" i="59"/>
  <c r="L54" i="6"/>
  <c r="L47" i="6"/>
  <c r="L68" i="6"/>
  <c r="H58" i="6"/>
  <c r="H1008" i="59"/>
  <c r="J104" i="36"/>
  <c r="F45" i="6"/>
  <c r="F995" i="59" s="1"/>
  <c r="H57" i="6"/>
  <c r="H1007" i="59" s="1"/>
  <c r="H1010" i="59"/>
  <c r="H59" i="6"/>
  <c r="H1009" i="59" s="1"/>
  <c r="H104" i="36"/>
  <c r="F43" i="6"/>
  <c r="F993" i="59" s="1"/>
  <c r="K106" i="36"/>
  <c r="F53" i="6"/>
  <c r="M108" i="36"/>
  <c r="J106" i="36"/>
  <c r="F52" i="6"/>
  <c r="H52" i="6" s="1"/>
  <c r="J110" i="36"/>
  <c r="F66" i="6"/>
  <c r="K110" i="36"/>
  <c r="F67" i="6"/>
  <c r="F1017" i="59" s="1"/>
  <c r="I104" i="36"/>
  <c r="F44" i="6"/>
  <c r="F994" i="59"/>
  <c r="H110" i="36"/>
  <c r="F64" i="6"/>
  <c r="F1014" i="59" s="1"/>
  <c r="L104" i="36"/>
  <c r="F47" i="6"/>
  <c r="I110" i="36"/>
  <c r="F65" i="6"/>
  <c r="K104" i="36"/>
  <c r="F46" i="6"/>
  <c r="F996" i="59" s="1"/>
  <c r="I106" i="36"/>
  <c r="F51" i="6"/>
  <c r="L110" i="36"/>
  <c r="F68" i="6"/>
  <c r="F1018" i="59"/>
  <c r="H106" i="36"/>
  <c r="L106" i="36"/>
  <c r="F54" i="6"/>
  <c r="M95" i="36"/>
  <c r="M93" i="36"/>
  <c r="M91" i="36"/>
  <c r="M97" i="36"/>
  <c r="C68" i="50"/>
  <c r="K68" i="50" s="1"/>
  <c r="P51" i="6"/>
  <c r="L31" i="3"/>
  <c r="I252" i="11"/>
  <c r="L253" i="11"/>
  <c r="P239" i="11"/>
  <c r="P1612" i="59"/>
  <c r="L66" i="36"/>
  <c r="K66" i="36"/>
  <c r="H58" i="36"/>
  <c r="H60" i="36"/>
  <c r="H62" i="36"/>
  <c r="I66" i="36"/>
  <c r="J58" i="36"/>
  <c r="J60" i="36"/>
  <c r="J62" i="36"/>
  <c r="L58" i="36"/>
  <c r="L60" i="36"/>
  <c r="L62" i="36"/>
  <c r="M65" i="36"/>
  <c r="I52" i="7"/>
  <c r="I51" i="7" s="1"/>
  <c r="J66" i="36"/>
  <c r="M59" i="36"/>
  <c r="K60" i="36"/>
  <c r="K62" i="36"/>
  <c r="M56" i="36"/>
  <c r="M64" i="36"/>
  <c r="I53" i="7"/>
  <c r="I59" i="59" s="1"/>
  <c r="M57" i="36"/>
  <c r="H52" i="7"/>
  <c r="H58" i="59"/>
  <c r="H57" i="59" s="1"/>
  <c r="H61" i="59" s="1"/>
  <c r="H63" i="59" s="1"/>
  <c r="K77" i="36"/>
  <c r="K80" i="36"/>
  <c r="L70" i="36"/>
  <c r="I77" i="36"/>
  <c r="M61" i="36"/>
  <c r="M119" i="36"/>
  <c r="M99" i="36"/>
  <c r="H70" i="36"/>
  <c r="M72" i="36"/>
  <c r="M69" i="36"/>
  <c r="M79" i="36"/>
  <c r="M75" i="36"/>
  <c r="L77" i="36"/>
  <c r="J70" i="36"/>
  <c r="M78" i="36"/>
  <c r="K70" i="36"/>
  <c r="H74" i="36"/>
  <c r="M73" i="36"/>
  <c r="J80" i="36"/>
  <c r="I80" i="36"/>
  <c r="M76" i="36"/>
  <c r="L80" i="36"/>
  <c r="J77" i="36"/>
  <c r="P178" i="36"/>
  <c r="I70" i="36"/>
  <c r="B14" i="8"/>
  <c r="B831" i="59"/>
  <c r="H80" i="36"/>
  <c r="M68" i="36"/>
  <c r="H77" i="36"/>
  <c r="I74" i="36"/>
  <c r="I54" i="3"/>
  <c r="P46" i="3"/>
  <c r="M87" i="36"/>
  <c r="M89" i="36"/>
  <c r="J74" i="36"/>
  <c r="L74" i="36"/>
  <c r="K74" i="36"/>
  <c r="J116" i="36"/>
  <c r="J118" i="36"/>
  <c r="J120" i="36"/>
  <c r="K116" i="36"/>
  <c r="K118" i="36"/>
  <c r="K120" i="36"/>
  <c r="L116" i="36"/>
  <c r="L118" i="36"/>
  <c r="L120" i="36"/>
  <c r="M117" i="36"/>
  <c r="P52" i="7"/>
  <c r="P58" i="59" s="1"/>
  <c r="M101" i="36"/>
  <c r="D28" i="8"/>
  <c r="D845" i="59"/>
  <c r="M6" i="36"/>
  <c r="O6" i="36"/>
  <c r="M115" i="36"/>
  <c r="H116" i="36"/>
  <c r="I116" i="36"/>
  <c r="I118" i="36"/>
  <c r="I120" i="36"/>
  <c r="M114" i="36"/>
  <c r="L61" i="6"/>
  <c r="L65" i="6"/>
  <c r="G66" i="6"/>
  <c r="G1016" i="59"/>
  <c r="L44" i="6"/>
  <c r="N44" i="6"/>
  <c r="G53" i="6"/>
  <c r="G1003" i="59"/>
  <c r="L43" i="6"/>
  <c r="G65" i="6"/>
  <c r="G1015" i="59"/>
  <c r="G57" i="6"/>
  <c r="L67" i="6"/>
  <c r="L326" i="11"/>
  <c r="F13" i="8"/>
  <c r="E20" i="8"/>
  <c r="E837" i="59"/>
  <c r="C35" i="51"/>
  <c r="D35" i="51"/>
  <c r="H35" i="51"/>
  <c r="D15" i="51"/>
  <c r="F15" i="51"/>
  <c r="H15" i="51"/>
  <c r="I35" i="51"/>
  <c r="H55" i="51"/>
  <c r="E35" i="51"/>
  <c r="E55" i="51"/>
  <c r="D55" i="51"/>
  <c r="C15" i="51"/>
  <c r="G15" i="51"/>
  <c r="G35" i="51"/>
  <c r="C55" i="51"/>
  <c r="F55" i="51"/>
  <c r="E15" i="51"/>
  <c r="G55" i="51"/>
  <c r="O16" i="51"/>
  <c r="F35" i="51"/>
  <c r="O17" i="51"/>
  <c r="P382" i="59"/>
  <c r="P381" i="59"/>
  <c r="I391" i="59"/>
  <c r="L1626" i="59"/>
  <c r="I1626" i="59"/>
  <c r="H54" i="6"/>
  <c r="H1004" i="59"/>
  <c r="F1004" i="59"/>
  <c r="H66" i="6"/>
  <c r="H1016" i="59" s="1"/>
  <c r="F1016" i="59"/>
  <c r="F1001" i="59"/>
  <c r="H67" i="6"/>
  <c r="H1017" i="59" s="1"/>
  <c r="H1002" i="59"/>
  <c r="F1002" i="59"/>
  <c r="I60" i="36"/>
  <c r="I62" i="36"/>
  <c r="H8" i="53"/>
  <c r="N68" i="6"/>
  <c r="N1018" i="59" s="1"/>
  <c r="L1018" i="59"/>
  <c r="N61" i="6"/>
  <c r="N1011" i="59" s="1"/>
  <c r="L1011" i="59"/>
  <c r="N65" i="6"/>
  <c r="N1015" i="59" s="1"/>
  <c r="L1015" i="59"/>
  <c r="N66" i="6"/>
  <c r="N1016" i="59"/>
  <c r="L1016" i="59"/>
  <c r="N51" i="6"/>
  <c r="N1001" i="59" s="1"/>
  <c r="L1001" i="59"/>
  <c r="I58" i="6"/>
  <c r="I1008" i="59" s="1"/>
  <c r="G1008" i="59"/>
  <c r="N43" i="6"/>
  <c r="L993" i="59"/>
  <c r="N46" i="6"/>
  <c r="N996" i="59"/>
  <c r="L996" i="59"/>
  <c r="L1017" i="59"/>
  <c r="N45" i="6"/>
  <c r="N995" i="59" s="1"/>
  <c r="L995" i="59"/>
  <c r="Q651" i="59"/>
  <c r="Q646" i="59"/>
  <c r="Q661" i="59"/>
  <c r="Q655" i="59"/>
  <c r="Q635" i="59"/>
  <c r="Q642" i="59"/>
  <c r="Q657" i="59"/>
  <c r="Q662" i="59"/>
  <c r="Q658" i="59"/>
  <c r="Q652" i="59"/>
  <c r="Q644" i="59"/>
  <c r="Q636" i="59"/>
  <c r="Q653" i="59"/>
  <c r="Q649" i="59"/>
  <c r="Q667" i="59"/>
  <c r="Q639" i="59"/>
  <c r="Q647" i="59"/>
  <c r="Q643" i="59"/>
  <c r="Q650" i="59"/>
  <c r="Q634" i="59"/>
  <c r="Q641" i="59"/>
  <c r="Q645" i="59"/>
  <c r="Q656" i="59"/>
  <c r="Q648" i="59"/>
  <c r="Q640" i="59"/>
  <c r="Q633" i="59"/>
  <c r="Q654" i="59"/>
  <c r="N47" i="6"/>
  <c r="N997" i="59" s="1"/>
  <c r="L997" i="59"/>
  <c r="N54" i="6"/>
  <c r="N1004" i="59" s="1"/>
  <c r="L1004" i="59"/>
  <c r="I59" i="6"/>
  <c r="I1009" i="59" s="1"/>
  <c r="G1009" i="59"/>
  <c r="L1002" i="59"/>
  <c r="N59" i="6"/>
  <c r="N1009" i="59" s="1"/>
  <c r="L1009" i="59"/>
  <c r="N57" i="6"/>
  <c r="N1007" i="59" s="1"/>
  <c r="L1007" i="59"/>
  <c r="N53" i="6"/>
  <c r="N1003" i="59"/>
  <c r="L1003" i="59"/>
  <c r="N64" i="6"/>
  <c r="N1014" i="59"/>
  <c r="L1014" i="59"/>
  <c r="N58" i="6"/>
  <c r="N1008" i="59" s="1"/>
  <c r="L1008" i="59"/>
  <c r="L1010" i="59"/>
  <c r="G1010" i="59"/>
  <c r="G1011" i="59"/>
  <c r="J18" i="50"/>
  <c r="F56" i="54"/>
  <c r="D39" i="55"/>
  <c r="I58" i="59"/>
  <c r="C52" i="50"/>
  <c r="D18" i="50"/>
  <c r="C38" i="50"/>
  <c r="M86" i="36"/>
  <c r="I68" i="6"/>
  <c r="I1018" i="59" s="1"/>
  <c r="I64" i="6"/>
  <c r="I34" i="11"/>
  <c r="I1407" i="59" s="1"/>
  <c r="I33" i="11"/>
  <c r="K33" i="11" s="1"/>
  <c r="I1406" i="59"/>
  <c r="I66" i="6"/>
  <c r="I1016" i="59" s="1"/>
  <c r="H68" i="6"/>
  <c r="H1018" i="59" s="1"/>
  <c r="I67" i="6"/>
  <c r="I1017" i="59" s="1"/>
  <c r="H64" i="6"/>
  <c r="H1014" i="59" s="1"/>
  <c r="F50" i="6"/>
  <c r="E50" i="6"/>
  <c r="G50" i="6" s="1"/>
  <c r="M104" i="36"/>
  <c r="I54" i="6"/>
  <c r="I1004" i="59"/>
  <c r="M110" i="36"/>
  <c r="M106" i="36"/>
  <c r="I52" i="6"/>
  <c r="I1002" i="59"/>
  <c r="H46" i="6"/>
  <c r="H996" i="59" s="1"/>
  <c r="I46" i="6"/>
  <c r="I996" i="59" s="1"/>
  <c r="H45" i="6"/>
  <c r="H995" i="59" s="1"/>
  <c r="I45" i="6"/>
  <c r="I995" i="59"/>
  <c r="H44" i="6"/>
  <c r="H994" i="59" s="1"/>
  <c r="I44" i="6"/>
  <c r="H43" i="6"/>
  <c r="H993" i="59" s="1"/>
  <c r="I43" i="6"/>
  <c r="I993" i="59"/>
  <c r="D34" i="55"/>
  <c r="H9" i="53"/>
  <c r="I9" i="53" s="1"/>
  <c r="D9" i="53"/>
  <c r="E9" i="53" s="1"/>
  <c r="D8" i="53"/>
  <c r="E8" i="53"/>
  <c r="E13" i="53" s="1"/>
  <c r="H7" i="53"/>
  <c r="D7" i="53"/>
  <c r="D10" i="53"/>
  <c r="E10" i="53"/>
  <c r="H10" i="53"/>
  <c r="I10" i="53" s="1"/>
  <c r="D11" i="53"/>
  <c r="E11" i="53" s="1"/>
  <c r="H11" i="53"/>
  <c r="I11" i="53" s="1"/>
  <c r="I253" i="11"/>
  <c r="O239" i="11"/>
  <c r="O1612" i="59"/>
  <c r="M66" i="36"/>
  <c r="H53" i="7"/>
  <c r="M58" i="36"/>
  <c r="H54" i="7"/>
  <c r="H60" i="59" s="1"/>
  <c r="P54" i="7"/>
  <c r="P60" i="59" s="1"/>
  <c r="M60" i="36"/>
  <c r="F441" i="59"/>
  <c r="M70" i="36"/>
  <c r="H56" i="7"/>
  <c r="H62" i="59" s="1"/>
  <c r="M77" i="36"/>
  <c r="M80" i="36"/>
  <c r="D14" i="8"/>
  <c r="C14" i="8"/>
  <c r="C831" i="59"/>
  <c r="E14" i="8"/>
  <c r="E831" i="59"/>
  <c r="F14" i="8"/>
  <c r="P45" i="3"/>
  <c r="P47" i="3"/>
  <c r="I55" i="3"/>
  <c r="M74" i="36"/>
  <c r="E28" i="8"/>
  <c r="E845" i="59"/>
  <c r="M116" i="36"/>
  <c r="P51" i="7"/>
  <c r="H118" i="36"/>
  <c r="N994" i="59"/>
  <c r="G1007" i="59"/>
  <c r="L994" i="59"/>
  <c r="G13" i="8"/>
  <c r="F20" i="8"/>
  <c r="F837" i="59"/>
  <c r="P383" i="59"/>
  <c r="O19" i="51"/>
  <c r="O23" i="51"/>
  <c r="O25" i="51"/>
  <c r="O31" i="51"/>
  <c r="M62" i="36"/>
  <c r="E498" i="59"/>
  <c r="L288" i="11"/>
  <c r="L1661" i="59"/>
  <c r="I215" i="11"/>
  <c r="I1588" i="59"/>
  <c r="P57" i="59"/>
  <c r="P53" i="7"/>
  <c r="H59" i="59"/>
  <c r="D12" i="53"/>
  <c r="L34" i="11"/>
  <c r="L1407" i="59"/>
  <c r="K34" i="11"/>
  <c r="K1407" i="59" s="1"/>
  <c r="L50" i="6"/>
  <c r="I7" i="53"/>
  <c r="E7" i="53"/>
  <c r="D13" i="50"/>
  <c r="K18" i="53" s="1"/>
  <c r="H46" i="7"/>
  <c r="H52" i="59"/>
  <c r="I216" i="11"/>
  <c r="H45" i="7"/>
  <c r="H51" i="59" s="1"/>
  <c r="F43" i="15"/>
  <c r="P144" i="7"/>
  <c r="P150" i="59" s="1"/>
  <c r="P143" i="7"/>
  <c r="P149" i="59"/>
  <c r="L33" i="11"/>
  <c r="L35" i="11"/>
  <c r="L1408" i="59"/>
  <c r="K35" i="11"/>
  <c r="K1408" i="59" s="1"/>
  <c r="K1406" i="59"/>
  <c r="O232" i="11"/>
  <c r="O1605" i="59"/>
  <c r="P232" i="11"/>
  <c r="H44" i="7"/>
  <c r="H50" i="59" s="1"/>
  <c r="F28" i="8"/>
  <c r="F845" i="59"/>
  <c r="M118" i="36"/>
  <c r="F442" i="59"/>
  <c r="H120" i="36"/>
  <c r="M120" i="36"/>
  <c r="E174" i="55"/>
  <c r="E175" i="55" s="1"/>
  <c r="E100" i="15"/>
  <c r="L303" i="11"/>
  <c r="L304" i="11"/>
  <c r="J184" i="36"/>
  <c r="L1676" i="59"/>
  <c r="L1677" i="59" s="1"/>
  <c r="H13" i="8"/>
  <c r="G20" i="8"/>
  <c r="G837" i="59"/>
  <c r="G14" i="8"/>
  <c r="G831" i="59" s="1"/>
  <c r="P76" i="7"/>
  <c r="P82" i="59"/>
  <c r="J441" i="59"/>
  <c r="L307" i="11"/>
  <c r="J43" i="15"/>
  <c r="J182" i="36"/>
  <c r="F520" i="59"/>
  <c r="I1661" i="59"/>
  <c r="F122" i="15"/>
  <c r="D132" i="15"/>
  <c r="J183" i="36"/>
  <c r="I214" i="11"/>
  <c r="P73" i="7"/>
  <c r="P79" i="59" s="1"/>
  <c r="C13" i="50"/>
  <c r="K19" i="53"/>
  <c r="I39" i="53" s="1"/>
  <c r="K38" i="53" s="1"/>
  <c r="F52" i="54"/>
  <c r="I288" i="11"/>
  <c r="I1589" i="59"/>
  <c r="D530" i="59"/>
  <c r="I1587" i="59"/>
  <c r="L1680" i="59"/>
  <c r="J442" i="59"/>
  <c r="G530" i="59"/>
  <c r="M550" i="59"/>
  <c r="M551" i="59" s="1"/>
  <c r="M553" i="59" s="1"/>
  <c r="P550" i="59"/>
  <c r="P551" i="59" s="1"/>
  <c r="P553" i="59" s="1"/>
  <c r="J550" i="59"/>
  <c r="J551" i="59" s="1"/>
  <c r="J553" i="59" s="1"/>
  <c r="J554" i="59" s="1"/>
  <c r="N50" i="6"/>
  <c r="N1000" i="59" s="1"/>
  <c r="L1000" i="59"/>
  <c r="G1000" i="59"/>
  <c r="P1605" i="59"/>
  <c r="H16" i="49"/>
  <c r="O30" i="11"/>
  <c r="P181" i="36"/>
  <c r="H7" i="50"/>
  <c r="E26" i="54" s="1"/>
  <c r="C20" i="50"/>
  <c r="H20" i="50"/>
  <c r="J44" i="15"/>
  <c r="J152" i="15"/>
  <c r="J153" i="15" s="1"/>
  <c r="J155" i="15" s="1"/>
  <c r="J156" i="15" s="1"/>
  <c r="F44" i="15"/>
  <c r="P152" i="15"/>
  <c r="P153" i="15"/>
  <c r="P155" i="15" s="1"/>
  <c r="M152" i="15"/>
  <c r="M153" i="15"/>
  <c r="M155" i="15" s="1"/>
  <c r="G28" i="8"/>
  <c r="G845" i="59"/>
  <c r="G132" i="15"/>
  <c r="D16" i="48"/>
  <c r="I13" i="8"/>
  <c r="H20" i="8"/>
  <c r="H837" i="59"/>
  <c r="H14" i="8"/>
  <c r="H28" i="8"/>
  <c r="H845" i="59"/>
  <c r="H831" i="59"/>
  <c r="J13" i="8"/>
  <c r="I20" i="8"/>
  <c r="I14" i="8"/>
  <c r="I28" i="8"/>
  <c r="I845" i="59"/>
  <c r="K13" i="8"/>
  <c r="J20" i="8"/>
  <c r="J14" i="8"/>
  <c r="J28" i="8"/>
  <c r="J845" i="59"/>
  <c r="J837" i="59"/>
  <c r="J831" i="59"/>
  <c r="B42" i="8"/>
  <c r="K20" i="8"/>
  <c r="K14" i="8"/>
  <c r="K28" i="8"/>
  <c r="K845" i="59"/>
  <c r="C42" i="8"/>
  <c r="B49" i="8"/>
  <c r="B43" i="8"/>
  <c r="K831" i="59"/>
  <c r="B57" i="8"/>
  <c r="B874" i="59"/>
  <c r="D42" i="8"/>
  <c r="C49" i="8"/>
  <c r="C43" i="8"/>
  <c r="B860" i="59"/>
  <c r="C57" i="8"/>
  <c r="C874" i="59"/>
  <c r="C860" i="59"/>
  <c r="C866" i="59"/>
  <c r="E42" i="8"/>
  <c r="D49" i="8"/>
  <c r="D43" i="8"/>
  <c r="D57" i="8"/>
  <c r="D874" i="59"/>
  <c r="F42" i="8"/>
  <c r="E49" i="8"/>
  <c r="E866" i="59" s="1"/>
  <c r="E43" i="8"/>
  <c r="D860" i="59"/>
  <c r="D866" i="59"/>
  <c r="E57" i="8"/>
  <c r="E874" i="59"/>
  <c r="E860" i="59"/>
  <c r="G42" i="8"/>
  <c r="F49" i="8"/>
  <c r="F866" i="59" s="1"/>
  <c r="F43" i="8"/>
  <c r="F57" i="8"/>
  <c r="F874" i="59"/>
  <c r="H42" i="8"/>
  <c r="G49" i="8"/>
  <c r="G866" i="59" s="1"/>
  <c r="G43" i="8"/>
  <c r="F860" i="59"/>
  <c r="G57" i="8"/>
  <c r="G874" i="59"/>
  <c r="G860" i="59"/>
  <c r="I42" i="8"/>
  <c r="H49" i="8"/>
  <c r="H866" i="59" s="1"/>
  <c r="H43" i="8"/>
  <c r="H860" i="59" s="1"/>
  <c r="H57" i="8"/>
  <c r="H874" i="59"/>
  <c r="J42" i="8"/>
  <c r="I49" i="8"/>
  <c r="I43" i="8"/>
  <c r="I57" i="8"/>
  <c r="I874" i="59"/>
  <c r="I866" i="59"/>
  <c r="K42" i="8"/>
  <c r="J49" i="8"/>
  <c r="J43" i="8"/>
  <c r="J57" i="8"/>
  <c r="J874" i="59"/>
  <c r="J860" i="59"/>
  <c r="B71" i="8"/>
  <c r="K49" i="8"/>
  <c r="K866" i="59" s="1"/>
  <c r="K43" i="8"/>
  <c r="K57" i="8"/>
  <c r="K874" i="59"/>
  <c r="K860" i="59"/>
  <c r="C71" i="8"/>
  <c r="B78" i="8"/>
  <c r="B72" i="8"/>
  <c r="B86" i="8"/>
  <c r="B903" i="59"/>
  <c r="D71" i="8"/>
  <c r="C78" i="8"/>
  <c r="C72" i="8"/>
  <c r="B889" i="59"/>
  <c r="B895" i="59"/>
  <c r="C86" i="8"/>
  <c r="C903" i="59"/>
  <c r="C889" i="59"/>
  <c r="E71" i="8"/>
  <c r="D78" i="8"/>
  <c r="D72" i="8"/>
  <c r="D86" i="8"/>
  <c r="D903" i="59"/>
  <c r="D889" i="59"/>
  <c r="D895" i="59"/>
  <c r="F71" i="8"/>
  <c r="E78" i="8"/>
  <c r="E895" i="59" s="1"/>
  <c r="E72" i="8"/>
  <c r="E86" i="8"/>
  <c r="E903" i="59"/>
  <c r="E889" i="59"/>
  <c r="G71" i="8"/>
  <c r="F78" i="8"/>
  <c r="F72" i="8"/>
  <c r="F889" i="59" s="1"/>
  <c r="F86" i="8"/>
  <c r="F903" i="59"/>
  <c r="H71" i="8"/>
  <c r="G78" i="8"/>
  <c r="G72" i="8"/>
  <c r="G86" i="8"/>
  <c r="G903" i="59"/>
  <c r="G889" i="59"/>
  <c r="I71" i="8"/>
  <c r="H78" i="8"/>
  <c r="H72" i="8"/>
  <c r="H86" i="8"/>
  <c r="H903" i="59"/>
  <c r="H895" i="59"/>
  <c r="J71" i="8"/>
  <c r="I78" i="8"/>
  <c r="I72" i="8"/>
  <c r="I86" i="8"/>
  <c r="I903" i="59"/>
  <c r="I895" i="59"/>
  <c r="K71" i="8"/>
  <c r="J78" i="8"/>
  <c r="J895" i="59" s="1"/>
  <c r="J72" i="8"/>
  <c r="I889" i="59"/>
  <c r="J86" i="8"/>
  <c r="J903" i="59"/>
  <c r="J889" i="59"/>
  <c r="B100" i="8"/>
  <c r="K78" i="8"/>
  <c r="K895" i="59" s="1"/>
  <c r="K72" i="8"/>
  <c r="K889" i="59" s="1"/>
  <c r="D34" i="51"/>
  <c r="D14" i="51"/>
  <c r="H34" i="51"/>
  <c r="I14" i="51"/>
  <c r="I34" i="51"/>
  <c r="G14" i="51"/>
  <c r="C34" i="51"/>
  <c r="F34" i="51"/>
  <c r="H14" i="51"/>
  <c r="F14" i="51"/>
  <c r="E14" i="51"/>
  <c r="E34" i="51"/>
  <c r="C14" i="51"/>
  <c r="G34" i="51"/>
  <c r="K86" i="8"/>
  <c r="K903" i="59"/>
  <c r="C100" i="8"/>
  <c r="B107" i="8"/>
  <c r="B101" i="8"/>
  <c r="B115" i="8"/>
  <c r="C23" i="8"/>
  <c r="C840" i="59"/>
  <c r="D23" i="8"/>
  <c r="E23" i="8"/>
  <c r="E840" i="59"/>
  <c r="F23" i="8"/>
  <c r="F840" i="59"/>
  <c r="G23" i="8"/>
  <c r="G840" i="59"/>
  <c r="H23" i="8"/>
  <c r="I23" i="8"/>
  <c r="I840" i="59"/>
  <c r="J23" i="8"/>
  <c r="J840" i="59"/>
  <c r="K23" i="8"/>
  <c r="K840" i="59"/>
  <c r="B33" i="8"/>
  <c r="B850" i="59" s="1"/>
  <c r="B52" i="8"/>
  <c r="B869" i="59"/>
  <c r="C52" i="8"/>
  <c r="C869" i="59"/>
  <c r="D52" i="8"/>
  <c r="D869" i="59"/>
  <c r="E52" i="8"/>
  <c r="E869" i="59"/>
  <c r="F52" i="8"/>
  <c r="F869" i="59"/>
  <c r="G52" i="8"/>
  <c r="G869" i="59"/>
  <c r="H52" i="8"/>
  <c r="H869" i="59"/>
  <c r="I52" i="8"/>
  <c r="I869" i="59"/>
  <c r="J52" i="8"/>
  <c r="J869" i="59"/>
  <c r="K52" i="8"/>
  <c r="H61" i="8"/>
  <c r="H878" i="59" s="1"/>
  <c r="I61" i="8"/>
  <c r="I878" i="59"/>
  <c r="B81" i="8"/>
  <c r="B898" i="59"/>
  <c r="C81" i="8"/>
  <c r="C898" i="59"/>
  <c r="D81" i="8"/>
  <c r="D898" i="59"/>
  <c r="E81" i="8"/>
  <c r="E898" i="59"/>
  <c r="F81" i="8"/>
  <c r="F898" i="59"/>
  <c r="G81" i="8"/>
  <c r="G898" i="59"/>
  <c r="H81" i="8"/>
  <c r="H898" i="59"/>
  <c r="I81" i="8"/>
  <c r="I898" i="59"/>
  <c r="J81" i="8"/>
  <c r="J898" i="59"/>
  <c r="K81" i="8"/>
  <c r="K898" i="59"/>
  <c r="B918" i="59"/>
  <c r="C115" i="8"/>
  <c r="B932" i="59"/>
  <c r="D100" i="8"/>
  <c r="C107" i="8"/>
  <c r="C101" i="8"/>
  <c r="E14" i="52"/>
  <c r="H840" i="59"/>
  <c r="E10" i="52"/>
  <c r="D840" i="59"/>
  <c r="K869" i="59"/>
  <c r="E32" i="52"/>
  <c r="E28" i="52"/>
  <c r="E26" i="52"/>
  <c r="E22" i="52"/>
  <c r="E18" i="52"/>
  <c r="E16" i="52"/>
  <c r="E12" i="52"/>
  <c r="E31" i="52"/>
  <c r="E25" i="52"/>
  <c r="E21" i="52"/>
  <c r="E15" i="52"/>
  <c r="E11" i="52"/>
  <c r="E30" i="52"/>
  <c r="E24" i="52"/>
  <c r="E20" i="52"/>
  <c r="E29" i="52"/>
  <c r="E27" i="52"/>
  <c r="E23" i="52"/>
  <c r="E19" i="52"/>
  <c r="E17" i="52"/>
  <c r="E13" i="52"/>
  <c r="E9" i="52"/>
  <c r="D32" i="8"/>
  <c r="D849" i="59"/>
  <c r="E34" i="8"/>
  <c r="E851" i="59" s="1"/>
  <c r="E32" i="8"/>
  <c r="E849" i="59" s="1"/>
  <c r="H32" i="8"/>
  <c r="H849" i="59"/>
  <c r="I32" i="8"/>
  <c r="I849" i="59" s="1"/>
  <c r="D62" i="8"/>
  <c r="D879" i="59" s="1"/>
  <c r="D63" i="8"/>
  <c r="D880" i="59" s="1"/>
  <c r="I62" i="8"/>
  <c r="I879" i="59"/>
  <c r="E63" i="8"/>
  <c r="E880" i="59" s="1"/>
  <c r="F62" i="8"/>
  <c r="F879" i="59"/>
  <c r="H34" i="8"/>
  <c r="H851" i="59"/>
  <c r="D33" i="8"/>
  <c r="D850" i="59" s="1"/>
  <c r="H62" i="8"/>
  <c r="H879" i="59"/>
  <c r="H33" i="8"/>
  <c r="H850" i="59" s="1"/>
  <c r="E92" i="8"/>
  <c r="E909" i="59"/>
  <c r="D90" i="8"/>
  <c r="D907" i="59" s="1"/>
  <c r="E90" i="8"/>
  <c r="E907" i="59"/>
  <c r="E91" i="8"/>
  <c r="E908" i="59" s="1"/>
  <c r="E62" i="8"/>
  <c r="E879" i="59"/>
  <c r="D92" i="8"/>
  <c r="D909" i="59" s="1"/>
  <c r="D34" i="8"/>
  <c r="D851" i="59"/>
  <c r="D91" i="8"/>
  <c r="D908" i="59" s="1"/>
  <c r="C36" i="8"/>
  <c r="C853" i="59"/>
  <c r="F92" i="8"/>
  <c r="F909" i="59" s="1"/>
  <c r="H92" i="8"/>
  <c r="H909" i="59" s="1"/>
  <c r="H91" i="8"/>
  <c r="H908" i="59"/>
  <c r="H90" i="8"/>
  <c r="H907" i="59" s="1"/>
  <c r="J62" i="8"/>
  <c r="J879" i="59" s="1"/>
  <c r="B62" i="8"/>
  <c r="B879" i="59"/>
  <c r="I33" i="8"/>
  <c r="I850" i="59"/>
  <c r="E33" i="8"/>
  <c r="E850" i="59" s="1"/>
  <c r="I92" i="8"/>
  <c r="I909" i="59" s="1"/>
  <c r="I91" i="8"/>
  <c r="I908" i="59" s="1"/>
  <c r="I90" i="8"/>
  <c r="I907" i="59"/>
  <c r="K62" i="8"/>
  <c r="K879" i="59" s="1"/>
  <c r="G62" i="8"/>
  <c r="G879" i="59" s="1"/>
  <c r="C62" i="8"/>
  <c r="C879" i="59" s="1"/>
  <c r="I34" i="8"/>
  <c r="I851" i="59" s="1"/>
  <c r="J91" i="8"/>
  <c r="J908" i="59" s="1"/>
  <c r="F91" i="8"/>
  <c r="F908" i="59" s="1"/>
  <c r="B91" i="8"/>
  <c r="B908" i="59"/>
  <c r="J33" i="8"/>
  <c r="J850" i="59"/>
  <c r="F33" i="8"/>
  <c r="F850" i="59" s="1"/>
  <c r="K91" i="8"/>
  <c r="K908" i="59" s="1"/>
  <c r="G91" i="8"/>
  <c r="G908" i="59" s="1"/>
  <c r="C91" i="8"/>
  <c r="C908" i="59" s="1"/>
  <c r="K33" i="8"/>
  <c r="K850" i="59"/>
  <c r="G33" i="8"/>
  <c r="G850" i="59" s="1"/>
  <c r="C33" i="8"/>
  <c r="C850" i="59" s="1"/>
  <c r="H63" i="8"/>
  <c r="H880" i="59" s="1"/>
  <c r="D61" i="8"/>
  <c r="D878" i="59" s="1"/>
  <c r="I63" i="8"/>
  <c r="I880" i="59"/>
  <c r="E61" i="8"/>
  <c r="E878" i="59" s="1"/>
  <c r="J92" i="8"/>
  <c r="J909" i="59" s="1"/>
  <c r="B92" i="8"/>
  <c r="B909" i="59" s="1"/>
  <c r="J90" i="8"/>
  <c r="J907" i="59"/>
  <c r="F90" i="8"/>
  <c r="F907" i="59" s="1"/>
  <c r="B90" i="8"/>
  <c r="B907" i="59" s="1"/>
  <c r="J63" i="8"/>
  <c r="J880" i="59" s="1"/>
  <c r="F63" i="8"/>
  <c r="F880" i="59" s="1"/>
  <c r="B63" i="8"/>
  <c r="B880" i="59" s="1"/>
  <c r="J61" i="8"/>
  <c r="J878" i="59" s="1"/>
  <c r="F61" i="8"/>
  <c r="F878" i="59"/>
  <c r="B61" i="8"/>
  <c r="B878" i="59" s="1"/>
  <c r="J34" i="8"/>
  <c r="J851" i="59"/>
  <c r="F34" i="8"/>
  <c r="F851" i="59" s="1"/>
  <c r="B34" i="8"/>
  <c r="B851" i="59" s="1"/>
  <c r="J32" i="8"/>
  <c r="J849" i="59" s="1"/>
  <c r="F32" i="8"/>
  <c r="F849" i="59"/>
  <c r="B32" i="8"/>
  <c r="B849" i="59" s="1"/>
  <c r="K92" i="8"/>
  <c r="K909" i="59" s="1"/>
  <c r="G92" i="8"/>
  <c r="G909" i="59" s="1"/>
  <c r="C92" i="8"/>
  <c r="C909" i="59"/>
  <c r="K90" i="8"/>
  <c r="K907" i="59" s="1"/>
  <c r="G90" i="8"/>
  <c r="G907" i="59" s="1"/>
  <c r="C90" i="8"/>
  <c r="C907" i="59" s="1"/>
  <c r="K63" i="8"/>
  <c r="K880" i="59" s="1"/>
  <c r="G63" i="8"/>
  <c r="G880" i="59" s="1"/>
  <c r="C63" i="8"/>
  <c r="C880" i="59"/>
  <c r="K61" i="8"/>
  <c r="K878" i="59" s="1"/>
  <c r="G61" i="8"/>
  <c r="G878" i="59"/>
  <c r="C61" i="8"/>
  <c r="C878" i="59" s="1"/>
  <c r="K34" i="8"/>
  <c r="K851" i="59" s="1"/>
  <c r="G34" i="8"/>
  <c r="G851" i="59" s="1"/>
  <c r="C34" i="8"/>
  <c r="C851" i="59"/>
  <c r="K32" i="8"/>
  <c r="K849" i="59" s="1"/>
  <c r="G32" i="8"/>
  <c r="G849" i="59" s="1"/>
  <c r="C32" i="8"/>
  <c r="C849" i="59" s="1"/>
  <c r="E100" i="8"/>
  <c r="D107" i="8"/>
  <c r="D101" i="8"/>
  <c r="D115" i="8"/>
  <c r="C932" i="59"/>
  <c r="C924" i="59"/>
  <c r="D10" i="51"/>
  <c r="D36" i="8"/>
  <c r="D853" i="59"/>
  <c r="E115" i="8"/>
  <c r="D932" i="59"/>
  <c r="D918" i="59"/>
  <c r="D924" i="59"/>
  <c r="F100" i="8"/>
  <c r="E107" i="8"/>
  <c r="E101" i="8"/>
  <c r="E10" i="51"/>
  <c r="E36" i="8"/>
  <c r="E918" i="59"/>
  <c r="F115" i="8"/>
  <c r="F932" i="59"/>
  <c r="E932" i="59"/>
  <c r="F107" i="8"/>
  <c r="F924" i="59" s="1"/>
  <c r="F101" i="8"/>
  <c r="F10" i="51"/>
  <c r="E853" i="59"/>
  <c r="F36" i="8"/>
  <c r="F853" i="59"/>
  <c r="F918" i="59"/>
  <c r="G10" i="51"/>
  <c r="G36" i="8"/>
  <c r="H10" i="51"/>
  <c r="G853" i="59"/>
  <c r="H36" i="8"/>
  <c r="H853" i="59"/>
  <c r="I10" i="51"/>
  <c r="I36" i="8"/>
  <c r="C30" i="51"/>
  <c r="I853" i="59"/>
  <c r="J36" i="8"/>
  <c r="J853" i="59"/>
  <c r="D30" i="51"/>
  <c r="K36" i="8"/>
  <c r="E30" i="51"/>
  <c r="K853" i="59"/>
  <c r="B65" i="8"/>
  <c r="B882" i="59"/>
  <c r="F30" i="51"/>
  <c r="C65" i="8"/>
  <c r="G30" i="51"/>
  <c r="C882" i="59"/>
  <c r="D65" i="8"/>
  <c r="D882" i="59"/>
  <c r="H30" i="51"/>
  <c r="E65" i="8"/>
  <c r="I30" i="51"/>
  <c r="E882" i="59"/>
  <c r="F65" i="8"/>
  <c r="F882" i="59"/>
  <c r="C50" i="51"/>
  <c r="G65" i="8"/>
  <c r="D50" i="51"/>
  <c r="G882" i="59"/>
  <c r="H65" i="8"/>
  <c r="H882" i="59"/>
  <c r="E50" i="51"/>
  <c r="I65" i="8"/>
  <c r="F50" i="51"/>
  <c r="I882" i="59"/>
  <c r="J65" i="8"/>
  <c r="J882" i="59"/>
  <c r="K65" i="8"/>
  <c r="H50" i="51"/>
  <c r="G50" i="51"/>
  <c r="C87" i="55"/>
  <c r="K882" i="59"/>
  <c r="F60" i="54"/>
  <c r="O8" i="51"/>
  <c r="L93" i="49"/>
  <c r="L63" i="49"/>
  <c r="B94" i="8"/>
  <c r="B911" i="59"/>
  <c r="O14" i="51"/>
  <c r="O33" i="51"/>
  <c r="H63" i="51"/>
  <c r="C94" i="8"/>
  <c r="C911" i="59"/>
  <c r="D94" i="8"/>
  <c r="D911" i="59"/>
  <c r="E94" i="8"/>
  <c r="E911" i="59"/>
  <c r="F94" i="8"/>
  <c r="F911" i="59"/>
  <c r="G94" i="8"/>
  <c r="G911" i="59"/>
  <c r="H94" i="8"/>
  <c r="H911" i="59"/>
  <c r="I94" i="8"/>
  <c r="I911" i="59"/>
  <c r="J94" i="8"/>
  <c r="J911" i="59"/>
  <c r="K94" i="8"/>
  <c r="K911" i="59"/>
  <c r="B123" i="8"/>
  <c r="B940" i="59"/>
  <c r="C123" i="8"/>
  <c r="C940" i="59"/>
  <c r="D123" i="8"/>
  <c r="D940" i="59"/>
  <c r="E123" i="8"/>
  <c r="E940" i="59"/>
  <c r="F123" i="8"/>
  <c r="F940" i="59"/>
  <c r="F895" i="59" l="1"/>
  <c r="C895" i="59"/>
  <c r="F54" i="54"/>
  <c r="D33" i="55" s="1"/>
  <c r="D35" i="55" s="1"/>
  <c r="C34" i="57"/>
  <c r="I44" i="57" s="1"/>
  <c r="E52" i="50"/>
  <c r="K52" i="50"/>
  <c r="G52" i="50"/>
  <c r="F120" i="15"/>
  <c r="B19" i="8"/>
  <c r="N179" i="36"/>
  <c r="F517" i="59"/>
  <c r="F518" i="59"/>
  <c r="G59" i="50"/>
  <c r="E59" i="50"/>
  <c r="K59" i="50"/>
  <c r="K62" i="50" s="1"/>
  <c r="C62" i="50"/>
  <c r="K630" i="59"/>
  <c r="L630" i="59" s="1"/>
  <c r="Q630" i="59"/>
  <c r="GG630" i="59"/>
  <c r="FL630" i="59"/>
  <c r="HX630" i="59"/>
  <c r="GN630" i="59"/>
  <c r="HM630" i="59"/>
  <c r="FH630" i="59"/>
  <c r="JM630" i="59"/>
  <c r="HP630" i="59"/>
  <c r="GU630" i="59"/>
  <c r="FY630" i="59"/>
  <c r="FD630" i="59"/>
  <c r="JO630" i="59"/>
  <c r="HQ630" i="59"/>
  <c r="GV630" i="59"/>
  <c r="GA630" i="59"/>
  <c r="FE630" i="59"/>
  <c r="GM630" i="59"/>
  <c r="EV630" i="59"/>
  <c r="JL630" i="59"/>
  <c r="HD630" i="59"/>
  <c r="FC630" i="59"/>
  <c r="JE630" i="59"/>
  <c r="EW630" i="59"/>
  <c r="JD630" i="59"/>
  <c r="FW630" i="59"/>
  <c r="GY630" i="59"/>
  <c r="IA630" i="59"/>
  <c r="HE630" i="59"/>
  <c r="GJ630" i="59"/>
  <c r="FO630" i="59"/>
  <c r="IB630" i="59"/>
  <c r="HG630" i="59"/>
  <c r="GK630" i="59"/>
  <c r="FP630" i="59"/>
  <c r="GS630" i="59"/>
  <c r="JC630" i="59"/>
  <c r="HH630" i="59"/>
  <c r="FQ630" i="59"/>
  <c r="HY630" i="59"/>
  <c r="FX630" i="59"/>
  <c r="JP630" i="59"/>
  <c r="HT630" i="59"/>
  <c r="JG630" i="59"/>
  <c r="GO630" i="59"/>
  <c r="EY630" i="59"/>
  <c r="HW630" i="59"/>
  <c r="GF630" i="59"/>
  <c r="FG630" i="59"/>
  <c r="FA630" i="59"/>
  <c r="JK630" i="59"/>
  <c r="FS630" i="59"/>
  <c r="HU630" i="59"/>
  <c r="GE630" i="59"/>
  <c r="HL630" i="59"/>
  <c r="FU630" i="59"/>
  <c r="HS630" i="59"/>
  <c r="HO630" i="59"/>
  <c r="FI630" i="59"/>
  <c r="HA630" i="59"/>
  <c r="FM630" i="59"/>
  <c r="HI630" i="59"/>
  <c r="GR630" i="59"/>
  <c r="HK630" i="59"/>
  <c r="GQ630" i="59"/>
  <c r="GW630" i="59"/>
  <c r="EZ630" i="59"/>
  <c r="HC630" i="59"/>
  <c r="JN630" i="59"/>
  <c r="GZ630" i="59"/>
  <c r="JH630" i="59"/>
  <c r="GI630" i="59"/>
  <c r="JI630" i="59"/>
  <c r="GC630" i="59"/>
  <c r="GB630" i="59"/>
  <c r="EX630" i="59"/>
  <c r="FN630" i="59"/>
  <c r="GD630" i="59"/>
  <c r="GT630" i="59"/>
  <c r="HJ630" i="59"/>
  <c r="HZ630" i="59"/>
  <c r="JF630" i="59"/>
  <c r="FB630" i="59"/>
  <c r="FR630" i="59"/>
  <c r="GH630" i="59"/>
  <c r="GX630" i="59"/>
  <c r="HN630" i="59"/>
  <c r="JJ630" i="59"/>
  <c r="FZ630" i="59"/>
  <c r="HF630" i="59"/>
  <c r="FK630" i="59"/>
  <c r="FF630" i="59"/>
  <c r="GL630" i="59"/>
  <c r="HR630" i="59"/>
  <c r="JB630" i="59"/>
  <c r="FT630" i="59"/>
  <c r="FV630" i="59"/>
  <c r="HB630" i="59"/>
  <c r="CV667" i="59"/>
  <c r="BP667" i="59"/>
  <c r="AZ667" i="59"/>
  <c r="CS667" i="59"/>
  <c r="BM667" i="59"/>
  <c r="AW667" i="59"/>
  <c r="AP667" i="59"/>
  <c r="AY667" i="59"/>
  <c r="BC667" i="59"/>
  <c r="AT667" i="59"/>
  <c r="BR667" i="59"/>
  <c r="BL667" i="59"/>
  <c r="AV667" i="59"/>
  <c r="BI667" i="59"/>
  <c r="AS667" i="59"/>
  <c r="CT667" i="59"/>
  <c r="BN667" i="59"/>
  <c r="AQ667" i="59"/>
  <c r="BK667" i="59"/>
  <c r="BS667" i="59"/>
  <c r="BH667" i="59"/>
  <c r="BA667" i="59"/>
  <c r="BO667" i="59"/>
  <c r="AU667" i="59"/>
  <c r="BB667" i="59"/>
  <c r="AR667" i="59"/>
  <c r="BD667" i="59"/>
  <c r="BF667" i="59"/>
  <c r="CU667" i="59"/>
  <c r="BG667" i="59"/>
  <c r="CW667" i="59"/>
  <c r="BE667" i="59"/>
  <c r="AX667" i="59"/>
  <c r="V667" i="59"/>
  <c r="IJ667" i="59"/>
  <c r="CF667" i="59"/>
  <c r="AJ667" i="59"/>
  <c r="IG667" i="59"/>
  <c r="CC667" i="59"/>
  <c r="AG667" i="59"/>
  <c r="II667" i="59"/>
  <c r="CE667" i="59"/>
  <c r="CA667" i="59"/>
  <c r="CP667" i="59"/>
  <c r="AL667" i="59"/>
  <c r="W667" i="59"/>
  <c r="IF667" i="59"/>
  <c r="CR667" i="59"/>
  <c r="CB667" i="59"/>
  <c r="AF667" i="59"/>
  <c r="IC667" i="59"/>
  <c r="CO667" i="59"/>
  <c r="BY667" i="59"/>
  <c r="AC667" i="59"/>
  <c r="AH667" i="59"/>
  <c r="IL667" i="59"/>
  <c r="ID667" i="59"/>
  <c r="CN667" i="59"/>
  <c r="AB667" i="59"/>
  <c r="CG667" i="59"/>
  <c r="A667" i="59"/>
  <c r="IE667" i="59"/>
  <c r="CJ667" i="59"/>
  <c r="X667" i="59"/>
  <c r="AO667" i="59"/>
  <c r="AE667" i="59"/>
  <c r="AD667" i="59"/>
  <c r="CI667" i="59"/>
  <c r="BZ667" i="59"/>
  <c r="AN667" i="59"/>
  <c r="IH667" i="59"/>
  <c r="CD667" i="59"/>
  <c r="CH667" i="59"/>
  <c r="Y667" i="59"/>
  <c r="AA667" i="59"/>
  <c r="AM667" i="59"/>
  <c r="Z666" i="59"/>
  <c r="BB666" i="59"/>
  <c r="CX666" i="59"/>
  <c r="ID666" i="59"/>
  <c r="CA666" i="59"/>
  <c r="AM666" i="59"/>
  <c r="HF666" i="59"/>
  <c r="BW666" i="59"/>
  <c r="AL666" i="59"/>
  <c r="CL666" i="59"/>
  <c r="BA666" i="59"/>
  <c r="GT666" i="59"/>
  <c r="AS666" i="59"/>
  <c r="FN666" i="59"/>
  <c r="FB666" i="59"/>
  <c r="HU666" i="59"/>
  <c r="HN666" i="59"/>
  <c r="FI666" i="59"/>
  <c r="CG666" i="59"/>
  <c r="BC666" i="59"/>
  <c r="AA666" i="59"/>
  <c r="BM666" i="59"/>
  <c r="CS666" i="59"/>
  <c r="BG666" i="59"/>
  <c r="V666" i="59"/>
  <c r="CQ666" i="59"/>
  <c r="BF666" i="59"/>
  <c r="FR666" i="59"/>
  <c r="BS666" i="59"/>
  <c r="AG666" i="59"/>
  <c r="AK666" i="59"/>
  <c r="IH666" i="59"/>
  <c r="GW666" i="59"/>
  <c r="HE666" i="59"/>
  <c r="GH666" i="59"/>
  <c r="FF666" i="59"/>
  <c r="IJ666" i="59"/>
  <c r="GL666" i="59"/>
  <c r="CT666" i="59"/>
  <c r="BR666" i="59"/>
  <c r="AP666" i="59"/>
  <c r="BQ666" i="59"/>
  <c r="CY666" i="59"/>
  <c r="AC666" i="59"/>
  <c r="AQ666" i="59"/>
  <c r="BV666" i="59"/>
  <c r="CD666" i="59"/>
  <c r="HR666" i="59"/>
  <c r="HJ666" i="59"/>
  <c r="GX666" i="59"/>
  <c r="BY666" i="59"/>
  <c r="II666" i="59"/>
  <c r="HI666" i="59"/>
  <c r="GC666" i="59"/>
  <c r="EW666" i="59"/>
  <c r="CN666" i="59"/>
  <c r="BX666" i="59"/>
  <c r="BH666" i="59"/>
  <c r="AR666" i="59"/>
  <c r="AB666" i="59"/>
  <c r="HV666" i="59"/>
  <c r="GG666" i="59"/>
  <c r="DA666" i="59"/>
  <c r="CE666" i="59"/>
  <c r="BJ666" i="59"/>
  <c r="AO666" i="59"/>
  <c r="IM666" i="59"/>
  <c r="EI666" i="59"/>
  <c r="DS666" i="59"/>
  <c r="DC666" i="59"/>
  <c r="IN666" i="59"/>
  <c r="EF666" i="59"/>
  <c r="DP666" i="59"/>
  <c r="JA666" i="59"/>
  <c r="EC666" i="59"/>
  <c r="IX666" i="59"/>
  <c r="DZ666" i="59"/>
  <c r="EO666" i="59"/>
  <c r="ED666" i="59"/>
  <c r="IO666" i="59"/>
  <c r="HO666" i="59"/>
  <c r="GY666" i="59"/>
  <c r="GI666" i="59"/>
  <c r="FS666" i="59"/>
  <c r="FC666" i="59"/>
  <c r="HT666" i="59"/>
  <c r="HD666" i="59"/>
  <c r="GN666" i="59"/>
  <c r="FX666" i="59"/>
  <c r="FH666" i="59"/>
  <c r="AX666" i="59"/>
  <c r="CH666" i="59"/>
  <c r="CW666" i="59"/>
  <c r="W666" i="59"/>
  <c r="IG666" i="59"/>
  <c r="GD666" i="59"/>
  <c r="EX666" i="59"/>
  <c r="FY666" i="59"/>
  <c r="BK666" i="59"/>
  <c r="IE666" i="59"/>
  <c r="HA666" i="59"/>
  <c r="FU666" i="59"/>
  <c r="CZ666" i="59"/>
  <c r="CJ666" i="59"/>
  <c r="BT666" i="59"/>
  <c r="BD666" i="59"/>
  <c r="AN666" i="59"/>
  <c r="X666" i="59"/>
  <c r="HM666" i="59"/>
  <c r="FV666" i="59"/>
  <c r="CU666" i="59"/>
  <c r="BZ666" i="59"/>
  <c r="BE666" i="59"/>
  <c r="AI666" i="59"/>
  <c r="IL666" i="59"/>
  <c r="BI666" i="59"/>
  <c r="CO666" i="59"/>
  <c r="FQ666" i="59"/>
  <c r="BN666" i="59"/>
  <c r="DF666" i="59"/>
  <c r="HZ666" i="59"/>
  <c r="AW666" i="59"/>
  <c r="HY666" i="59"/>
  <c r="FM666" i="59"/>
  <c r="CF666" i="59"/>
  <c r="AZ666" i="59"/>
  <c r="IK666" i="59"/>
  <c r="FJ666" i="59"/>
  <c r="BU666" i="59"/>
  <c r="AD666" i="59"/>
  <c r="EU666" i="59"/>
  <c r="EA666" i="59"/>
  <c r="DG666" i="59"/>
  <c r="ER666" i="59"/>
  <c r="DX666" i="59"/>
  <c r="DD666" i="59"/>
  <c r="DU666" i="59"/>
  <c r="EP666" i="59"/>
  <c r="IW666" i="59"/>
  <c r="DN666" i="59"/>
  <c r="CI666" i="59"/>
  <c r="IC666" i="59"/>
  <c r="GK666" i="59"/>
  <c r="CB666" i="59"/>
  <c r="AJ666" i="59"/>
  <c r="GP666" i="59"/>
  <c r="BO666" i="59"/>
  <c r="IU666" i="59"/>
  <c r="EE666" i="59"/>
  <c r="IZ666" i="59"/>
  <c r="EJ666" i="59"/>
  <c r="DH666" i="59"/>
  <c r="DM666" i="59"/>
  <c r="DR666" i="59"/>
  <c r="ET666" i="59"/>
  <c r="EG666" i="59"/>
  <c r="IA666" i="59"/>
  <c r="HG666" i="59"/>
  <c r="GM666" i="59"/>
  <c r="FO666" i="59"/>
  <c r="IB666" i="59"/>
  <c r="HH666" i="59"/>
  <c r="GJ666" i="59"/>
  <c r="FP666" i="59"/>
  <c r="EV666" i="59"/>
  <c r="AE666" i="59"/>
  <c r="DB666" i="59"/>
  <c r="FE666" i="59"/>
  <c r="BP666" i="59"/>
  <c r="AF666" i="59"/>
  <c r="FA666" i="59"/>
  <c r="AY666" i="59"/>
  <c r="IQ666" i="59"/>
  <c r="DW666" i="59"/>
  <c r="IV666" i="59"/>
  <c r="EB666" i="59"/>
  <c r="IS666" i="59"/>
  <c r="DE666" i="59"/>
  <c r="DJ666" i="59"/>
  <c r="IT666" i="59"/>
  <c r="EL666" i="59"/>
  <c r="HW666" i="59"/>
  <c r="HC666" i="59"/>
  <c r="GE666" i="59"/>
  <c r="FK666" i="59"/>
  <c r="HX666" i="59"/>
  <c r="GZ666" i="59"/>
  <c r="GF666" i="59"/>
  <c r="FL666" i="59"/>
  <c r="AU666" i="59"/>
  <c r="GO666" i="59"/>
  <c r="GS666" i="59"/>
  <c r="AV666" i="59"/>
  <c r="CK666" i="59"/>
  <c r="IY666" i="59"/>
  <c r="DK666" i="59"/>
  <c r="DL666" i="59"/>
  <c r="EH666" i="59"/>
  <c r="DQ666" i="59"/>
  <c r="HK666" i="59"/>
  <c r="FW666" i="59"/>
  <c r="HL666" i="59"/>
  <c r="FT666" i="59"/>
  <c r="JO666" i="59"/>
  <c r="JP666" i="59"/>
  <c r="JI666" i="59"/>
  <c r="JF666" i="59"/>
  <c r="AH666" i="59"/>
  <c r="CR666" i="59"/>
  <c r="HB666" i="59"/>
  <c r="Y666" i="59"/>
  <c r="EM666" i="59"/>
  <c r="EN666" i="59"/>
  <c r="EK666" i="59"/>
  <c r="DI666" i="59"/>
  <c r="GQ666" i="59"/>
  <c r="EY666" i="59"/>
  <c r="GR666" i="59"/>
  <c r="EZ666" i="59"/>
  <c r="HQ666" i="59"/>
  <c r="CP666" i="59"/>
  <c r="EQ666" i="59"/>
  <c r="ES666" i="59"/>
  <c r="FG666" i="59"/>
  <c r="FD666" i="59"/>
  <c r="JC666" i="59"/>
  <c r="JJ666" i="59"/>
  <c r="A666" i="59"/>
  <c r="CV666" i="59"/>
  <c r="AT666" i="59"/>
  <c r="DO666" i="59"/>
  <c r="IP666" i="59"/>
  <c r="HS666" i="59"/>
  <c r="HP666" i="59"/>
  <c r="JL666" i="59"/>
  <c r="JB666" i="59"/>
  <c r="JM666" i="59"/>
  <c r="BL666" i="59"/>
  <c r="DV666" i="59"/>
  <c r="GB666" i="59"/>
  <c r="JD666" i="59"/>
  <c r="CM666" i="59"/>
  <c r="IF666" i="59"/>
  <c r="IR666" i="59"/>
  <c r="GU666" i="59"/>
  <c r="JK666" i="59"/>
  <c r="JN666" i="59"/>
  <c r="CC666" i="59"/>
  <c r="DT666" i="59"/>
  <c r="GA666" i="59"/>
  <c r="JG666" i="59"/>
  <c r="JE666" i="59"/>
  <c r="JH666" i="59"/>
  <c r="FZ666" i="59"/>
  <c r="DY666" i="59"/>
  <c r="K665" i="59"/>
  <c r="L665" i="59" s="1"/>
  <c r="Q665" i="59"/>
  <c r="A665" i="59"/>
  <c r="IV664" i="59"/>
  <c r="HI664" i="59"/>
  <c r="AY664" i="59"/>
  <c r="GA664" i="59"/>
  <c r="DM664" i="59"/>
  <c r="EU664" i="59"/>
  <c r="GG664" i="59"/>
  <c r="IE664" i="59"/>
  <c r="IG664" i="59"/>
  <c r="BA664" i="59"/>
  <c r="ID664" i="59"/>
  <c r="CY664" i="59"/>
  <c r="JN664" i="59"/>
  <c r="IX664" i="59"/>
  <c r="IH664" i="59"/>
  <c r="JO664" i="59"/>
  <c r="IY664" i="59"/>
  <c r="II664" i="59"/>
  <c r="HO664" i="59"/>
  <c r="IO664" i="59"/>
  <c r="HH664" i="59"/>
  <c r="GR664" i="59"/>
  <c r="GB664" i="59"/>
  <c r="FL664" i="59"/>
  <c r="EV664" i="59"/>
  <c r="EF664" i="59"/>
  <c r="DP664" i="59"/>
  <c r="CZ664" i="59"/>
  <c r="CJ664" i="59"/>
  <c r="BT664" i="59"/>
  <c r="BD664" i="59"/>
  <c r="AN664" i="59"/>
  <c r="X664" i="59"/>
  <c r="HT664" i="59"/>
  <c r="GU664" i="59"/>
  <c r="FZ664" i="59"/>
  <c r="FE664" i="59"/>
  <c r="EI664" i="59"/>
  <c r="DN664" i="59"/>
  <c r="CS664" i="59"/>
  <c r="BW664" i="59"/>
  <c r="BB664" i="59"/>
  <c r="AG664" i="59"/>
  <c r="JA664" i="59"/>
  <c r="HE664" i="59"/>
  <c r="GC664" i="59"/>
  <c r="FA664" i="59"/>
  <c r="DW664" i="59"/>
  <c r="CU664" i="59"/>
  <c r="BS664" i="59"/>
  <c r="AP664" i="59"/>
  <c r="IS664" i="59"/>
  <c r="GS664" i="59"/>
  <c r="FF664" i="59"/>
  <c r="DU664" i="59"/>
  <c r="CI664" i="59"/>
  <c r="AU664" i="59"/>
  <c r="HP664" i="59"/>
  <c r="FR664" i="59"/>
  <c r="DR664" i="59"/>
  <c r="BU664" i="59"/>
  <c r="W664" i="59"/>
  <c r="GL664" i="59"/>
  <c r="DV664" i="59"/>
  <c r="BC664" i="59"/>
  <c r="HG664" i="59"/>
  <c r="EP664" i="59"/>
  <c r="CA664" i="59"/>
  <c r="CD664" i="59"/>
  <c r="IF664" i="59"/>
  <c r="FM664" i="59"/>
  <c r="JF664" i="59"/>
  <c r="IL664" i="59"/>
  <c r="JK664" i="59"/>
  <c r="IQ664" i="59"/>
  <c r="HS664" i="59"/>
  <c r="HY664" i="59"/>
  <c r="GZ664" i="59"/>
  <c r="GF664" i="59"/>
  <c r="FH664" i="59"/>
  <c r="EN664" i="59"/>
  <c r="DT664" i="59"/>
  <c r="CV664" i="59"/>
  <c r="CB664" i="59"/>
  <c r="BH664" i="59"/>
  <c r="AJ664" i="59"/>
  <c r="IZ664" i="59"/>
  <c r="HA664" i="59"/>
  <c r="FU664" i="59"/>
  <c r="ET664" i="59"/>
  <c r="DS664" i="59"/>
  <c r="CM664" i="59"/>
  <c r="BM664" i="59"/>
  <c r="AL664" i="59"/>
  <c r="IK664" i="59"/>
  <c r="GQ664" i="59"/>
  <c r="FG664" i="59"/>
  <c r="DQ664" i="59"/>
  <c r="CG664" i="59"/>
  <c r="AX664" i="59"/>
  <c r="IB664" i="59"/>
  <c r="FY664" i="59"/>
  <c r="EC664" i="59"/>
  <c r="BY664" i="59"/>
  <c r="AD664" i="59"/>
  <c r="GD664" i="59"/>
  <c r="DF664" i="59"/>
  <c r="AT664" i="59"/>
  <c r="GY664" i="59"/>
  <c r="DE664" i="59"/>
  <c r="Y664" i="59"/>
  <c r="FI664" i="59"/>
  <c r="BJ664" i="59"/>
  <c r="CK664" i="59"/>
  <c r="BN664" i="59"/>
  <c r="GT664" i="59"/>
  <c r="AK664" i="59"/>
  <c r="GW664" i="59"/>
  <c r="JB664" i="59"/>
  <c r="HZ664" i="59"/>
  <c r="JG664" i="59"/>
  <c r="IM664" i="59"/>
  <c r="JM664" i="59"/>
  <c r="HQ664" i="59"/>
  <c r="GV664" i="59"/>
  <c r="FX664" i="59"/>
  <c r="FD664" i="59"/>
  <c r="EJ664" i="59"/>
  <c r="DL664" i="59"/>
  <c r="CR664" i="59"/>
  <c r="BX664" i="59"/>
  <c r="AZ664" i="59"/>
  <c r="AF664" i="59"/>
  <c r="IN664" i="59"/>
  <c r="GP664" i="59"/>
  <c r="FO664" i="59"/>
  <c r="EO664" i="59"/>
  <c r="DI664" i="59"/>
  <c r="CH664" i="59"/>
  <c r="BG664" i="59"/>
  <c r="AA664" i="59"/>
  <c r="HX664" i="59"/>
  <c r="GI664" i="59"/>
  <c r="ES664" i="59"/>
  <c r="DJ664" i="59"/>
  <c r="BZ664" i="59"/>
  <c r="AI664" i="59"/>
  <c r="HJ664" i="59"/>
  <c r="FQ664" i="59"/>
  <c r="DK664" i="59"/>
  <c r="BO664" i="59"/>
  <c r="IR664" i="59"/>
  <c r="FC664" i="59"/>
  <c r="CT664" i="59"/>
  <c r="AH664" i="59"/>
  <c r="FS664" i="59"/>
  <c r="CL664" i="59"/>
  <c r="JH664" i="59"/>
  <c r="DZ664" i="59"/>
  <c r="AS664" i="59"/>
  <c r="EX664" i="59"/>
  <c r="CW664" i="59"/>
  <c r="IJ664" i="59"/>
  <c r="BQ664" i="59"/>
  <c r="HV664" i="59"/>
  <c r="IA664" i="59"/>
  <c r="HL664" i="59"/>
  <c r="FT664" i="59"/>
  <c r="EB664" i="59"/>
  <c r="CN664" i="59"/>
  <c r="AV664" i="59"/>
  <c r="HK664" i="59"/>
  <c r="FJ664" i="59"/>
  <c r="DC664" i="59"/>
  <c r="AW664" i="59"/>
  <c r="HM664" i="59"/>
  <c r="EL664" i="59"/>
  <c r="BK664" i="59"/>
  <c r="HB664" i="59"/>
  <c r="DA664" i="59"/>
  <c r="HC664" i="59"/>
  <c r="CE664" i="59"/>
  <c r="FB664" i="59"/>
  <c r="GM664" i="59"/>
  <c r="Z664" i="59"/>
  <c r="HN664" i="59"/>
  <c r="Q664" i="59"/>
  <c r="V664" i="59"/>
  <c r="EH664" i="59"/>
  <c r="JJ664" i="59"/>
  <c r="HR664" i="59"/>
  <c r="HW664" i="59"/>
  <c r="HD664" i="59"/>
  <c r="FP664" i="59"/>
  <c r="DX664" i="59"/>
  <c r="CF664" i="59"/>
  <c r="AR664" i="59"/>
  <c r="HF664" i="59"/>
  <c r="EY664" i="59"/>
  <c r="CX664" i="59"/>
  <c r="AQ664" i="59"/>
  <c r="GX664" i="59"/>
  <c r="EE664" i="59"/>
  <c r="BE664" i="59"/>
  <c r="GH664" i="59"/>
  <c r="CQ664" i="59"/>
  <c r="GO664" i="59"/>
  <c r="BI664" i="59"/>
  <c r="EK664" i="59"/>
  <c r="FW664" i="59"/>
  <c r="AE664" i="59"/>
  <c r="IC664" i="59"/>
  <c r="IT664" i="59"/>
  <c r="JC664" i="59"/>
  <c r="JE664" i="59"/>
  <c r="GN664" i="59"/>
  <c r="EZ664" i="59"/>
  <c r="DH664" i="59"/>
  <c r="BP664" i="59"/>
  <c r="AB664" i="59"/>
  <c r="GK664" i="59"/>
  <c r="ED664" i="59"/>
  <c r="CC664" i="59"/>
  <c r="FV664" i="59"/>
  <c r="DB664" i="59"/>
  <c r="AC664" i="59"/>
  <c r="EW664" i="59"/>
  <c r="BF664" i="59"/>
  <c r="EQ664" i="59"/>
  <c r="JD664" i="59"/>
  <c r="BV664" i="59"/>
  <c r="DG664" i="59"/>
  <c r="A664" i="59"/>
  <c r="IP664" i="59"/>
  <c r="ER664" i="59"/>
  <c r="GE664" i="59"/>
  <c r="FN664" i="59"/>
  <c r="AM664" i="59"/>
  <c r="CP664" i="59"/>
  <c r="EA664" i="59"/>
  <c r="IW664" i="59"/>
  <c r="BL664" i="59"/>
  <c r="BR664" i="59"/>
  <c r="JL664" i="59"/>
  <c r="HU664" i="59"/>
  <c r="K663" i="59"/>
  <c r="L663" i="59" s="1"/>
  <c r="Q663" i="59"/>
  <c r="A663" i="59"/>
  <c r="JK662" i="59"/>
  <c r="JG662" i="59"/>
  <c r="JM662" i="59"/>
  <c r="JH662" i="59"/>
  <c r="JJ662" i="59"/>
  <c r="JF662" i="59"/>
  <c r="L662" i="59"/>
  <c r="JE662" i="59"/>
  <c r="JP662" i="59"/>
  <c r="JO662" i="59"/>
  <c r="JN662" i="59"/>
  <c r="JB662" i="59"/>
  <c r="JL662" i="59"/>
  <c r="JI662" i="59"/>
  <c r="JD662" i="59"/>
  <c r="JC662" i="59"/>
  <c r="CS661" i="59"/>
  <c r="BE661" i="59"/>
  <c r="CU661" i="59"/>
  <c r="AZ661" i="59"/>
  <c r="BO661" i="59"/>
  <c r="BR661" i="59"/>
  <c r="BS661" i="59"/>
  <c r="AV661" i="59"/>
  <c r="CW661" i="59"/>
  <c r="BA661" i="59"/>
  <c r="BK661" i="59"/>
  <c r="CV661" i="59"/>
  <c r="BG661" i="59"/>
  <c r="AR661" i="59"/>
  <c r="BQ661" i="59"/>
  <c r="AW661" i="59"/>
  <c r="BF661" i="59"/>
  <c r="BH661" i="59"/>
  <c r="AX661" i="59"/>
  <c r="BJ661" i="59"/>
  <c r="AS661" i="59"/>
  <c r="BB661" i="59"/>
  <c r="BC661" i="59"/>
  <c r="BM661" i="59"/>
  <c r="AU661" i="59"/>
  <c r="CT661" i="59"/>
  <c r="BP661" i="59"/>
  <c r="AQ661" i="59"/>
  <c r="AP661" i="59"/>
  <c r="AY661" i="59"/>
  <c r="BL661" i="59"/>
  <c r="BN661" i="59"/>
  <c r="AT661" i="59"/>
  <c r="BD661" i="59"/>
  <c r="CB661" i="59"/>
  <c r="IH661" i="59"/>
  <c r="AA661" i="59"/>
  <c r="CK661" i="59"/>
  <c r="AO661" i="59"/>
  <c r="Y661" i="59"/>
  <c r="IF661" i="59"/>
  <c r="CE661" i="59"/>
  <c r="Z661" i="59"/>
  <c r="CA661" i="59"/>
  <c r="AN661" i="59"/>
  <c r="CI661" i="59"/>
  <c r="W661" i="59"/>
  <c r="AB661" i="59"/>
  <c r="IC661" i="59"/>
  <c r="BY661" i="59"/>
  <c r="BZ661" i="59"/>
  <c r="IJ661" i="59"/>
  <c r="AM661" i="59"/>
  <c r="CD661" i="59"/>
  <c r="AI661" i="59"/>
  <c r="A661" i="59"/>
  <c r="CO661" i="59"/>
  <c r="AK661" i="59"/>
  <c r="AJ661" i="59"/>
  <c r="ID661" i="59"/>
  <c r="AF661" i="59"/>
  <c r="AD661" i="59"/>
  <c r="IE661" i="59"/>
  <c r="IK661" i="59"/>
  <c r="AG661" i="59"/>
  <c r="AE661" i="59"/>
  <c r="CN661" i="59"/>
  <c r="IL661" i="59"/>
  <c r="CF661" i="59"/>
  <c r="IG661" i="59"/>
  <c r="AC661" i="59"/>
  <c r="CH661" i="59"/>
  <c r="CM661" i="59"/>
  <c r="AH661" i="59"/>
  <c r="AL661" i="59"/>
  <c r="CG661" i="59"/>
  <c r="CP661" i="59"/>
  <c r="X661" i="59"/>
  <c r="V661" i="59"/>
  <c r="CC661" i="59"/>
  <c r="CQ661" i="59"/>
  <c r="CJ661" i="59"/>
  <c r="CL661" i="59"/>
  <c r="CQ660" i="59"/>
  <c r="FN660" i="59"/>
  <c r="AL660" i="59"/>
  <c r="BW660" i="59"/>
  <c r="JF660" i="59"/>
  <c r="EV660" i="59"/>
  <c r="HS660" i="59"/>
  <c r="BD660" i="59"/>
  <c r="A660" i="59"/>
  <c r="GZ660" i="59"/>
  <c r="GH660" i="59"/>
  <c r="EB660" i="59"/>
  <c r="JP660" i="59"/>
  <c r="IF660" i="59"/>
  <c r="IO660" i="59"/>
  <c r="AN660" i="59"/>
  <c r="FR660" i="59"/>
  <c r="BZ660" i="59"/>
  <c r="HC660" i="59"/>
  <c r="DL660" i="59"/>
  <c r="CJ660" i="59"/>
  <c r="FG660" i="59"/>
  <c r="JC660" i="59"/>
  <c r="IM660" i="59"/>
  <c r="JD660" i="59"/>
  <c r="IH660" i="59"/>
  <c r="HM660" i="59"/>
  <c r="GW660" i="59"/>
  <c r="GG660" i="59"/>
  <c r="FQ660" i="59"/>
  <c r="FA660" i="59"/>
  <c r="EK660" i="59"/>
  <c r="DU660" i="59"/>
  <c r="DE660" i="59"/>
  <c r="CO660" i="59"/>
  <c r="BY660" i="59"/>
  <c r="BI660" i="59"/>
  <c r="AS660" i="59"/>
  <c r="AC660" i="59"/>
  <c r="IW660" i="59"/>
  <c r="HW660" i="59"/>
  <c r="HB660" i="59"/>
  <c r="GF660" i="59"/>
  <c r="FK660" i="59"/>
  <c r="EP660" i="59"/>
  <c r="DT660" i="59"/>
  <c r="CY660" i="59"/>
  <c r="CD660" i="59"/>
  <c r="BH660" i="59"/>
  <c r="AM660" i="59"/>
  <c r="JM660" i="59"/>
  <c r="IA660" i="59"/>
  <c r="GY660" i="59"/>
  <c r="FW660" i="59"/>
  <c r="ET660" i="59"/>
  <c r="DR660" i="59"/>
  <c r="CP660" i="59"/>
  <c r="BL660" i="59"/>
  <c r="AJ660" i="59"/>
  <c r="IV660" i="59"/>
  <c r="GU660" i="59"/>
  <c r="FJ660" i="59"/>
  <c r="DW660" i="59"/>
  <c r="CL660" i="59"/>
  <c r="AZ660" i="59"/>
  <c r="JJ660" i="59"/>
  <c r="HP660" i="59"/>
  <c r="GE660" i="59"/>
  <c r="IR660" i="59"/>
  <c r="AE660" i="59"/>
  <c r="DV660" i="59"/>
  <c r="HK660" i="59"/>
  <c r="IY660" i="59"/>
  <c r="JN660" i="59"/>
  <c r="IN660" i="59"/>
  <c r="HI660" i="59"/>
  <c r="GO660" i="59"/>
  <c r="FU660" i="59"/>
  <c r="EW660" i="59"/>
  <c r="EC660" i="59"/>
  <c r="DI660" i="59"/>
  <c r="CK660" i="59"/>
  <c r="BQ660" i="59"/>
  <c r="AW660" i="59"/>
  <c r="Y660" i="59"/>
  <c r="IJ660" i="59"/>
  <c r="HG660" i="59"/>
  <c r="GA660" i="59"/>
  <c r="EZ660" i="59"/>
  <c r="DZ660" i="59"/>
  <c r="CT660" i="59"/>
  <c r="BS660" i="59"/>
  <c r="AR660" i="59"/>
  <c r="JB660" i="59"/>
  <c r="HN660" i="59"/>
  <c r="GD660" i="59"/>
  <c r="EM660" i="59"/>
  <c r="DC660" i="59"/>
  <c r="BT660" i="59"/>
  <c r="AD660" i="59"/>
  <c r="HO660" i="59"/>
  <c r="FS660" i="59"/>
  <c r="DN660" i="59"/>
  <c r="BR660" i="59"/>
  <c r="X660" i="59"/>
  <c r="HH660" i="59"/>
  <c r="FL660" i="59"/>
  <c r="EA660" i="59"/>
  <c r="CM660" i="59"/>
  <c r="BB660" i="59"/>
  <c r="CR660" i="59"/>
  <c r="IG660" i="59"/>
  <c r="AU660" i="59"/>
  <c r="DS660" i="59"/>
  <c r="GP660" i="59"/>
  <c r="DH660" i="59"/>
  <c r="EX660" i="59"/>
  <c r="AV660" i="59"/>
  <c r="EN660" i="59"/>
  <c r="JO660" i="59"/>
  <c r="IU660" i="59"/>
  <c r="JI660" i="59"/>
  <c r="HY660" i="59"/>
  <c r="HE660" i="59"/>
  <c r="GK660" i="59"/>
  <c r="FM660" i="59"/>
  <c r="ES660" i="59"/>
  <c r="DY660" i="59"/>
  <c r="DA660" i="59"/>
  <c r="CG660" i="59"/>
  <c r="BM660" i="59"/>
  <c r="AO660" i="59"/>
  <c r="JL660" i="59"/>
  <c r="IB660" i="59"/>
  <c r="GV660" i="59"/>
  <c r="FV660" i="59"/>
  <c r="EU660" i="59"/>
  <c r="DO660" i="59"/>
  <c r="CN660" i="59"/>
  <c r="BN660" i="59"/>
  <c r="AH660" i="59"/>
  <c r="IT660" i="59"/>
  <c r="HF660" i="59"/>
  <c r="FO660" i="59"/>
  <c r="EF660" i="59"/>
  <c r="CV660" i="59"/>
  <c r="BF660" i="59"/>
  <c r="V660" i="59"/>
  <c r="HD660" i="59"/>
  <c r="EY660" i="59"/>
  <c r="DF660" i="59"/>
  <c r="BJ660" i="59"/>
  <c r="IZ660" i="59"/>
  <c r="GX660" i="59"/>
  <c r="FC660" i="59"/>
  <c r="DP660" i="59"/>
  <c r="CE660" i="59"/>
  <c r="AT660" i="59"/>
  <c r="ED660" i="59"/>
  <c r="BO660" i="59"/>
  <c r="EL660" i="59"/>
  <c r="HJ660" i="59"/>
  <c r="DB660" i="59"/>
  <c r="JK660" i="59"/>
  <c r="IX660" i="59"/>
  <c r="HA660" i="59"/>
  <c r="FI660" i="59"/>
  <c r="DQ660" i="59"/>
  <c r="CC660" i="59"/>
  <c r="AK660" i="59"/>
  <c r="HR660" i="59"/>
  <c r="FP660" i="59"/>
  <c r="DJ660" i="59"/>
  <c r="BC660" i="59"/>
  <c r="IK660" i="59"/>
  <c r="FH660" i="59"/>
  <c r="CH660" i="59"/>
  <c r="JH660" i="59"/>
  <c r="EQ660" i="59"/>
  <c r="AP660" i="59"/>
  <c r="GN660" i="59"/>
  <c r="DG660" i="59"/>
  <c r="AI660" i="59"/>
  <c r="GI660" i="59"/>
  <c r="IC660" i="59"/>
  <c r="CF660" i="59"/>
  <c r="ID660" i="59"/>
  <c r="EO660" i="59"/>
  <c r="JE660" i="59"/>
  <c r="EJ660" i="59"/>
  <c r="AB660" i="59"/>
  <c r="AY660" i="59"/>
  <c r="CU660" i="59"/>
  <c r="ER660" i="59"/>
  <c r="FZ660" i="59"/>
  <c r="JG660" i="59"/>
  <c r="IS660" i="59"/>
  <c r="GS660" i="59"/>
  <c r="FE660" i="59"/>
  <c r="DM660" i="59"/>
  <c r="BU660" i="59"/>
  <c r="AG660" i="59"/>
  <c r="HL660" i="59"/>
  <c r="FF660" i="59"/>
  <c r="DD660" i="59"/>
  <c r="AX660" i="59"/>
  <c r="HT660" i="59"/>
  <c r="FB660" i="59"/>
  <c r="CA660" i="59"/>
  <c r="HX660" i="59"/>
  <c r="EH660" i="59"/>
  <c r="AF660" i="59"/>
  <c r="FT660" i="59"/>
  <c r="CX660" i="59"/>
  <c r="Z660" i="59"/>
  <c r="HV660" i="59"/>
  <c r="CZ660" i="59"/>
  <c r="JA660" i="59"/>
  <c r="GT660" i="59"/>
  <c r="IQ660" i="59"/>
  <c r="HU660" i="59"/>
  <c r="GC660" i="59"/>
  <c r="CW660" i="59"/>
  <c r="BE660" i="59"/>
  <c r="GQ660" i="59"/>
  <c r="CI660" i="59"/>
  <c r="GR660" i="59"/>
  <c r="DX660" i="59"/>
  <c r="GM660" i="59"/>
  <c r="IL660" i="59"/>
  <c r="BV660" i="59"/>
  <c r="BP660" i="59"/>
  <c r="HQ660" i="59"/>
  <c r="BA660" i="59"/>
  <c r="BX660" i="59"/>
  <c r="AQ660" i="59"/>
  <c r="EI660" i="59"/>
  <c r="IE660" i="59"/>
  <c r="Q660" i="59"/>
  <c r="EG660" i="59"/>
  <c r="GL660" i="59"/>
  <c r="GJ660" i="59"/>
  <c r="CB660" i="59"/>
  <c r="FD660" i="59"/>
  <c r="K659" i="59"/>
  <c r="L659" i="59" s="1"/>
  <c r="Q659" i="59"/>
  <c r="A659" i="59"/>
  <c r="JD658" i="59"/>
  <c r="JL658" i="59"/>
  <c r="JN658" i="59"/>
  <c r="A658" i="59"/>
  <c r="JP658" i="59"/>
  <c r="JG658" i="59"/>
  <c r="JJ658" i="59"/>
  <c r="JM658" i="59"/>
  <c r="JI658" i="59"/>
  <c r="L658" i="59"/>
  <c r="JH658" i="59"/>
  <c r="JF658" i="59"/>
  <c r="JC658" i="59"/>
  <c r="JO658" i="59"/>
  <c r="JB658" i="59"/>
  <c r="BF657" i="59"/>
  <c r="CU657" i="59"/>
  <c r="BG657" i="59"/>
  <c r="BN657" i="59"/>
  <c r="BN668" i="59" s="1"/>
  <c r="L689" i="59" s="1"/>
  <c r="BM657" i="59"/>
  <c r="AW657" i="59"/>
  <c r="BJ657" i="59"/>
  <c r="CV657" i="59"/>
  <c r="AV657" i="59"/>
  <c r="AZ657" i="59"/>
  <c r="AR657" i="59"/>
  <c r="BP657" i="59"/>
  <c r="CW657" i="59"/>
  <c r="BI657" i="59"/>
  <c r="AS657" i="59"/>
  <c r="BD657" i="59"/>
  <c r="BR657" i="59"/>
  <c r="AP657" i="59"/>
  <c r="AQ657" i="59"/>
  <c r="AU657" i="59"/>
  <c r="CS657" i="59"/>
  <c r="CT657" i="59"/>
  <c r="BK657" i="59"/>
  <c r="BL657" i="59"/>
  <c r="BE657" i="59"/>
  <c r="BS657" i="59"/>
  <c r="BQ657" i="59"/>
  <c r="BO657" i="59"/>
  <c r="BC657" i="59"/>
  <c r="BB657" i="59"/>
  <c r="AY657" i="59"/>
  <c r="BA657" i="59"/>
  <c r="BH657" i="59"/>
  <c r="JJ640" i="59"/>
  <c r="JE640" i="59"/>
  <c r="JM640" i="59"/>
  <c r="L640" i="59"/>
  <c r="JF640" i="59"/>
  <c r="JG640" i="59"/>
  <c r="JL640" i="59"/>
  <c r="JC640" i="59"/>
  <c r="JH640" i="59"/>
  <c r="A640" i="59"/>
  <c r="JI640" i="59"/>
  <c r="JB640" i="59"/>
  <c r="JK640" i="59"/>
  <c r="JP640" i="59"/>
  <c r="JD640" i="59"/>
  <c r="JO640" i="59"/>
  <c r="JN640" i="59"/>
  <c r="AU639" i="59"/>
  <c r="BI639" i="59"/>
  <c r="AZ639" i="59"/>
  <c r="BD639" i="59"/>
  <c r="BE639" i="59"/>
  <c r="AY639" i="59"/>
  <c r="CV639" i="59"/>
  <c r="AS639" i="59"/>
  <c r="BK639" i="59"/>
  <c r="CU639" i="59"/>
  <c r="BO639" i="59"/>
  <c r="BP639" i="59"/>
  <c r="BC639" i="59"/>
  <c r="CS639" i="59"/>
  <c r="BH639" i="59"/>
  <c r="BS639" i="59"/>
  <c r="BJ639" i="59"/>
  <c r="AT639" i="59"/>
  <c r="BG639" i="59"/>
  <c r="CW639" i="59"/>
  <c r="AR639" i="59"/>
  <c r="BF639" i="59"/>
  <c r="AP639" i="59"/>
  <c r="AQ639" i="59"/>
  <c r="BL639" i="59"/>
  <c r="AW639" i="59"/>
  <c r="AX639" i="59"/>
  <c r="AV639" i="59"/>
  <c r="BM639" i="59"/>
  <c r="CT639" i="59"/>
  <c r="BR639" i="59"/>
  <c r="BA639" i="59"/>
  <c r="BB639" i="59"/>
  <c r="BQ639" i="59"/>
  <c r="II639" i="59"/>
  <c r="Y639" i="59"/>
  <c r="CK639" i="59"/>
  <c r="AC639" i="59"/>
  <c r="AN639" i="59"/>
  <c r="CJ639" i="59"/>
  <c r="CQ639" i="59"/>
  <c r="IC639" i="59"/>
  <c r="CA639" i="59"/>
  <c r="X639" i="59"/>
  <c r="CE639" i="59"/>
  <c r="IJ639" i="59"/>
  <c r="AE639" i="59"/>
  <c r="AJ639" i="59"/>
  <c r="AO639" i="59"/>
  <c r="CO639" i="59"/>
  <c r="AI639" i="59"/>
  <c r="BY639" i="59"/>
  <c r="AG639" i="59"/>
  <c r="AB639" i="59"/>
  <c r="CC639" i="59"/>
  <c r="IE639" i="59"/>
  <c r="AM639" i="59"/>
  <c r="ID639" i="59"/>
  <c r="CP639" i="59"/>
  <c r="BZ639" i="59"/>
  <c r="AD639" i="59"/>
  <c r="AK639" i="59"/>
  <c r="CB639" i="59"/>
  <c r="CL639" i="59"/>
  <c r="Z639" i="59"/>
  <c r="CG639" i="59"/>
  <c r="CN639" i="59"/>
  <c r="IG639" i="59"/>
  <c r="A639" i="59"/>
  <c r="CM639" i="59"/>
  <c r="AL639" i="59"/>
  <c r="CR639" i="59"/>
  <c r="W639" i="59"/>
  <c r="V639" i="59"/>
  <c r="AA639" i="59"/>
  <c r="CF639" i="59"/>
  <c r="CI639" i="59"/>
  <c r="IL639" i="59"/>
  <c r="CH639" i="59"/>
  <c r="IF639" i="59"/>
  <c r="AR638" i="59"/>
  <c r="CS638" i="59"/>
  <c r="ID638" i="59"/>
  <c r="HB638" i="59"/>
  <c r="FY638" i="59"/>
  <c r="EW638" i="59"/>
  <c r="CN638" i="59"/>
  <c r="BX638" i="59"/>
  <c r="IG638" i="59"/>
  <c r="HG638" i="59"/>
  <c r="GD638" i="59"/>
  <c r="FB638" i="59"/>
  <c r="CQ638" i="59"/>
  <c r="CA638" i="59"/>
  <c r="BK638" i="59"/>
  <c r="AU638" i="59"/>
  <c r="AE638" i="59"/>
  <c r="IE638" i="59"/>
  <c r="GA638" i="59"/>
  <c r="CO638" i="59"/>
  <c r="BJ638" i="59"/>
  <c r="AO638" i="59"/>
  <c r="IF638" i="59"/>
  <c r="GC638" i="59"/>
  <c r="CP638" i="59"/>
  <c r="BL638" i="59"/>
  <c r="AP638" i="59"/>
  <c r="CK638" i="59"/>
  <c r="BN638" i="59"/>
  <c r="GX638" i="59"/>
  <c r="BV638" i="59"/>
  <c r="AC638" i="59"/>
  <c r="DA638" i="59"/>
  <c r="AL638" i="59"/>
  <c r="CT638" i="59"/>
  <c r="V638" i="59"/>
  <c r="HX638" i="59"/>
  <c r="HH638" i="59"/>
  <c r="GR638" i="59"/>
  <c r="GB638" i="59"/>
  <c r="FL638" i="59"/>
  <c r="EV638" i="59"/>
  <c r="HK638" i="59"/>
  <c r="GP638" i="59"/>
  <c r="FU638" i="59"/>
  <c r="EY638" i="59"/>
  <c r="JP638" i="59"/>
  <c r="II638" i="59"/>
  <c r="FF638" i="59"/>
  <c r="CC638" i="59"/>
  <c r="IL638" i="59"/>
  <c r="HO638" i="59"/>
  <c r="GM638" i="59"/>
  <c r="FK638" i="59"/>
  <c r="CV638" i="59"/>
  <c r="CF638" i="59"/>
  <c r="BP638" i="59"/>
  <c r="HU638" i="59"/>
  <c r="GS638" i="59"/>
  <c r="FQ638" i="59"/>
  <c r="CY638" i="59"/>
  <c r="CI638" i="59"/>
  <c r="BS638" i="59"/>
  <c r="BC638" i="59"/>
  <c r="AM638" i="59"/>
  <c r="W638" i="59"/>
  <c r="HC638" i="59"/>
  <c r="EX638" i="59"/>
  <c r="BY638" i="59"/>
  <c r="AZ638" i="59"/>
  <c r="AD638" i="59"/>
  <c r="HE638" i="59"/>
  <c r="FA638" i="59"/>
  <c r="BZ638" i="59"/>
  <c r="BA638" i="59"/>
  <c r="AF638" i="59"/>
  <c r="FG638" i="59"/>
  <c r="X638" i="59"/>
  <c r="DB638" i="59"/>
  <c r="AX638" i="59"/>
  <c r="GW638" i="59"/>
  <c r="BH638" i="59"/>
  <c r="IJ638" i="59"/>
  <c r="AH638" i="59"/>
  <c r="GH638" i="59"/>
  <c r="HP638" i="59"/>
  <c r="GZ638" i="59"/>
  <c r="GJ638" i="59"/>
  <c r="FT638" i="59"/>
  <c r="FD638" i="59"/>
  <c r="HV638" i="59"/>
  <c r="HA638" i="59"/>
  <c r="GE638" i="59"/>
  <c r="FJ638" i="59"/>
  <c r="HI638" i="59"/>
  <c r="FC638" i="59"/>
  <c r="CB638" i="59"/>
  <c r="HN638" i="59"/>
  <c r="FI638" i="59"/>
  <c r="CE638" i="59"/>
  <c r="AY638" i="59"/>
  <c r="JL638" i="59"/>
  <c r="CW638" i="59"/>
  <c r="AT638" i="59"/>
  <c r="GQ638" i="59"/>
  <c r="BR638" i="59"/>
  <c r="Z638" i="59"/>
  <c r="HZ638" i="59"/>
  <c r="AN638" i="59"/>
  <c r="AW638" i="59"/>
  <c r="BM638" i="59"/>
  <c r="HT638" i="59"/>
  <c r="GN638" i="59"/>
  <c r="FH638" i="59"/>
  <c r="HF638" i="59"/>
  <c r="FO638" i="59"/>
  <c r="IW638" i="59"/>
  <c r="DN638" i="59"/>
  <c r="JG638" i="59"/>
  <c r="IM638" i="59"/>
  <c r="EI638" i="59"/>
  <c r="DS638" i="59"/>
  <c r="DC638" i="59"/>
  <c r="IN638" i="59"/>
  <c r="EF638" i="59"/>
  <c r="DP638" i="59"/>
  <c r="JA638" i="59"/>
  <c r="DZ638" i="59"/>
  <c r="IP638" i="59"/>
  <c r="DQ638" i="59"/>
  <c r="EK638" i="59"/>
  <c r="GT638" i="59"/>
  <c r="CZ638" i="59"/>
  <c r="BT638" i="59"/>
  <c r="GY638" i="59"/>
  <c r="DM638" i="59"/>
  <c r="BW638" i="59"/>
  <c r="AQ638" i="59"/>
  <c r="HR638" i="59"/>
  <c r="CG638" i="59"/>
  <c r="AJ638" i="59"/>
  <c r="FN638" i="59"/>
  <c r="BF638" i="59"/>
  <c r="HM638" i="59"/>
  <c r="FV638" i="59"/>
  <c r="HY638" i="59"/>
  <c r="AB638" i="59"/>
  <c r="HL638" i="59"/>
  <c r="GF638" i="59"/>
  <c r="EZ638" i="59"/>
  <c r="GU638" i="59"/>
  <c r="FE638" i="59"/>
  <c r="EC638" i="59"/>
  <c r="FR638" i="59"/>
  <c r="IC638" i="59"/>
  <c r="CM638" i="59"/>
  <c r="AA638" i="59"/>
  <c r="BE638" i="59"/>
  <c r="CH638" i="59"/>
  <c r="AS638" i="59"/>
  <c r="BU638" i="59"/>
  <c r="BB638" i="59"/>
  <c r="IH638" i="59"/>
  <c r="CR638" i="59"/>
  <c r="GL638" i="59"/>
  <c r="BO638" i="59"/>
  <c r="GO638" i="59"/>
  <c r="Y638" i="59"/>
  <c r="AV638" i="59"/>
  <c r="CL638" i="59"/>
  <c r="GI638" i="59"/>
  <c r="HD638" i="59"/>
  <c r="IA638" i="59"/>
  <c r="DF638" i="59"/>
  <c r="IU638" i="59"/>
  <c r="EM638" i="59"/>
  <c r="DO638" i="59"/>
  <c r="IV638" i="59"/>
  <c r="EJ638" i="59"/>
  <c r="DL638" i="59"/>
  <c r="EP638" i="59"/>
  <c r="IX638" i="59"/>
  <c r="DI638" i="59"/>
  <c r="AG638" i="59"/>
  <c r="CJ638" i="59"/>
  <c r="BG638" i="59"/>
  <c r="HS638" i="59"/>
  <c r="BI638" i="59"/>
  <c r="IB638" i="59"/>
  <c r="HQ638" i="59"/>
  <c r="ES638" i="59"/>
  <c r="IO638" i="59"/>
  <c r="EL638" i="59"/>
  <c r="EQ638" i="59"/>
  <c r="DK638" i="59"/>
  <c r="ER638" i="59"/>
  <c r="DT638" i="59"/>
  <c r="EH638" i="59"/>
  <c r="EG638" i="59"/>
  <c r="ED638" i="59"/>
  <c r="IK638" i="59"/>
  <c r="AI638" i="59"/>
  <c r="CX638" i="59"/>
  <c r="FS638" i="59"/>
  <c r="GV638" i="59"/>
  <c r="GK638" i="59"/>
  <c r="IY638" i="59"/>
  <c r="EE638" i="59"/>
  <c r="DG638" i="59"/>
  <c r="EN638" i="59"/>
  <c r="DH638" i="59"/>
  <c r="DR638" i="59"/>
  <c r="DY638" i="59"/>
  <c r="DE638" i="59"/>
  <c r="JF638" i="59"/>
  <c r="HJ638" i="59"/>
  <c r="FW638" i="59"/>
  <c r="AK638" i="59"/>
  <c r="DV638" i="59"/>
  <c r="EU638" i="59"/>
  <c r="IR638" i="59"/>
  <c r="IS638" i="59"/>
  <c r="HW638" i="59"/>
  <c r="FM638" i="59"/>
  <c r="BD638" i="59"/>
  <c r="FP638" i="59"/>
  <c r="JB638" i="59"/>
  <c r="ET638" i="59"/>
  <c r="DW638" i="59"/>
  <c r="DX638" i="59"/>
  <c r="EO638" i="59"/>
  <c r="IT638" i="59"/>
  <c r="BQ638" i="59"/>
  <c r="FX638" i="59"/>
  <c r="EA638" i="59"/>
  <c r="DJ638" i="59"/>
  <c r="DU638" i="59"/>
  <c r="JE638" i="59"/>
  <c r="JC638" i="59"/>
  <c r="JJ638" i="59"/>
  <c r="CD638" i="59"/>
  <c r="FZ638" i="59"/>
  <c r="IZ638" i="59"/>
  <c r="JH638" i="59"/>
  <c r="JO638" i="59"/>
  <c r="GG638" i="59"/>
  <c r="DD638" i="59"/>
  <c r="Q638" i="59"/>
  <c r="JM638" i="59"/>
  <c r="CU638" i="59"/>
  <c r="A638" i="59"/>
  <c r="JD638" i="59"/>
  <c r="IQ638" i="59"/>
  <c r="JK638" i="59"/>
  <c r="JN638" i="59"/>
  <c r="K637" i="59"/>
  <c r="L637" i="59" s="1"/>
  <c r="Q637" i="59"/>
  <c r="A637" i="59"/>
  <c r="L636" i="59"/>
  <c r="JM636" i="59"/>
  <c r="JB636" i="59"/>
  <c r="E668" i="59"/>
  <c r="JE636" i="59"/>
  <c r="F668" i="59"/>
  <c r="JH636" i="59"/>
  <c r="JN636" i="59"/>
  <c r="JI636" i="59"/>
  <c r="JK636" i="59"/>
  <c r="JG636" i="59"/>
  <c r="JC636" i="59"/>
  <c r="A636" i="59"/>
  <c r="JF636" i="59"/>
  <c r="JJ636" i="59"/>
  <c r="JL636" i="59"/>
  <c r="JD636" i="59"/>
  <c r="JO636" i="59"/>
  <c r="HS632" i="59"/>
  <c r="HW632" i="59"/>
  <c r="FW632" i="59"/>
  <c r="AI632" i="59"/>
  <c r="GM632" i="59"/>
  <c r="GQ632" i="59"/>
  <c r="HG632" i="59"/>
  <c r="FK632" i="59"/>
  <c r="AY632" i="59"/>
  <c r="CA632" i="59"/>
  <c r="AU632" i="59"/>
  <c r="GA632" i="59"/>
  <c r="EM632" i="59"/>
  <c r="BK632" i="59"/>
  <c r="BK668" i="59" s="1"/>
  <c r="I689" i="59" s="1"/>
  <c r="II632" i="59"/>
  <c r="IQ632" i="59"/>
  <c r="BO632" i="59"/>
  <c r="DS632" i="59"/>
  <c r="BS632" i="59"/>
  <c r="HO632" i="59"/>
  <c r="FC632" i="59"/>
  <c r="BG632" i="59"/>
  <c r="BG668" i="59" s="1"/>
  <c r="HK632" i="59"/>
  <c r="CY632" i="59"/>
  <c r="DK632" i="59"/>
  <c r="DK668" i="59" s="1"/>
  <c r="K693" i="59" s="1"/>
  <c r="EE632" i="59"/>
  <c r="DC632" i="59"/>
  <c r="CE632" i="59"/>
  <c r="JM632" i="59"/>
  <c r="W632" i="59"/>
  <c r="GY632" i="59"/>
  <c r="DG632" i="59"/>
  <c r="AQ632" i="59"/>
  <c r="GU632" i="59"/>
  <c r="CI632" i="59"/>
  <c r="HC632" i="59"/>
  <c r="FG632" i="59"/>
  <c r="AE632" i="59"/>
  <c r="FO632" i="59"/>
  <c r="FS632" i="59"/>
  <c r="IU632" i="59"/>
  <c r="AM632" i="59"/>
  <c r="GI632" i="59"/>
  <c r="GE632" i="59"/>
  <c r="IY632" i="59"/>
  <c r="IM632" i="59"/>
  <c r="JG632" i="59"/>
  <c r="AB632" i="59"/>
  <c r="BH632" i="59"/>
  <c r="CN632" i="59"/>
  <c r="CN668" i="59" s="1"/>
  <c r="H737" i="59" s="1"/>
  <c r="DT632" i="59"/>
  <c r="EV632" i="59"/>
  <c r="GB632" i="59"/>
  <c r="HH632" i="59"/>
  <c r="IB632" i="59"/>
  <c r="JH632" i="59"/>
  <c r="AK632" i="59"/>
  <c r="BM632" i="59"/>
  <c r="BM668" i="59" s="1"/>
  <c r="K689" i="59" s="1"/>
  <c r="CO632" i="59"/>
  <c r="DQ632" i="59"/>
  <c r="EW632" i="59"/>
  <c r="FY632" i="59"/>
  <c r="GW632" i="59"/>
  <c r="HY632" i="59"/>
  <c r="IW632" i="59"/>
  <c r="AH632" i="59"/>
  <c r="AH668" i="59" s="1"/>
  <c r="AX632" i="59"/>
  <c r="BN632" i="59"/>
  <c r="CD632" i="59"/>
  <c r="CD668" i="59" s="1"/>
  <c r="H735" i="59" s="1"/>
  <c r="CT632" i="59"/>
  <c r="CT668" i="59" s="1"/>
  <c r="DJ632" i="59"/>
  <c r="DJ668" i="59" s="1"/>
  <c r="J693" i="59" s="1"/>
  <c r="DZ632" i="59"/>
  <c r="EP632" i="59"/>
  <c r="EP668" i="59" s="1"/>
  <c r="L699" i="59" s="1"/>
  <c r="FF632" i="59"/>
  <c r="FV632" i="59"/>
  <c r="GL632" i="59"/>
  <c r="HB632" i="59"/>
  <c r="HR632" i="59"/>
  <c r="IH632" i="59"/>
  <c r="IX632" i="59"/>
  <c r="JN632" i="59"/>
  <c r="IA632" i="59"/>
  <c r="CM632" i="59"/>
  <c r="EY632" i="59"/>
  <c r="IC632" i="59"/>
  <c r="EQ632" i="59"/>
  <c r="EU632" i="59"/>
  <c r="EI632" i="59"/>
  <c r="AJ632" i="59"/>
  <c r="BP632" i="59"/>
  <c r="BP668" i="59" s="1"/>
  <c r="I688" i="59" s="1"/>
  <c r="I690" i="59" s="1"/>
  <c r="CV632" i="59"/>
  <c r="EB632" i="59"/>
  <c r="FD632" i="59"/>
  <c r="GJ632" i="59"/>
  <c r="HL632" i="59"/>
  <c r="IJ632" i="59"/>
  <c r="AS632" i="59"/>
  <c r="BU632" i="59"/>
  <c r="BU668" i="59" s="1"/>
  <c r="I681" i="59" s="1"/>
  <c r="CW632" i="59"/>
  <c r="DY632" i="59"/>
  <c r="FA632" i="59"/>
  <c r="GC632" i="59"/>
  <c r="HA632" i="59"/>
  <c r="IG632" i="59"/>
  <c r="JE632" i="59"/>
  <c r="V632" i="59"/>
  <c r="V668" i="59" s="1"/>
  <c r="H676" i="59" s="1"/>
  <c r="AL632" i="59"/>
  <c r="BB632" i="59"/>
  <c r="BR632" i="59"/>
  <c r="CH632" i="59"/>
  <c r="CH668" i="59" s="1"/>
  <c r="L735" i="59" s="1"/>
  <c r="CX632" i="59"/>
  <c r="DN632" i="59"/>
  <c r="ED632" i="59"/>
  <c r="ET632" i="59"/>
  <c r="ET668" i="59" s="1"/>
  <c r="FJ632" i="59"/>
  <c r="FZ632" i="59"/>
  <c r="GP632" i="59"/>
  <c r="HF632" i="59"/>
  <c r="HV632" i="59"/>
  <c r="IL632" i="59"/>
  <c r="JB632" i="59"/>
  <c r="JO632" i="59"/>
  <c r="BC632" i="59"/>
  <c r="JC632" i="59"/>
  <c r="AZ632" i="59"/>
  <c r="DL632" i="59"/>
  <c r="FT632" i="59"/>
  <c r="HX632" i="59"/>
  <c r="BA632" i="59"/>
  <c r="DE632" i="59"/>
  <c r="FI632" i="59"/>
  <c r="HI632" i="59"/>
  <c r="JI632" i="59"/>
  <c r="AT632" i="59"/>
  <c r="BZ632" i="59"/>
  <c r="DF632" i="59"/>
  <c r="EL632" i="59"/>
  <c r="FR632" i="59"/>
  <c r="GX632" i="59"/>
  <c r="ID632" i="59"/>
  <c r="JJ632" i="59"/>
  <c r="CU632" i="59"/>
  <c r="BW632" i="59"/>
  <c r="DW632" i="59"/>
  <c r="CF632" i="59"/>
  <c r="EN632" i="59"/>
  <c r="EN668" i="59" s="1"/>
  <c r="J699" i="59" s="1"/>
  <c r="GZ632" i="59"/>
  <c r="IZ632" i="59"/>
  <c r="Y632" i="59"/>
  <c r="CC632" i="59"/>
  <c r="EG632" i="59"/>
  <c r="GK632" i="59"/>
  <c r="IK632" i="59"/>
  <c r="AD632" i="59"/>
  <c r="BJ632" i="59"/>
  <c r="CP632" i="59"/>
  <c r="DV632" i="59"/>
  <c r="FB632" i="59"/>
  <c r="GH632" i="59"/>
  <c r="HN632" i="59"/>
  <c r="IT632" i="59"/>
  <c r="AA632" i="59"/>
  <c r="AA668" i="59" s="1"/>
  <c r="H677" i="59" s="1"/>
  <c r="EA632" i="59"/>
  <c r="EF632" i="59"/>
  <c r="IR632" i="59"/>
  <c r="DI632" i="59"/>
  <c r="HQ632" i="59"/>
  <c r="BF632" i="59"/>
  <c r="DR632" i="59"/>
  <c r="GD632" i="59"/>
  <c r="IP632" i="59"/>
  <c r="AV632" i="59"/>
  <c r="CB632" i="59"/>
  <c r="DH632" i="59"/>
  <c r="DH668" i="59" s="1"/>
  <c r="H693" i="59" s="1"/>
  <c r="ER632" i="59"/>
  <c r="FX632" i="59"/>
  <c r="HD632" i="59"/>
  <c r="IV632" i="59"/>
  <c r="AO632" i="59"/>
  <c r="BY632" i="59"/>
  <c r="DM632" i="59"/>
  <c r="ES632" i="59"/>
  <c r="GG632" i="59"/>
  <c r="HU632" i="59"/>
  <c r="CQ632" i="59"/>
  <c r="DO632" i="59"/>
  <c r="AR632" i="59"/>
  <c r="FL632" i="59"/>
  <c r="AG632" i="59"/>
  <c r="EO632" i="59"/>
  <c r="IS632" i="59"/>
  <c r="BV632" i="59"/>
  <c r="EH632" i="59"/>
  <c r="GT632" i="59"/>
  <c r="JF632" i="59"/>
  <c r="X632" i="59"/>
  <c r="BD632" i="59"/>
  <c r="CJ632" i="59"/>
  <c r="CJ668" i="59" s="1"/>
  <c r="DP632" i="59"/>
  <c r="EZ632" i="59"/>
  <c r="GF632" i="59"/>
  <c r="HP632" i="59"/>
  <c r="JD632" i="59"/>
  <c r="AW632" i="59"/>
  <c r="CK632" i="59"/>
  <c r="DU632" i="59"/>
  <c r="FE632" i="59"/>
  <c r="GS632" i="59"/>
  <c r="IO632" i="59"/>
  <c r="HT632" i="59"/>
  <c r="BI632" i="59"/>
  <c r="AP632" i="59"/>
  <c r="FN632" i="59"/>
  <c r="AN632" i="59"/>
  <c r="AN668" i="59" s="1"/>
  <c r="K679" i="59" s="1"/>
  <c r="CZ632" i="59"/>
  <c r="FP632" i="59"/>
  <c r="IN632" i="59"/>
  <c r="AC632" i="59"/>
  <c r="AC668" i="59" s="1"/>
  <c r="J677" i="59" s="1"/>
  <c r="DA632" i="59"/>
  <c r="FU632" i="59"/>
  <c r="BT632" i="59"/>
  <c r="EJ632" i="59"/>
  <c r="GV632" i="59"/>
  <c r="IE632" i="59"/>
  <c r="IE668" i="59" s="1"/>
  <c r="BX632" i="59"/>
  <c r="CG632" i="59"/>
  <c r="CG668" i="59" s="1"/>
  <c r="K735" i="59" s="1"/>
  <c r="CL632" i="59"/>
  <c r="HJ632" i="59"/>
  <c r="BL632" i="59"/>
  <c r="DX632" i="59"/>
  <c r="GN632" i="59"/>
  <c r="JL632" i="59"/>
  <c r="BE632" i="59"/>
  <c r="EC632" i="59"/>
  <c r="HE632" i="59"/>
  <c r="JK632" i="59"/>
  <c r="DD632" i="59"/>
  <c r="FQ632" i="59"/>
  <c r="DB632" i="59"/>
  <c r="HZ632" i="59"/>
  <c r="JP632" i="59"/>
  <c r="GR632" i="59"/>
  <c r="GO632" i="59"/>
  <c r="EX632" i="59"/>
  <c r="CR632" i="59"/>
  <c r="FM632" i="59"/>
  <c r="IF632" i="59"/>
  <c r="CS632" i="59"/>
  <c r="JA632" i="59"/>
  <c r="K631" i="59"/>
  <c r="L631" i="59" s="1"/>
  <c r="Q631" i="59"/>
  <c r="A631" i="59"/>
  <c r="A668" i="59" s="1"/>
  <c r="A625" i="59" s="1"/>
  <c r="EL667" i="59"/>
  <c r="ED667" i="59"/>
  <c r="IZ667" i="59"/>
  <c r="ER667" i="59"/>
  <c r="EB667" i="59"/>
  <c r="DL667" i="59"/>
  <c r="IW667" i="59"/>
  <c r="EO667" i="59"/>
  <c r="DY667" i="59"/>
  <c r="DI667" i="59"/>
  <c r="JF667" i="59"/>
  <c r="EH667" i="59"/>
  <c r="EQ667" i="59"/>
  <c r="DK667" i="59"/>
  <c r="JK667" i="59"/>
  <c r="EM667" i="59"/>
  <c r="JC667" i="59"/>
  <c r="JB667" i="59"/>
  <c r="ET667" i="59"/>
  <c r="EU667" i="59"/>
  <c r="IT667" i="59"/>
  <c r="IV667" i="59"/>
  <c r="EN667" i="59"/>
  <c r="DX667" i="59"/>
  <c r="DH667" i="59"/>
  <c r="JI667" i="59"/>
  <c r="IS667" i="59"/>
  <c r="EK667" i="59"/>
  <c r="DU667" i="59"/>
  <c r="DE667" i="59"/>
  <c r="IX667" i="59"/>
  <c r="DZ667" i="59"/>
  <c r="JG667" i="59"/>
  <c r="EI667" i="59"/>
  <c r="DC667" i="59"/>
  <c r="IU667" i="59"/>
  <c r="DW667" i="59"/>
  <c r="DO667" i="59"/>
  <c r="JJ667" i="59"/>
  <c r="DF667" i="59"/>
  <c r="IM667" i="59"/>
  <c r="JH667" i="59"/>
  <c r="DT667" i="59"/>
  <c r="JA667" i="59"/>
  <c r="ES667" i="59"/>
  <c r="DM667" i="59"/>
  <c r="DJ667" i="59"/>
  <c r="DS667" i="59"/>
  <c r="IR667" i="59"/>
  <c r="EJ667" i="59"/>
  <c r="DD667" i="59"/>
  <c r="JD667" i="59"/>
  <c r="DP667" i="59"/>
  <c r="IO667" i="59"/>
  <c r="EG667" i="59"/>
  <c r="IP667" i="59"/>
  <c r="DV667" i="59"/>
  <c r="EF667" i="59"/>
  <c r="EP667" i="59"/>
  <c r="DG667" i="59"/>
  <c r="JE667" i="59"/>
  <c r="DQ667" i="59"/>
  <c r="IQ667" i="59"/>
  <c r="EA667" i="59"/>
  <c r="EE667" i="59"/>
  <c r="DN665" i="59"/>
  <c r="IY665" i="59"/>
  <c r="EM665" i="59"/>
  <c r="IS665" i="59"/>
  <c r="ER665" i="59"/>
  <c r="DX665" i="59"/>
  <c r="DH665" i="59"/>
  <c r="IZ665" i="59"/>
  <c r="EC665" i="59"/>
  <c r="DM665" i="59"/>
  <c r="EA665" i="59"/>
  <c r="EP665" i="59"/>
  <c r="DW665" i="59"/>
  <c r="DV665" i="59"/>
  <c r="EF665" i="59"/>
  <c r="JA665" i="59"/>
  <c r="IM665" i="59"/>
  <c r="EQ665" i="59"/>
  <c r="IN665" i="59"/>
  <c r="EG665" i="59"/>
  <c r="DL665" i="59"/>
  <c r="IT665" i="59"/>
  <c r="ES665" i="59"/>
  <c r="DU665" i="59"/>
  <c r="EK665" i="59"/>
  <c r="ED665" i="59"/>
  <c r="IR665" i="59"/>
  <c r="IP665" i="59"/>
  <c r="DZ665" i="59"/>
  <c r="JK665" i="59"/>
  <c r="JI665" i="59"/>
  <c r="JE665" i="59"/>
  <c r="EI665" i="59"/>
  <c r="EB665" i="59"/>
  <c r="DD665" i="59"/>
  <c r="IO665" i="59"/>
  <c r="EN665" i="59"/>
  <c r="DQ665" i="59"/>
  <c r="DS665" i="59"/>
  <c r="DR665" i="59"/>
  <c r="ET665" i="59"/>
  <c r="DF665" i="59"/>
  <c r="JG665" i="59"/>
  <c r="JD665" i="59"/>
  <c r="JH665" i="59"/>
  <c r="JF665" i="59"/>
  <c r="IQ665" i="59"/>
  <c r="EE665" i="59"/>
  <c r="EL665" i="59"/>
  <c r="DY665" i="59"/>
  <c r="DC665" i="59"/>
  <c r="EJ665" i="59"/>
  <c r="JJ665" i="59"/>
  <c r="IX665" i="59"/>
  <c r="DT665" i="59"/>
  <c r="DI665" i="59"/>
  <c r="IW665" i="59"/>
  <c r="DG665" i="59"/>
  <c r="EO665" i="59"/>
  <c r="DO665" i="59"/>
  <c r="JC665" i="59"/>
  <c r="DP665" i="59"/>
  <c r="DE665" i="59"/>
  <c r="DJ665" i="59"/>
  <c r="EU665" i="59"/>
  <c r="IV665" i="59"/>
  <c r="IN663" i="59"/>
  <c r="DI663" i="59"/>
  <c r="IX663" i="59"/>
  <c r="EP663" i="59"/>
  <c r="DZ663" i="59"/>
  <c r="DJ663" i="59"/>
  <c r="IZ663" i="59"/>
  <c r="EB663" i="59"/>
  <c r="DG663" i="59"/>
  <c r="IR663" i="59"/>
  <c r="EI663" i="59"/>
  <c r="DE663" i="59"/>
  <c r="DX663" i="59"/>
  <c r="DP663" i="59"/>
  <c r="JH663" i="59"/>
  <c r="EE663" i="59"/>
  <c r="IV663" i="59"/>
  <c r="DS663" i="59"/>
  <c r="EK663" i="59"/>
  <c r="JJ663" i="59"/>
  <c r="IT663" i="59"/>
  <c r="EL663" i="59"/>
  <c r="DV663" i="59"/>
  <c r="DF663" i="59"/>
  <c r="IU663" i="59"/>
  <c r="ER663" i="59"/>
  <c r="DW663" i="59"/>
  <c r="EA663" i="59"/>
  <c r="JI663" i="59"/>
  <c r="DO663" i="59"/>
  <c r="IW663" i="59"/>
  <c r="DC663" i="59"/>
  <c r="IS663" i="59"/>
  <c r="DK663" i="59"/>
  <c r="JF663" i="59"/>
  <c r="EH663" i="59"/>
  <c r="JE663" i="59"/>
  <c r="EM663" i="59"/>
  <c r="JA663" i="59"/>
  <c r="EQ663" i="59"/>
  <c r="DH663" i="59"/>
  <c r="IP663" i="59"/>
  <c r="DR663" i="59"/>
  <c r="DQ663" i="59"/>
  <c r="IY663" i="59"/>
  <c r="DT663" i="59"/>
  <c r="DD663" i="59"/>
  <c r="EC663" i="59"/>
  <c r="EU663" i="59"/>
  <c r="JB663" i="59"/>
  <c r="IO663" i="59"/>
  <c r="DL663" i="59"/>
  <c r="DY663" i="59"/>
  <c r="JD663" i="59"/>
  <c r="ET663" i="59"/>
  <c r="EO663" i="59"/>
  <c r="IM663" i="59"/>
  <c r="EN663" i="59"/>
  <c r="EJ663" i="59"/>
  <c r="ED663" i="59"/>
  <c r="EG663" i="59"/>
  <c r="DU663" i="59"/>
  <c r="JC663" i="59"/>
  <c r="DN663" i="59"/>
  <c r="JK663" i="59"/>
  <c r="DM663" i="59"/>
  <c r="EF663" i="59"/>
  <c r="JG663" i="59"/>
  <c r="IQ663" i="59"/>
  <c r="DZ662" i="59"/>
  <c r="IN662" i="59"/>
  <c r="JA662" i="59"/>
  <c r="EO662" i="59"/>
  <c r="DY662" i="59"/>
  <c r="DI662" i="59"/>
  <c r="IP662" i="59"/>
  <c r="EF662" i="59"/>
  <c r="DP662" i="59"/>
  <c r="IT662" i="59"/>
  <c r="DS662" i="59"/>
  <c r="IM662" i="59"/>
  <c r="DV662" i="59"/>
  <c r="DW662" i="59"/>
  <c r="DR662" i="59"/>
  <c r="EU662" i="59"/>
  <c r="IO662" i="59"/>
  <c r="EK662" i="59"/>
  <c r="DQ662" i="59"/>
  <c r="IU662" i="59"/>
  <c r="EB662" i="59"/>
  <c r="DH662" i="59"/>
  <c r="EA662" i="59"/>
  <c r="ET662" i="59"/>
  <c r="DF662" i="59"/>
  <c r="EH662" i="59"/>
  <c r="IW662" i="59"/>
  <c r="ES662" i="59"/>
  <c r="DM662" i="59"/>
  <c r="EN662" i="59"/>
  <c r="DL662" i="59"/>
  <c r="DK662" i="59"/>
  <c r="ED662" i="59"/>
  <c r="IY662" i="59"/>
  <c r="IR662" i="59"/>
  <c r="EP662" i="59"/>
  <c r="IS662" i="59"/>
  <c r="EG662" i="59"/>
  <c r="DE662" i="59"/>
  <c r="EJ662" i="59"/>
  <c r="DD662" i="59"/>
  <c r="DC662" i="59"/>
  <c r="DN662" i="59"/>
  <c r="IQ662" i="59"/>
  <c r="ER662" i="59"/>
  <c r="EI662" i="59"/>
  <c r="DG662" i="59"/>
  <c r="DO662" i="59"/>
  <c r="EE662" i="59"/>
  <c r="DU662" i="59"/>
  <c r="DT662" i="59"/>
  <c r="EL662" i="59"/>
  <c r="DJ662" i="59"/>
  <c r="EC662" i="59"/>
  <c r="IX662" i="59"/>
  <c r="IZ662" i="59"/>
  <c r="EM662" i="59"/>
  <c r="IV662" i="59"/>
  <c r="DX662" i="59"/>
  <c r="EQ662" i="59"/>
  <c r="EA661" i="59"/>
  <c r="JK661" i="59"/>
  <c r="JE661" i="59"/>
  <c r="IQ661" i="59"/>
  <c r="IW661" i="59"/>
  <c r="JF661" i="59"/>
  <c r="JC661" i="59"/>
  <c r="JG661" i="59"/>
  <c r="EN661" i="59"/>
  <c r="IR661" i="59"/>
  <c r="IP661" i="59"/>
  <c r="ES661" i="59"/>
  <c r="EC661" i="59"/>
  <c r="DM661" i="59"/>
  <c r="EE661" i="59"/>
  <c r="DJ661" i="59"/>
  <c r="EQ661" i="59"/>
  <c r="DN661" i="59"/>
  <c r="IX661" i="59"/>
  <c r="DS661" i="59"/>
  <c r="ET661" i="59"/>
  <c r="DX661" i="59"/>
  <c r="ER661" i="59"/>
  <c r="JD661" i="59"/>
  <c r="JJ661" i="59"/>
  <c r="JA661" i="59"/>
  <c r="DY661" i="59"/>
  <c r="DE661" i="59"/>
  <c r="IY661" i="59"/>
  <c r="EP661" i="59"/>
  <c r="DO661" i="59"/>
  <c r="DV661" i="59"/>
  <c r="EM661" i="59"/>
  <c r="EH661" i="59"/>
  <c r="IO661" i="59"/>
  <c r="EF661" i="59"/>
  <c r="JB661" i="59"/>
  <c r="IZ661" i="59"/>
  <c r="IU661" i="59"/>
  <c r="EO661" i="59"/>
  <c r="DU661" i="59"/>
  <c r="IS661" i="59"/>
  <c r="EJ661" i="59"/>
  <c r="DD661" i="59"/>
  <c r="DG661" i="59"/>
  <c r="ED661" i="59"/>
  <c r="DW661" i="59"/>
  <c r="EL661" i="59"/>
  <c r="DP661" i="59"/>
  <c r="DQ661" i="59"/>
  <c r="DZ661" i="59"/>
  <c r="DK661" i="59"/>
  <c r="DH661" i="59"/>
  <c r="JI661" i="59"/>
  <c r="DL661" i="59"/>
  <c r="DI661" i="59"/>
  <c r="DT661" i="59"/>
  <c r="IT661" i="59"/>
  <c r="JH661" i="59"/>
  <c r="IV661" i="59"/>
  <c r="EK661" i="59"/>
  <c r="EI661" i="59"/>
  <c r="DR661" i="59"/>
  <c r="IM661" i="59"/>
  <c r="IN661" i="59"/>
  <c r="DC661" i="59"/>
  <c r="JA659" i="59"/>
  <c r="DX659" i="59"/>
  <c r="DD659" i="59"/>
  <c r="EN659" i="59"/>
  <c r="DU659" i="59"/>
  <c r="IW659" i="59"/>
  <c r="IP659" i="59"/>
  <c r="JC659" i="59"/>
  <c r="IM659" i="59"/>
  <c r="EU659" i="59"/>
  <c r="EE659" i="59"/>
  <c r="DO659" i="59"/>
  <c r="IZ659" i="59"/>
  <c r="EB659" i="59"/>
  <c r="DF659" i="59"/>
  <c r="IR659" i="59"/>
  <c r="EH659" i="59"/>
  <c r="DE659" i="59"/>
  <c r="DY659" i="59"/>
  <c r="DR659" i="59"/>
  <c r="DN659" i="59"/>
  <c r="IY659" i="59"/>
  <c r="EQ659" i="59"/>
  <c r="EA659" i="59"/>
  <c r="DK659" i="59"/>
  <c r="IT659" i="59"/>
  <c r="ER659" i="59"/>
  <c r="DV659" i="59"/>
  <c r="DZ659" i="59"/>
  <c r="DP659" i="59"/>
  <c r="JD659" i="59"/>
  <c r="ET659" i="59"/>
  <c r="DI659" i="59"/>
  <c r="IN659" i="59"/>
  <c r="EP659" i="59"/>
  <c r="IU659" i="59"/>
  <c r="DS659" i="59"/>
  <c r="DQ659" i="59"/>
  <c r="IX659" i="59"/>
  <c r="DT659" i="59"/>
  <c r="IS659" i="59"/>
  <c r="EJ659" i="59"/>
  <c r="IV659" i="59"/>
  <c r="EC659" i="59"/>
  <c r="ED659" i="59"/>
  <c r="EF659" i="59"/>
  <c r="IQ659" i="59"/>
  <c r="EM659" i="59"/>
  <c r="DG659" i="59"/>
  <c r="JJ659" i="59"/>
  <c r="DL659" i="59"/>
  <c r="DM659" i="59"/>
  <c r="DH659" i="59"/>
  <c r="JI659" i="59"/>
  <c r="DW659" i="59"/>
  <c r="JE659" i="59"/>
  <c r="EL659" i="59"/>
  <c r="JB659" i="59"/>
  <c r="EK659" i="59"/>
  <c r="JH659" i="59"/>
  <c r="JK659" i="59"/>
  <c r="EO659" i="59"/>
  <c r="DJ659" i="59"/>
  <c r="IM658" i="59"/>
  <c r="EU658" i="59"/>
  <c r="DF658" i="59"/>
  <c r="IS658" i="59"/>
  <c r="EK658" i="59"/>
  <c r="DU658" i="59"/>
  <c r="DE658" i="59"/>
  <c r="IN658" i="59"/>
  <c r="EF658" i="59"/>
  <c r="DP658" i="59"/>
  <c r="IX658" i="59"/>
  <c r="DZ658" i="59"/>
  <c r="IQ658" i="59"/>
  <c r="DS658" i="59"/>
  <c r="ET658" i="59"/>
  <c r="EM658" i="59"/>
  <c r="DV658" i="59"/>
  <c r="EL658" i="59"/>
  <c r="IW658" i="59"/>
  <c r="EG658" i="59"/>
  <c r="DM658" i="59"/>
  <c r="IR658" i="59"/>
  <c r="EB658" i="59"/>
  <c r="DH658" i="59"/>
  <c r="EH658" i="59"/>
  <c r="EQ658" i="59"/>
  <c r="DC658" i="59"/>
  <c r="IU658" i="59"/>
  <c r="EO658" i="59"/>
  <c r="DI658" i="59"/>
  <c r="EN658" i="59"/>
  <c r="DL658" i="59"/>
  <c r="DR658" i="59"/>
  <c r="EA658" i="59"/>
  <c r="DN658" i="59"/>
  <c r="DO658" i="59"/>
  <c r="JA658" i="59"/>
  <c r="EC658" i="59"/>
  <c r="IZ658" i="59"/>
  <c r="EJ658" i="59"/>
  <c r="DD658" i="59"/>
  <c r="DJ658" i="59"/>
  <c r="DK658" i="59"/>
  <c r="DW658" i="59"/>
  <c r="EE658" i="59"/>
  <c r="DQ658" i="59"/>
  <c r="DT658" i="59"/>
  <c r="EI658" i="59"/>
  <c r="ES658" i="59"/>
  <c r="ER658" i="59"/>
  <c r="EP658" i="59"/>
  <c r="ED658" i="59"/>
  <c r="IO658" i="59"/>
  <c r="IP658" i="59"/>
  <c r="DY658" i="59"/>
  <c r="IY658" i="59"/>
  <c r="DG658" i="59"/>
  <c r="IV658" i="59"/>
  <c r="IT658" i="59"/>
  <c r="DX658" i="59"/>
  <c r="IQ657" i="59"/>
  <c r="IO657" i="59"/>
  <c r="ES657" i="59"/>
  <c r="EC657" i="59"/>
  <c r="DM657" i="59"/>
  <c r="EI657" i="59"/>
  <c r="DN657" i="59"/>
  <c r="EB657" i="59"/>
  <c r="EE657" i="59"/>
  <c r="IN657" i="59"/>
  <c r="DW657" i="59"/>
  <c r="DJ657" i="59"/>
  <c r="JJ657" i="59"/>
  <c r="IS657" i="59"/>
  <c r="EO657" i="59"/>
  <c r="DU657" i="59"/>
  <c r="IP657" i="59"/>
  <c r="EN657" i="59"/>
  <c r="DH657" i="59"/>
  <c r="DO657" i="59"/>
  <c r="IM657" i="59"/>
  <c r="IX657" i="59"/>
  <c r="DL657" i="59"/>
  <c r="EK657" i="59"/>
  <c r="DQ657" i="59"/>
  <c r="ED657" i="59"/>
  <c r="DC657" i="59"/>
  <c r="IY657" i="59"/>
  <c r="EQ657" i="59"/>
  <c r="DG657" i="59"/>
  <c r="EM657" i="59"/>
  <c r="DD657" i="59"/>
  <c r="EH657" i="59"/>
  <c r="EU657" i="59"/>
  <c r="JC657" i="59"/>
  <c r="JA657" i="59"/>
  <c r="DE657" i="59"/>
  <c r="IU657" i="59"/>
  <c r="DX657" i="59"/>
  <c r="EJ657" i="59"/>
  <c r="DT657" i="59"/>
  <c r="EF657" i="59"/>
  <c r="DF657" i="59"/>
  <c r="DY657" i="59"/>
  <c r="IT657" i="59"/>
  <c r="IW657" i="59"/>
  <c r="EG657" i="59"/>
  <c r="IZ657" i="59"/>
  <c r="DS657" i="59"/>
  <c r="IR657" i="59"/>
  <c r="EP657" i="59"/>
  <c r="JE657" i="59"/>
  <c r="JH657" i="59"/>
  <c r="EA657" i="59"/>
  <c r="DI657" i="59"/>
  <c r="IV657" i="59"/>
  <c r="DZ657" i="59"/>
  <c r="JG657" i="59"/>
  <c r="JB657" i="59"/>
  <c r="JI657" i="59"/>
  <c r="DR657" i="59"/>
  <c r="DP657" i="59"/>
  <c r="ET657" i="59"/>
  <c r="DK657" i="59"/>
  <c r="EL657" i="59"/>
  <c r="ER657" i="59"/>
  <c r="DV657" i="59"/>
  <c r="JF657" i="59"/>
  <c r="EB656" i="59"/>
  <c r="DH656" i="59"/>
  <c r="JK656" i="59"/>
  <c r="IU656" i="59"/>
  <c r="EI656" i="59"/>
  <c r="DS656" i="59"/>
  <c r="DC656" i="59"/>
  <c r="IW656" i="59"/>
  <c r="EO656" i="59"/>
  <c r="DT656" i="59"/>
  <c r="DR656" i="59"/>
  <c r="IV656" i="59"/>
  <c r="EC656" i="59"/>
  <c r="IZ656" i="59"/>
  <c r="ES656" i="59"/>
  <c r="JC656" i="59"/>
  <c r="EM656" i="59"/>
  <c r="DO656" i="59"/>
  <c r="JH656" i="59"/>
  <c r="ET656" i="59"/>
  <c r="DN656" i="59"/>
  <c r="JE656" i="59"/>
  <c r="EN656" i="59"/>
  <c r="DE656" i="59"/>
  <c r="EL656" i="59"/>
  <c r="IO656" i="59"/>
  <c r="DV656" i="59"/>
  <c r="EH656" i="59"/>
  <c r="JJ656" i="59"/>
  <c r="JD656" i="59"/>
  <c r="IY656" i="59"/>
  <c r="EE656" i="59"/>
  <c r="DK656" i="59"/>
  <c r="JB656" i="59"/>
  <c r="EJ656" i="59"/>
  <c r="DI656" i="59"/>
  <c r="IX656" i="59"/>
  <c r="EG656" i="59"/>
  <c r="JF656" i="59"/>
  <c r="DU656" i="59"/>
  <c r="DM656" i="59"/>
  <c r="IM656" i="59"/>
  <c r="EQ656" i="59"/>
  <c r="DY656" i="59"/>
  <c r="EP656" i="59"/>
  <c r="JG656" i="59"/>
  <c r="DW656" i="59"/>
  <c r="DL656" i="59"/>
  <c r="JI656" i="59"/>
  <c r="DD656" i="59"/>
  <c r="DZ656" i="59"/>
  <c r="ER656" i="59"/>
  <c r="IS656" i="59"/>
  <c r="A656" i="59"/>
  <c r="IT656" i="59"/>
  <c r="EU656" i="59"/>
  <c r="IR656" i="59"/>
  <c r="IN656" i="59"/>
  <c r="EF656" i="59"/>
  <c r="DP656" i="59"/>
  <c r="DQ656" i="59"/>
  <c r="IQ656" i="59"/>
  <c r="DG656" i="59"/>
  <c r="DJ656" i="59"/>
  <c r="DF656" i="59"/>
  <c r="IP656" i="59"/>
  <c r="DX656" i="59"/>
  <c r="EA656" i="59"/>
  <c r="JA656" i="59"/>
  <c r="IQ655" i="59"/>
  <c r="IV655" i="59"/>
  <c r="DD655" i="59"/>
  <c r="DJ655" i="59"/>
  <c r="JC655" i="59"/>
  <c r="EU655" i="59"/>
  <c r="EL655" i="59"/>
  <c r="EF655" i="59"/>
  <c r="JJ655" i="59"/>
  <c r="ET655" i="59"/>
  <c r="DS655" i="59"/>
  <c r="JD655" i="59"/>
  <c r="DP655" i="59"/>
  <c r="IN655" i="59"/>
  <c r="IW655" i="59"/>
  <c r="EO655" i="59"/>
  <c r="DY655" i="59"/>
  <c r="DI655" i="59"/>
  <c r="JK655" i="59"/>
  <c r="IP655" i="59"/>
  <c r="EM655" i="59"/>
  <c r="DR655" i="59"/>
  <c r="JG655" i="59"/>
  <c r="DT655" i="59"/>
  <c r="IM655" i="59"/>
  <c r="ED655" i="59"/>
  <c r="DZ655" i="59"/>
  <c r="DX655" i="59"/>
  <c r="EE655" i="59"/>
  <c r="JI655" i="59"/>
  <c r="IS655" i="59"/>
  <c r="EK655" i="59"/>
  <c r="DU655" i="59"/>
  <c r="DE655" i="59"/>
  <c r="JF655" i="59"/>
  <c r="EH655" i="59"/>
  <c r="DL655" i="59"/>
  <c r="IY655" i="59"/>
  <c r="EP655" i="59"/>
  <c r="DN655" i="59"/>
  <c r="JH655" i="59"/>
  <c r="DV655" i="59"/>
  <c r="EN655" i="59"/>
  <c r="IX655" i="59"/>
  <c r="DC655" i="59"/>
  <c r="ES655" i="59"/>
  <c r="DM655" i="59"/>
  <c r="IU655" i="59"/>
  <c r="EB655" i="59"/>
  <c r="IR655" i="59"/>
  <c r="EA655" i="59"/>
  <c r="JB655" i="59"/>
  <c r="EJ655" i="59"/>
  <c r="JE655" i="59"/>
  <c r="EG655" i="59"/>
  <c r="DW655" i="59"/>
  <c r="DF655" i="59"/>
  <c r="IT655" i="59"/>
  <c r="DO655" i="59"/>
  <c r="JA655" i="59"/>
  <c r="DK655" i="59"/>
  <c r="EC655" i="59"/>
  <c r="IZ655" i="59"/>
  <c r="DG655" i="59"/>
  <c r="EI655" i="59"/>
  <c r="EQ655" i="59"/>
  <c r="IP654" i="59"/>
  <c r="IT654" i="59"/>
  <c r="IS654" i="59"/>
  <c r="EK654" i="59"/>
  <c r="DU654" i="59"/>
  <c r="DE654" i="59"/>
  <c r="ET654" i="59"/>
  <c r="DX654" i="59"/>
  <c r="DC654" i="59"/>
  <c r="EU654" i="59"/>
  <c r="DZ654" i="59"/>
  <c r="DD654" i="59"/>
  <c r="EH654" i="59"/>
  <c r="EQ654" i="59"/>
  <c r="DF654" i="59"/>
  <c r="DG654" i="59"/>
  <c r="IO654" i="59"/>
  <c r="EC654" i="59"/>
  <c r="DI654" i="59"/>
  <c r="EN654" i="59"/>
  <c r="DN654" i="59"/>
  <c r="IM654" i="59"/>
  <c r="DT654" i="59"/>
  <c r="IN654" i="59"/>
  <c r="IU654" i="59"/>
  <c r="IW654" i="59"/>
  <c r="DY654" i="59"/>
  <c r="IV654" i="59"/>
  <c r="DS654" i="59"/>
  <c r="EP654" i="59"/>
  <c r="DJ654" i="59"/>
  <c r="DL654" i="59"/>
  <c r="EB654" i="59"/>
  <c r="EL654" i="59"/>
  <c r="JH654" i="59"/>
  <c r="JC654" i="59"/>
  <c r="JE654" i="59"/>
  <c r="EA654" i="59"/>
  <c r="ES654" i="59"/>
  <c r="DQ654" i="59"/>
  <c r="IQ654" i="59"/>
  <c r="DH654" i="59"/>
  <c r="EJ654" i="59"/>
  <c r="IY654" i="59"/>
  <c r="EF654" i="59"/>
  <c r="IZ654" i="59"/>
  <c r="JD654" i="59"/>
  <c r="JJ654" i="59"/>
  <c r="A654" i="59"/>
  <c r="EM654" i="59"/>
  <c r="JA654" i="59"/>
  <c r="JG654" i="59"/>
  <c r="IR654" i="59"/>
  <c r="DW654" i="59"/>
  <c r="EG654" i="59"/>
  <c r="ED654" i="59"/>
  <c r="DO654" i="59"/>
  <c r="DK654" i="59"/>
  <c r="DP654" i="59"/>
  <c r="JB654" i="59"/>
  <c r="EI654" i="59"/>
  <c r="DV654" i="59"/>
  <c r="JF654" i="59"/>
  <c r="DR654" i="59"/>
  <c r="IX654" i="59"/>
  <c r="JI654" i="59"/>
  <c r="ER654" i="59"/>
  <c r="EO654" i="59"/>
  <c r="JK654" i="59"/>
  <c r="DM654" i="59"/>
  <c r="EE654" i="59"/>
  <c r="DW653" i="59"/>
  <c r="EG653" i="59"/>
  <c r="JD653" i="59"/>
  <c r="ER653" i="59"/>
  <c r="IR653" i="59"/>
  <c r="JH653" i="59"/>
  <c r="DP653" i="59"/>
  <c r="IS653" i="59"/>
  <c r="DK653" i="59"/>
  <c r="EA653" i="59"/>
  <c r="DL653" i="59"/>
  <c r="EF653" i="59"/>
  <c r="EP653" i="59"/>
  <c r="DZ653" i="59"/>
  <c r="DJ653" i="59"/>
  <c r="IZ653" i="59"/>
  <c r="EC653" i="59"/>
  <c r="DH653" i="59"/>
  <c r="IQ653" i="59"/>
  <c r="EO653" i="59"/>
  <c r="DT653" i="59"/>
  <c r="IM653" i="59"/>
  <c r="JF653" i="59"/>
  <c r="JE653" i="59"/>
  <c r="DG653" i="59"/>
  <c r="EQ653" i="59"/>
  <c r="IX653" i="59"/>
  <c r="EL653" i="59"/>
  <c r="DV653" i="59"/>
  <c r="DF653" i="59"/>
  <c r="IU653" i="59"/>
  <c r="ES653" i="59"/>
  <c r="DX653" i="59"/>
  <c r="DC653" i="59"/>
  <c r="EJ653" i="59"/>
  <c r="DO653" i="59"/>
  <c r="IW653" i="59"/>
  <c r="JB653" i="59"/>
  <c r="DQ653" i="59"/>
  <c r="IN653" i="59"/>
  <c r="EK653" i="59"/>
  <c r="EH653" i="59"/>
  <c r="DM653" i="59"/>
  <c r="DI653" i="59"/>
  <c r="DE653" i="59"/>
  <c r="EM653" i="59"/>
  <c r="IV653" i="59"/>
  <c r="A653" i="59"/>
  <c r="JC653" i="59"/>
  <c r="ED653" i="59"/>
  <c r="EN653" i="59"/>
  <c r="JA653" i="59"/>
  <c r="EU653" i="59"/>
  <c r="DD653" i="59"/>
  <c r="JJ653" i="59"/>
  <c r="JG653" i="59"/>
  <c r="IT653" i="59"/>
  <c r="DR653" i="59"/>
  <c r="IO653" i="59"/>
  <c r="EI653" i="59"/>
  <c r="EE653" i="59"/>
  <c r="DN653" i="59"/>
  <c r="DY653" i="59"/>
  <c r="JI653" i="59"/>
  <c r="DU653" i="59"/>
  <c r="EG652" i="59"/>
  <c r="JE652" i="59"/>
  <c r="IT652" i="59"/>
  <c r="DV652" i="59"/>
  <c r="EH652" i="59"/>
  <c r="A652" i="59"/>
  <c r="JK652" i="59"/>
  <c r="IU652" i="59"/>
  <c r="DK652" i="59"/>
  <c r="EC652" i="59"/>
  <c r="JA652" i="59"/>
  <c r="DM652" i="59"/>
  <c r="DR652" i="59"/>
  <c r="IV652" i="59"/>
  <c r="EJ652" i="59"/>
  <c r="DT652" i="59"/>
  <c r="DD652" i="59"/>
  <c r="JB652" i="59"/>
  <c r="ET652" i="59"/>
  <c r="DY652" i="59"/>
  <c r="DC652" i="59"/>
  <c r="IX652" i="59"/>
  <c r="EP652" i="59"/>
  <c r="DU652" i="59"/>
  <c r="EA652" i="59"/>
  <c r="IY652" i="59"/>
  <c r="EQ652" i="59"/>
  <c r="EM652" i="59"/>
  <c r="JH652" i="59"/>
  <c r="IR652" i="59"/>
  <c r="EF652" i="59"/>
  <c r="DP652" i="59"/>
  <c r="IW652" i="59"/>
  <c r="EO652" i="59"/>
  <c r="DS652" i="59"/>
  <c r="IS652" i="59"/>
  <c r="EK652" i="59"/>
  <c r="DO652" i="59"/>
  <c r="JF652" i="59"/>
  <c r="EL652" i="59"/>
  <c r="JJ652" i="59"/>
  <c r="IZ652" i="59"/>
  <c r="DX652" i="59"/>
  <c r="EI652" i="59"/>
  <c r="EU652" i="59"/>
  <c r="DE652" i="59"/>
  <c r="DW652" i="59"/>
  <c r="IO652" i="59"/>
  <c r="JC652" i="59"/>
  <c r="DZ652" i="59"/>
  <c r="DG652" i="59"/>
  <c r="IN652" i="59"/>
  <c r="ER652" i="59"/>
  <c r="DL652" i="59"/>
  <c r="JG652" i="59"/>
  <c r="ED652" i="59"/>
  <c r="JI652" i="59"/>
  <c r="EE652" i="59"/>
  <c r="ES652" i="59"/>
  <c r="DF652" i="59"/>
  <c r="EN652" i="59"/>
  <c r="DH652" i="59"/>
  <c r="IQ652" i="59"/>
  <c r="DN652" i="59"/>
  <c r="IM652" i="59"/>
  <c r="IP652" i="59"/>
  <c r="JD652" i="59"/>
  <c r="EB652" i="59"/>
  <c r="DI652" i="59"/>
  <c r="DY651" i="59"/>
  <c r="DE651" i="59"/>
  <c r="JH651" i="59"/>
  <c r="JI651" i="59"/>
  <c r="EU651" i="59"/>
  <c r="IY651" i="59"/>
  <c r="IM651" i="59"/>
  <c r="EA651" i="59"/>
  <c r="EJ651" i="59"/>
  <c r="JB651" i="59"/>
  <c r="ET651" i="59"/>
  <c r="ED651" i="59"/>
  <c r="DN651" i="59"/>
  <c r="JE651" i="59"/>
  <c r="EG651" i="59"/>
  <c r="DL651" i="59"/>
  <c r="JA651" i="59"/>
  <c r="EC651" i="59"/>
  <c r="DH651" i="59"/>
  <c r="IW651" i="59"/>
  <c r="EK651" i="59"/>
  <c r="IX651" i="59"/>
  <c r="EP651" i="59"/>
  <c r="DZ651" i="59"/>
  <c r="DJ651" i="59"/>
  <c r="A651" i="59"/>
  <c r="IZ651" i="59"/>
  <c r="EB651" i="59"/>
  <c r="DG651" i="59"/>
  <c r="IV651" i="59"/>
  <c r="ES651" i="59"/>
  <c r="DX651" i="59"/>
  <c r="DC651" i="59"/>
  <c r="DP651" i="59"/>
  <c r="JJ651" i="59"/>
  <c r="EL651" i="59"/>
  <c r="DF651" i="59"/>
  <c r="JK651" i="59"/>
  <c r="DQ651" i="59"/>
  <c r="DS651" i="59"/>
  <c r="EF651" i="59"/>
  <c r="JD651" i="59"/>
  <c r="IN651" i="59"/>
  <c r="IT651" i="59"/>
  <c r="DV651" i="59"/>
  <c r="IO651" i="59"/>
  <c r="EM651" i="59"/>
  <c r="JG651" i="59"/>
  <c r="EN651" i="59"/>
  <c r="EH651" i="59"/>
  <c r="ER651" i="59"/>
  <c r="EE651" i="59"/>
  <c r="JC651" i="59"/>
  <c r="DR651" i="59"/>
  <c r="IU651" i="59"/>
  <c r="DW651" i="59"/>
  <c r="DK651" i="59"/>
  <c r="IS651" i="59"/>
  <c r="EO651" i="59"/>
  <c r="EI651" i="59"/>
  <c r="DI651" i="59"/>
  <c r="DD651" i="59"/>
  <c r="JF651" i="59"/>
  <c r="IQ651" i="59"/>
  <c r="DM651" i="59"/>
  <c r="DU651" i="59"/>
  <c r="DT651" i="59"/>
  <c r="DO651" i="59"/>
  <c r="IP651" i="59"/>
  <c r="EQ651" i="59"/>
  <c r="JA650" i="59"/>
  <c r="DM650" i="59"/>
  <c r="ER650" i="59"/>
  <c r="DL650" i="59"/>
  <c r="IU650" i="59"/>
  <c r="EQ650" i="59"/>
  <c r="EA650" i="59"/>
  <c r="DK650" i="59"/>
  <c r="IS650" i="59"/>
  <c r="EJ650" i="59"/>
  <c r="DN650" i="59"/>
  <c r="IT650" i="59"/>
  <c r="EF650" i="59"/>
  <c r="DJ650" i="59"/>
  <c r="EC650" i="59"/>
  <c r="IR650" i="59"/>
  <c r="DF650" i="59"/>
  <c r="IW650" i="59"/>
  <c r="EU650" i="59"/>
  <c r="DW650" i="59"/>
  <c r="DC650" i="59"/>
  <c r="EO650" i="59"/>
  <c r="DI650" i="59"/>
  <c r="EP650" i="59"/>
  <c r="DP650" i="59"/>
  <c r="DR650" i="59"/>
  <c r="EB650" i="59"/>
  <c r="EH650" i="59"/>
  <c r="IY650" i="59"/>
  <c r="EI650" i="59"/>
  <c r="DG650" i="59"/>
  <c r="ED650" i="59"/>
  <c r="IZ650" i="59"/>
  <c r="DU650" i="59"/>
  <c r="DH650" i="59"/>
  <c r="ES650" i="59"/>
  <c r="JG650" i="59"/>
  <c r="EG650" i="59"/>
  <c r="IQ650" i="59"/>
  <c r="EE650" i="59"/>
  <c r="IX650" i="59"/>
  <c r="DY650" i="59"/>
  <c r="IO650" i="59"/>
  <c r="DE650" i="59"/>
  <c r="JK650" i="59"/>
  <c r="IP650" i="59"/>
  <c r="JB650" i="59"/>
  <c r="DV650" i="59"/>
  <c r="DO650" i="59"/>
  <c r="DD650" i="59"/>
  <c r="EN650" i="59"/>
  <c r="DX650" i="59"/>
  <c r="EM650" i="59"/>
  <c r="ET650" i="59"/>
  <c r="DZ650" i="59"/>
  <c r="DQ650" i="59"/>
  <c r="IM650" i="59"/>
  <c r="EK650" i="59"/>
  <c r="JH650" i="59"/>
  <c r="JJ650" i="59"/>
  <c r="JF650" i="59"/>
  <c r="DS650" i="59"/>
  <c r="IV650" i="59"/>
  <c r="JI650" i="59"/>
  <c r="JC650" i="59"/>
  <c r="JD650" i="59"/>
  <c r="DT650" i="59"/>
  <c r="A650" i="59"/>
  <c r="EL650" i="59"/>
  <c r="JE650" i="59"/>
  <c r="IT649" i="59"/>
  <c r="DS649" i="59"/>
  <c r="JJ649" i="59"/>
  <c r="DI649" i="59"/>
  <c r="IM649" i="59"/>
  <c r="IX649" i="59"/>
  <c r="JF649" i="59"/>
  <c r="EO649" i="59"/>
  <c r="JH649" i="59"/>
  <c r="ED649" i="59"/>
  <c r="JG649" i="59"/>
  <c r="EM649" i="59"/>
  <c r="JK649" i="59"/>
  <c r="DM649" i="59"/>
  <c r="IZ649" i="59"/>
  <c r="EJ649" i="59"/>
  <c r="DT649" i="59"/>
  <c r="DD649" i="59"/>
  <c r="IU649" i="59"/>
  <c r="EU649" i="59"/>
  <c r="DZ649" i="59"/>
  <c r="DE649" i="59"/>
  <c r="EA649" i="59"/>
  <c r="DF649" i="59"/>
  <c r="IO649" i="59"/>
  <c r="DN649" i="59"/>
  <c r="JB649" i="59"/>
  <c r="DG649" i="59"/>
  <c r="JE649" i="59"/>
  <c r="IV649" i="59"/>
  <c r="EF649" i="59"/>
  <c r="DP649" i="59"/>
  <c r="IP649" i="59"/>
  <c r="EP649" i="59"/>
  <c r="DU649" i="59"/>
  <c r="IW649" i="59"/>
  <c r="EQ649" i="59"/>
  <c r="DV649" i="59"/>
  <c r="DW649" i="59"/>
  <c r="IY649" i="59"/>
  <c r="DY649" i="59"/>
  <c r="IS649" i="59"/>
  <c r="EC649" i="59"/>
  <c r="IR649" i="59"/>
  <c r="ER649" i="59"/>
  <c r="DL649" i="59"/>
  <c r="JA649" i="59"/>
  <c r="EE649" i="59"/>
  <c r="DQ649" i="59"/>
  <c r="EB649" i="59"/>
  <c r="DJ649" i="59"/>
  <c r="EL649" i="59"/>
  <c r="JD649" i="59"/>
  <c r="A649" i="59"/>
  <c r="IN649" i="59"/>
  <c r="EN649" i="59"/>
  <c r="DH649" i="59"/>
  <c r="DO649" i="59"/>
  <c r="DK649" i="59"/>
  <c r="DC649" i="59"/>
  <c r="JC649" i="59"/>
  <c r="JI649" i="59"/>
  <c r="EH649" i="59"/>
  <c r="DR649" i="59"/>
  <c r="EK649" i="59"/>
  <c r="EG649" i="59"/>
  <c r="ET649" i="59"/>
  <c r="JG648" i="59"/>
  <c r="EJ648" i="59"/>
  <c r="IW648" i="59"/>
  <c r="IM648" i="59"/>
  <c r="EU648" i="59"/>
  <c r="JH648" i="59"/>
  <c r="DS648" i="59"/>
  <c r="DD648" i="59"/>
  <c r="EN648" i="59"/>
  <c r="DC648" i="59"/>
  <c r="ES648" i="59"/>
  <c r="DO648" i="59"/>
  <c r="IQ648" i="59"/>
  <c r="EI648" i="59"/>
  <c r="JB648" i="59"/>
  <c r="EP648" i="59"/>
  <c r="DZ648" i="59"/>
  <c r="DJ648" i="59"/>
  <c r="IS648" i="59"/>
  <c r="EK648" i="59"/>
  <c r="DP648" i="59"/>
  <c r="JK648" i="59"/>
  <c r="IO648" i="59"/>
  <c r="EG648" i="59"/>
  <c r="DL648" i="59"/>
  <c r="DI648" i="59"/>
  <c r="IX648" i="59"/>
  <c r="EL648" i="59"/>
  <c r="DV648" i="59"/>
  <c r="DF648" i="59"/>
  <c r="JI648" i="59"/>
  <c r="IN648" i="59"/>
  <c r="EF648" i="59"/>
  <c r="DK648" i="59"/>
  <c r="JE648" i="59"/>
  <c r="EB648" i="59"/>
  <c r="DG648" i="59"/>
  <c r="A648" i="59"/>
  <c r="DT648" i="59"/>
  <c r="IR648" i="59"/>
  <c r="DY648" i="59"/>
  <c r="IV648" i="59"/>
  <c r="JF648" i="59"/>
  <c r="ED648" i="59"/>
  <c r="DE648" i="59"/>
  <c r="DQ648" i="59"/>
  <c r="JA648" i="59"/>
  <c r="JC648" i="59"/>
  <c r="EA648" i="59"/>
  <c r="IZ648" i="59"/>
  <c r="DM648" i="59"/>
  <c r="IT648" i="59"/>
  <c r="DR648" i="59"/>
  <c r="EQ648" i="59"/>
  <c r="ER648" i="59"/>
  <c r="EE648" i="59"/>
  <c r="DH648" i="59"/>
  <c r="DX648" i="59"/>
  <c r="IP648" i="59"/>
  <c r="ET648" i="59"/>
  <c r="DN648" i="59"/>
  <c r="JD648" i="59"/>
  <c r="EM648" i="59"/>
  <c r="JJ648" i="59"/>
  <c r="EH648" i="59"/>
  <c r="IY648" i="59"/>
  <c r="IU648" i="59"/>
  <c r="DU648" i="59"/>
  <c r="DW648" i="59"/>
  <c r="DV647" i="59"/>
  <c r="DU647" i="59"/>
  <c r="JE647" i="59"/>
  <c r="EQ647" i="59"/>
  <c r="EE647" i="59"/>
  <c r="IT647" i="59"/>
  <c r="DJ647" i="59"/>
  <c r="IS647" i="59"/>
  <c r="JJ647" i="59"/>
  <c r="EG647" i="59"/>
  <c r="EP647" i="59"/>
  <c r="A647" i="59"/>
  <c r="EA647" i="59"/>
  <c r="IY647" i="59"/>
  <c r="JC647" i="59"/>
  <c r="EL647" i="59"/>
  <c r="IV647" i="59"/>
  <c r="EN647" i="59"/>
  <c r="DX647" i="59"/>
  <c r="DH647" i="59"/>
  <c r="JF647" i="59"/>
  <c r="EH647" i="59"/>
  <c r="DM647" i="59"/>
  <c r="JB647" i="59"/>
  <c r="ED647" i="59"/>
  <c r="DI647" i="59"/>
  <c r="DE647" i="59"/>
  <c r="EU647" i="59"/>
  <c r="DK647" i="59"/>
  <c r="JH647" i="59"/>
  <c r="IR647" i="59"/>
  <c r="EJ647" i="59"/>
  <c r="DT647" i="59"/>
  <c r="DD647" i="59"/>
  <c r="JA647" i="59"/>
  <c r="EC647" i="59"/>
  <c r="DG647" i="59"/>
  <c r="IW647" i="59"/>
  <c r="ET647" i="59"/>
  <c r="DY647" i="59"/>
  <c r="DC647" i="59"/>
  <c r="DO647" i="59"/>
  <c r="IM647" i="59"/>
  <c r="IZ647" i="59"/>
  <c r="EB647" i="59"/>
  <c r="JK647" i="59"/>
  <c r="DR647" i="59"/>
  <c r="DS647" i="59"/>
  <c r="JI647" i="59"/>
  <c r="IO647" i="59"/>
  <c r="IN647" i="59"/>
  <c r="DP647" i="59"/>
  <c r="IU647" i="59"/>
  <c r="ES647" i="59"/>
  <c r="DN647" i="59"/>
  <c r="DZ647" i="59"/>
  <c r="DF647" i="59"/>
  <c r="EF647" i="59"/>
  <c r="JD647" i="59"/>
  <c r="EM647" i="59"/>
  <c r="IQ647" i="59"/>
  <c r="EI647" i="59"/>
  <c r="IX647" i="59"/>
  <c r="EH646" i="59"/>
  <c r="DC646" i="59"/>
  <c r="IZ646" i="59"/>
  <c r="ER646" i="59"/>
  <c r="EB646" i="59"/>
  <c r="DL646" i="59"/>
  <c r="IW646" i="59"/>
  <c r="EO646" i="59"/>
  <c r="DY646" i="59"/>
  <c r="DI646" i="59"/>
  <c r="EU646" i="59"/>
  <c r="DO646" i="59"/>
  <c r="ET646" i="59"/>
  <c r="DN646" i="59"/>
  <c r="DZ646" i="59"/>
  <c r="IQ646" i="59"/>
  <c r="EI646" i="59"/>
  <c r="EQ646" i="59"/>
  <c r="IV646" i="59"/>
  <c r="EJ646" i="59"/>
  <c r="DP646" i="59"/>
  <c r="IS646" i="59"/>
  <c r="EG646" i="59"/>
  <c r="DM646" i="59"/>
  <c r="EM646" i="59"/>
  <c r="JF646" i="59"/>
  <c r="DV646" i="59"/>
  <c r="EA646" i="59"/>
  <c r="EN646" i="59"/>
  <c r="DH646" i="59"/>
  <c r="ES646" i="59"/>
  <c r="DQ646" i="59"/>
  <c r="EE646" i="59"/>
  <c r="EL646" i="59"/>
  <c r="EP646" i="59"/>
  <c r="JG646" i="59"/>
  <c r="JD646" i="59"/>
  <c r="JE646" i="59"/>
  <c r="EF646" i="59"/>
  <c r="DD646" i="59"/>
  <c r="EK646" i="59"/>
  <c r="DE646" i="59"/>
  <c r="DW646" i="59"/>
  <c r="ED646" i="59"/>
  <c r="IY646" i="59"/>
  <c r="JC646" i="59"/>
  <c r="A646" i="59"/>
  <c r="DT646" i="59"/>
  <c r="DU646" i="59"/>
  <c r="IT646" i="59"/>
  <c r="JB646" i="59"/>
  <c r="IP646" i="59"/>
  <c r="DK646" i="59"/>
  <c r="IN646" i="59"/>
  <c r="IO646" i="59"/>
  <c r="IM646" i="59"/>
  <c r="DJ646" i="59"/>
  <c r="JA646" i="59"/>
  <c r="DF646" i="59"/>
  <c r="JK646" i="59"/>
  <c r="JJ646" i="59"/>
  <c r="IX646" i="59"/>
  <c r="EC646" i="59"/>
  <c r="DS646" i="59"/>
  <c r="JH646" i="59"/>
  <c r="DX646" i="59"/>
  <c r="JI646" i="59"/>
  <c r="IU646" i="59"/>
  <c r="DR646" i="59"/>
  <c r="DG646" i="59"/>
  <c r="IR646" i="59"/>
  <c r="JE645" i="59"/>
  <c r="EI645" i="59"/>
  <c r="JD645" i="59"/>
  <c r="DM645" i="59"/>
  <c r="DC645" i="59"/>
  <c r="IS645" i="59"/>
  <c r="EP645" i="59"/>
  <c r="DZ645" i="59"/>
  <c r="DJ645" i="59"/>
  <c r="JA645" i="59"/>
  <c r="EE645" i="59"/>
  <c r="DI645" i="59"/>
  <c r="EA645" i="59"/>
  <c r="DE645" i="59"/>
  <c r="EM645" i="59"/>
  <c r="ES645" i="59"/>
  <c r="A645" i="59"/>
  <c r="JK645" i="59"/>
  <c r="IX645" i="59"/>
  <c r="EL645" i="59"/>
  <c r="DV645" i="59"/>
  <c r="DF645" i="59"/>
  <c r="IV645" i="59"/>
  <c r="EU645" i="59"/>
  <c r="DY645" i="59"/>
  <c r="DD645" i="59"/>
  <c r="IW645" i="59"/>
  <c r="EQ645" i="59"/>
  <c r="DU645" i="59"/>
  <c r="EH645" i="59"/>
  <c r="DO645" i="59"/>
  <c r="IR645" i="59"/>
  <c r="EF645" i="59"/>
  <c r="ER645" i="59"/>
  <c r="DX645" i="59"/>
  <c r="IT645" i="59"/>
  <c r="DR645" i="59"/>
  <c r="IQ645" i="59"/>
  <c r="EJ645" i="59"/>
  <c r="DK645" i="59"/>
  <c r="DQ645" i="59"/>
  <c r="EO645" i="59"/>
  <c r="DP645" i="59"/>
  <c r="DW645" i="59"/>
  <c r="IZ645" i="59"/>
  <c r="IU645" i="59"/>
  <c r="JF645" i="59"/>
  <c r="DS645" i="59"/>
  <c r="IN645" i="59"/>
  <c r="IP645" i="59"/>
  <c r="ET645" i="59"/>
  <c r="DT645" i="59"/>
  <c r="IM645" i="59"/>
  <c r="EG645" i="59"/>
  <c r="DG645" i="59"/>
  <c r="JB645" i="59"/>
  <c r="JH645" i="59"/>
  <c r="EC645" i="59"/>
  <c r="IY645" i="59"/>
  <c r="IO645" i="59"/>
  <c r="DH645" i="59"/>
  <c r="ED645" i="59"/>
  <c r="EB645" i="59"/>
  <c r="JG645" i="59"/>
  <c r="EN645" i="59"/>
  <c r="DN645" i="59"/>
  <c r="DL645" i="59"/>
  <c r="JJ645" i="59"/>
  <c r="DW644" i="59"/>
  <c r="EH644" i="59"/>
  <c r="ES644" i="59"/>
  <c r="DG644" i="59"/>
  <c r="JD644" i="59"/>
  <c r="IN644" i="59"/>
  <c r="ER644" i="59"/>
  <c r="EB644" i="59"/>
  <c r="JC644" i="59"/>
  <c r="EU644" i="59"/>
  <c r="DZ644" i="59"/>
  <c r="DI644" i="59"/>
  <c r="JJ644" i="59"/>
  <c r="IO644" i="59"/>
  <c r="EG644" i="59"/>
  <c r="DN644" i="59"/>
  <c r="DP644" i="59"/>
  <c r="IZ644" i="59"/>
  <c r="EN644" i="59"/>
  <c r="DX644" i="59"/>
  <c r="IX644" i="59"/>
  <c r="EP644" i="59"/>
  <c r="DU644" i="59"/>
  <c r="DE644" i="59"/>
  <c r="JE644" i="59"/>
  <c r="EA644" i="59"/>
  <c r="DJ644" i="59"/>
  <c r="EI644" i="59"/>
  <c r="JF644" i="59"/>
  <c r="EF644" i="59"/>
  <c r="IM644" i="59"/>
  <c r="DM644" i="59"/>
  <c r="IT644" i="59"/>
  <c r="DV644" i="59"/>
  <c r="DL644" i="59"/>
  <c r="IQ644" i="59"/>
  <c r="IV644" i="59"/>
  <c r="JI644" i="59"/>
  <c r="EE644" i="59"/>
  <c r="EQ644" i="59"/>
  <c r="DF644" i="59"/>
  <c r="IR644" i="59"/>
  <c r="EJ644" i="59"/>
  <c r="DQ644" i="59"/>
  <c r="DT644" i="59"/>
  <c r="ET644" i="59"/>
  <c r="IW644" i="59"/>
  <c r="A644" i="59"/>
  <c r="DK644" i="59"/>
  <c r="IU644" i="59"/>
  <c r="EL644" i="59"/>
  <c r="ED644" i="59"/>
  <c r="JG644" i="59"/>
  <c r="DS644" i="59"/>
  <c r="IP644" i="59"/>
  <c r="EK644" i="59"/>
  <c r="DD644" i="59"/>
  <c r="EC644" i="59"/>
  <c r="JK644" i="59"/>
  <c r="DR644" i="59"/>
  <c r="EO644" i="59"/>
  <c r="DH644" i="59"/>
  <c r="EM644" i="59"/>
  <c r="JH644" i="59"/>
  <c r="JB644" i="59"/>
  <c r="DY644" i="59"/>
  <c r="DC644" i="59"/>
  <c r="DO644" i="59"/>
  <c r="IS644" i="59"/>
  <c r="JA644" i="59"/>
  <c r="DQ643" i="59"/>
  <c r="IW643" i="59"/>
  <c r="IX643" i="59"/>
  <c r="JE643" i="59"/>
  <c r="A643" i="59"/>
  <c r="JF643" i="59"/>
  <c r="DI643" i="59"/>
  <c r="EG643" i="59"/>
  <c r="DZ643" i="59"/>
  <c r="EO643" i="59"/>
  <c r="DJ643" i="59"/>
  <c r="EH643" i="59"/>
  <c r="IO643" i="59"/>
  <c r="DF643" i="59"/>
  <c r="EL643" i="59"/>
  <c r="DR643" i="59"/>
  <c r="DV643" i="59"/>
  <c r="JB643" i="59"/>
  <c r="EP643" i="59"/>
  <c r="IT643" i="59"/>
  <c r="JG643" i="59"/>
  <c r="IQ643" i="59"/>
  <c r="EI643" i="59"/>
  <c r="DS643" i="59"/>
  <c r="DC643" i="59"/>
  <c r="JH643" i="59"/>
  <c r="IR643" i="59"/>
  <c r="EJ643" i="59"/>
  <c r="DT643" i="59"/>
  <c r="DD643" i="59"/>
  <c r="DM643" i="59"/>
  <c r="ES643" i="59"/>
  <c r="DN643" i="59"/>
  <c r="JC643" i="59"/>
  <c r="IM643" i="59"/>
  <c r="EU643" i="59"/>
  <c r="EE643" i="59"/>
  <c r="DO643" i="59"/>
  <c r="JD643" i="59"/>
  <c r="IN643" i="59"/>
  <c r="EF643" i="59"/>
  <c r="DP643" i="59"/>
  <c r="DU643" i="59"/>
  <c r="IS643" i="59"/>
  <c r="IP643" i="59"/>
  <c r="ED643" i="59"/>
  <c r="JK643" i="59"/>
  <c r="EA643" i="59"/>
  <c r="IV643" i="59"/>
  <c r="DX643" i="59"/>
  <c r="DE643" i="59"/>
  <c r="JI643" i="59"/>
  <c r="ET643" i="59"/>
  <c r="IY643" i="59"/>
  <c r="DW643" i="59"/>
  <c r="ER643" i="59"/>
  <c r="DL643" i="59"/>
  <c r="EC643" i="59"/>
  <c r="IU643" i="59"/>
  <c r="EQ643" i="59"/>
  <c r="EN643" i="59"/>
  <c r="EK643" i="59"/>
  <c r="DK643" i="59"/>
  <c r="DH643" i="59"/>
  <c r="DI642" i="59"/>
  <c r="DY642" i="59"/>
  <c r="EJ642" i="59"/>
  <c r="JH642" i="59"/>
  <c r="ET642" i="59"/>
  <c r="ED642" i="59"/>
  <c r="DN642" i="59"/>
  <c r="IU642" i="59"/>
  <c r="EQ642" i="59"/>
  <c r="EA642" i="59"/>
  <c r="DK642" i="59"/>
  <c r="IO642" i="59"/>
  <c r="DP642" i="59"/>
  <c r="ES642" i="59"/>
  <c r="DM642" i="59"/>
  <c r="ER642" i="59"/>
  <c r="IS642" i="59"/>
  <c r="IZ642" i="59"/>
  <c r="DD642" i="59"/>
  <c r="IT642" i="59"/>
  <c r="EH642" i="59"/>
  <c r="DJ642" i="59"/>
  <c r="IM642" i="59"/>
  <c r="EE642" i="59"/>
  <c r="DG642" i="59"/>
  <c r="EF642" i="59"/>
  <c r="IN642" i="59"/>
  <c r="DE642" i="59"/>
  <c r="IX642" i="59"/>
  <c r="DZ642" i="59"/>
  <c r="IY642" i="59"/>
  <c r="EI642" i="59"/>
  <c r="DC642" i="59"/>
  <c r="DH642" i="59"/>
  <c r="DU642" i="59"/>
  <c r="IR642" i="59"/>
  <c r="EG642" i="59"/>
  <c r="JB642" i="59"/>
  <c r="JG642" i="59"/>
  <c r="JA642" i="59"/>
  <c r="IP642" i="59"/>
  <c r="DV642" i="59"/>
  <c r="IQ642" i="59"/>
  <c r="DW642" i="59"/>
  <c r="IW642" i="59"/>
  <c r="IV642" i="59"/>
  <c r="A642" i="59"/>
  <c r="JC642" i="59"/>
  <c r="EO642" i="59"/>
  <c r="DF642" i="59"/>
  <c r="DO642" i="59"/>
  <c r="EC642" i="59"/>
  <c r="DQ642" i="59"/>
  <c r="EL642" i="59"/>
  <c r="EM642" i="59"/>
  <c r="DX642" i="59"/>
  <c r="EB642" i="59"/>
  <c r="JJ642" i="59"/>
  <c r="DT642" i="59"/>
  <c r="EP642" i="59"/>
  <c r="EN642" i="59"/>
  <c r="DL642" i="59"/>
  <c r="JK642" i="59"/>
  <c r="JE642" i="59"/>
  <c r="DR642" i="59"/>
  <c r="EK642" i="59"/>
  <c r="JD642" i="59"/>
  <c r="EU642" i="59"/>
  <c r="JF642" i="59"/>
  <c r="DS642" i="59"/>
  <c r="JI642" i="59"/>
  <c r="JC641" i="59"/>
  <c r="JK641" i="59"/>
  <c r="DK641" i="59"/>
  <c r="DS641" i="59"/>
  <c r="IZ641" i="59"/>
  <c r="EI641" i="59"/>
  <c r="DC641" i="59"/>
  <c r="EJ641" i="59"/>
  <c r="EQ641" i="59"/>
  <c r="JD641" i="59"/>
  <c r="IN641" i="59"/>
  <c r="DP641" i="59"/>
  <c r="DX641" i="59"/>
  <c r="IR641" i="59"/>
  <c r="IM641" i="59"/>
  <c r="EB641" i="59"/>
  <c r="DL641" i="59"/>
  <c r="EF641" i="59"/>
  <c r="IW641" i="59"/>
  <c r="EK641" i="59"/>
  <c r="DU641" i="59"/>
  <c r="DE641" i="59"/>
  <c r="IT641" i="59"/>
  <c r="EH641" i="59"/>
  <c r="DR641" i="59"/>
  <c r="DT641" i="59"/>
  <c r="JE641" i="59"/>
  <c r="JB641" i="59"/>
  <c r="DG641" i="59"/>
  <c r="EM641" i="59"/>
  <c r="IY641" i="59"/>
  <c r="IU641" i="59"/>
  <c r="IV641" i="59"/>
  <c r="EN641" i="59"/>
  <c r="IS641" i="59"/>
  <c r="EG641" i="59"/>
  <c r="DQ641" i="59"/>
  <c r="IP641" i="59"/>
  <c r="ET641" i="59"/>
  <c r="ED641" i="59"/>
  <c r="DN641" i="59"/>
  <c r="ER641" i="59"/>
  <c r="DO641" i="59"/>
  <c r="EU641" i="59"/>
  <c r="JG641" i="59"/>
  <c r="EO641" i="59"/>
  <c r="DI641" i="59"/>
  <c r="EL641" i="59"/>
  <c r="DF641" i="59"/>
  <c r="DD641" i="59"/>
  <c r="JF641" i="59"/>
  <c r="EE641" i="59"/>
  <c r="JA641" i="59"/>
  <c r="DY641" i="59"/>
  <c r="DV641" i="59"/>
  <c r="DH641" i="59"/>
  <c r="EC641" i="59"/>
  <c r="DZ641" i="59"/>
  <c r="JI641" i="59"/>
  <c r="A641" i="59"/>
  <c r="IO641" i="59"/>
  <c r="ES641" i="59"/>
  <c r="IX641" i="59"/>
  <c r="EP641" i="59"/>
  <c r="EA641" i="59"/>
  <c r="JJ641" i="59"/>
  <c r="IW640" i="59"/>
  <c r="EC640" i="59"/>
  <c r="IO640" i="59"/>
  <c r="EM640" i="59"/>
  <c r="DN640" i="59"/>
  <c r="ES640" i="59"/>
  <c r="EH640" i="59"/>
  <c r="DM640" i="59"/>
  <c r="DR640" i="59"/>
  <c r="DY640" i="59"/>
  <c r="DV640" i="59"/>
  <c r="EQ640" i="59"/>
  <c r="DG640" i="59"/>
  <c r="DC640" i="59"/>
  <c r="DK640" i="59"/>
  <c r="EL640" i="59"/>
  <c r="ET640" i="59"/>
  <c r="EG640" i="59"/>
  <c r="IQ640" i="59"/>
  <c r="IV640" i="59"/>
  <c r="EJ640" i="59"/>
  <c r="DT640" i="59"/>
  <c r="DD640" i="59"/>
  <c r="DS640" i="59"/>
  <c r="DO640" i="59"/>
  <c r="EK640" i="59"/>
  <c r="JA640" i="59"/>
  <c r="IP640" i="59"/>
  <c r="DF640" i="59"/>
  <c r="IT640" i="59"/>
  <c r="IM640" i="59"/>
  <c r="IR640" i="59"/>
  <c r="EF640" i="59"/>
  <c r="DP640" i="59"/>
  <c r="ED640" i="59"/>
  <c r="IX640" i="59"/>
  <c r="DU640" i="59"/>
  <c r="EP640" i="59"/>
  <c r="DW640" i="59"/>
  <c r="EN640" i="59"/>
  <c r="DH640" i="59"/>
  <c r="EO640" i="59"/>
  <c r="DJ640" i="59"/>
  <c r="IS640" i="59"/>
  <c r="EI640" i="59"/>
  <c r="IY640" i="59"/>
  <c r="EB640" i="59"/>
  <c r="DZ640" i="59"/>
  <c r="DQ640" i="59"/>
  <c r="IU640" i="59"/>
  <c r="IZ640" i="59"/>
  <c r="DX640" i="59"/>
  <c r="IN640" i="59"/>
  <c r="ER640" i="59"/>
  <c r="EE640" i="59"/>
  <c r="DL639" i="59"/>
  <c r="JK639" i="59"/>
  <c r="EB639" i="59"/>
  <c r="IS639" i="59"/>
  <c r="DK639" i="59"/>
  <c r="DE639" i="59"/>
  <c r="EG639" i="59"/>
  <c r="IU639" i="59"/>
  <c r="IY639" i="59"/>
  <c r="IZ639" i="59"/>
  <c r="DG639" i="59"/>
  <c r="DU639" i="59"/>
  <c r="JE639" i="59"/>
  <c r="DQ639" i="59"/>
  <c r="JI639" i="59"/>
  <c r="DW639" i="59"/>
  <c r="EK639" i="59"/>
  <c r="JD639" i="59"/>
  <c r="IN639" i="59"/>
  <c r="DO639" i="59"/>
  <c r="EJ639" i="59"/>
  <c r="IM639" i="59"/>
  <c r="JH639" i="59"/>
  <c r="EF639" i="59"/>
  <c r="DD639" i="59"/>
  <c r="EE639" i="59"/>
  <c r="IR639" i="59"/>
  <c r="EM639" i="59"/>
  <c r="ER639" i="59"/>
  <c r="IO639" i="59"/>
  <c r="EO639" i="59"/>
  <c r="JC639" i="59"/>
  <c r="JJ639" i="59"/>
  <c r="IT639" i="59"/>
  <c r="EL639" i="59"/>
  <c r="DV639" i="59"/>
  <c r="DF639" i="59"/>
  <c r="DS639" i="59"/>
  <c r="EN639" i="59"/>
  <c r="IQ639" i="59"/>
  <c r="EQ639" i="59"/>
  <c r="DI639" i="59"/>
  <c r="EU639" i="59"/>
  <c r="JF639" i="59"/>
  <c r="IP639" i="59"/>
  <c r="EH639" i="59"/>
  <c r="DR639" i="59"/>
  <c r="DC639" i="59"/>
  <c r="DX639" i="59"/>
  <c r="ES639" i="59"/>
  <c r="IV639" i="59"/>
  <c r="JB639" i="59"/>
  <c r="DZ639" i="59"/>
  <c r="EC639" i="59"/>
  <c r="JA639" i="59"/>
  <c r="EA639" i="59"/>
  <c r="IW639" i="59"/>
  <c r="IX639" i="59"/>
  <c r="ET639" i="59"/>
  <c r="DN639" i="59"/>
  <c r="EI639" i="59"/>
  <c r="JG639" i="59"/>
  <c r="DT639" i="59"/>
  <c r="DY639" i="59"/>
  <c r="DH639" i="59"/>
  <c r="ED639" i="59"/>
  <c r="ED637" i="59"/>
  <c r="EI637" i="59"/>
  <c r="DC637" i="59"/>
  <c r="DY637" i="59"/>
  <c r="DS637" i="59"/>
  <c r="JK637" i="59"/>
  <c r="ET637" i="59"/>
  <c r="DI637" i="59"/>
  <c r="EO637" i="59"/>
  <c r="JE637" i="59"/>
  <c r="IR637" i="59"/>
  <c r="ER637" i="59"/>
  <c r="EB637" i="59"/>
  <c r="DL637" i="59"/>
  <c r="DJ637" i="59"/>
  <c r="EP637" i="59"/>
  <c r="DV637" i="59"/>
  <c r="IQ637" i="59"/>
  <c r="IY637" i="59"/>
  <c r="IN637" i="59"/>
  <c r="EN637" i="59"/>
  <c r="DX637" i="59"/>
  <c r="DH637" i="59"/>
  <c r="DU637" i="59"/>
  <c r="EU637" i="59"/>
  <c r="EG637" i="59"/>
  <c r="JB637" i="59"/>
  <c r="DM637" i="59"/>
  <c r="EH637" i="59"/>
  <c r="JC637" i="59"/>
  <c r="IT637" i="59"/>
  <c r="DT637" i="59"/>
  <c r="JD637" i="59"/>
  <c r="EQ637" i="59"/>
  <c r="DG637" i="59"/>
  <c r="EM637" i="59"/>
  <c r="IM637" i="59"/>
  <c r="IO637" i="59"/>
  <c r="IZ637" i="59"/>
  <c r="EJ637" i="59"/>
  <c r="DD637" i="59"/>
  <c r="EK637" i="59"/>
  <c r="JG637" i="59"/>
  <c r="EF637" i="59"/>
  <c r="DZ637" i="59"/>
  <c r="DK637" i="59"/>
  <c r="DW637" i="59"/>
  <c r="DE637" i="59"/>
  <c r="IP637" i="59"/>
  <c r="EL637" i="59"/>
  <c r="JJ637" i="59"/>
  <c r="IV637" i="59"/>
  <c r="DP637" i="59"/>
  <c r="EC637" i="59"/>
  <c r="IS637" i="59"/>
  <c r="DO637" i="59"/>
  <c r="IU637" i="59"/>
  <c r="DF637" i="59"/>
  <c r="JA637" i="59"/>
  <c r="IW637" i="59"/>
  <c r="DN637" i="59"/>
  <c r="DQ637" i="59"/>
  <c r="DR637" i="59"/>
  <c r="IX637" i="59"/>
  <c r="EE637" i="59"/>
  <c r="JF637" i="59"/>
  <c r="ES637" i="59"/>
  <c r="EA637" i="59"/>
  <c r="EU636" i="59"/>
  <c r="EJ636" i="59"/>
  <c r="DT636" i="59"/>
  <c r="DO636" i="59"/>
  <c r="DY636" i="59"/>
  <c r="EO636" i="59"/>
  <c r="EP636" i="59"/>
  <c r="DZ636" i="59"/>
  <c r="DJ636" i="59"/>
  <c r="DK636" i="59"/>
  <c r="IY636" i="59"/>
  <c r="DQ636" i="59"/>
  <c r="EE636" i="59"/>
  <c r="IW636" i="59"/>
  <c r="IX636" i="59"/>
  <c r="EL636" i="59"/>
  <c r="DV636" i="59"/>
  <c r="DF636" i="59"/>
  <c r="DU636" i="59"/>
  <c r="EB636" i="59"/>
  <c r="DH636" i="59"/>
  <c r="EC636" i="59"/>
  <c r="IR636" i="59"/>
  <c r="IP636" i="59"/>
  <c r="ET636" i="59"/>
  <c r="DN636" i="59"/>
  <c r="EG636" i="59"/>
  <c r="DM636" i="59"/>
  <c r="EN636" i="59"/>
  <c r="IV636" i="59"/>
  <c r="ED636" i="59"/>
  <c r="EQ636" i="59"/>
  <c r="IN636" i="59"/>
  <c r="DI636" i="59"/>
  <c r="EI636" i="59"/>
  <c r="JA636" i="59"/>
  <c r="EK636" i="59"/>
  <c r="IS636" i="59"/>
  <c r="EM636" i="59"/>
  <c r="IO636" i="59"/>
  <c r="IT636" i="59"/>
  <c r="EH636" i="59"/>
  <c r="DG636" i="59"/>
  <c r="DC636" i="59"/>
  <c r="ES636" i="59"/>
  <c r="DE636" i="59"/>
  <c r="IZ636" i="59"/>
  <c r="IQ636" i="59"/>
  <c r="EA636" i="59"/>
  <c r="DS636" i="59"/>
  <c r="DL636" i="59"/>
  <c r="IM636" i="59"/>
  <c r="DD636" i="59"/>
  <c r="DR636" i="59"/>
  <c r="EF636" i="59"/>
  <c r="ER636" i="59"/>
  <c r="IU636" i="59"/>
  <c r="DX636" i="59"/>
  <c r="JJ635" i="59"/>
  <c r="EA635" i="59"/>
  <c r="JE635" i="59"/>
  <c r="DV635" i="59"/>
  <c r="ES635" i="59"/>
  <c r="IY635" i="59"/>
  <c r="IP635" i="59"/>
  <c r="DR635" i="59"/>
  <c r="EM635" i="59"/>
  <c r="EG635" i="59"/>
  <c r="EH635" i="59"/>
  <c r="DQ635" i="59"/>
  <c r="EQ635" i="59"/>
  <c r="DW635" i="59"/>
  <c r="EC635" i="59"/>
  <c r="ED635" i="59"/>
  <c r="JG635" i="59"/>
  <c r="DF635" i="59"/>
  <c r="DK635" i="59"/>
  <c r="DM635" i="59"/>
  <c r="DG635" i="59"/>
  <c r="JA635" i="59"/>
  <c r="DC635" i="59"/>
  <c r="EO635" i="59"/>
  <c r="IQ635" i="59"/>
  <c r="A635" i="59"/>
  <c r="DU635" i="59"/>
  <c r="EP635" i="59"/>
  <c r="IS635" i="59"/>
  <c r="IU635" i="59"/>
  <c r="ET635" i="59"/>
  <c r="JB635" i="59"/>
  <c r="DE635" i="59"/>
  <c r="EE635" i="59"/>
  <c r="IM635" i="59"/>
  <c r="IT635" i="59"/>
  <c r="JK635" i="59"/>
  <c r="DI635" i="59"/>
  <c r="IO635" i="59"/>
  <c r="EK635" i="59"/>
  <c r="JC635" i="59"/>
  <c r="JD635" i="59"/>
  <c r="IN635" i="59"/>
  <c r="EF635" i="59"/>
  <c r="DP635" i="59"/>
  <c r="DN635" i="59"/>
  <c r="JF635" i="59"/>
  <c r="DJ635" i="59"/>
  <c r="EU635" i="59"/>
  <c r="JI635" i="59"/>
  <c r="IZ635" i="59"/>
  <c r="ER635" i="59"/>
  <c r="EB635" i="59"/>
  <c r="DL635" i="59"/>
  <c r="DY635" i="59"/>
  <c r="DS635" i="59"/>
  <c r="JH635" i="59"/>
  <c r="EJ635" i="59"/>
  <c r="DD635" i="59"/>
  <c r="IX635" i="59"/>
  <c r="IV635" i="59"/>
  <c r="DX635" i="59"/>
  <c r="EI635" i="59"/>
  <c r="DO635" i="59"/>
  <c r="EL635" i="59"/>
  <c r="DZ635" i="59"/>
  <c r="IR635" i="59"/>
  <c r="DT635" i="59"/>
  <c r="IT634" i="59"/>
  <c r="IY634" i="59"/>
  <c r="JB634" i="59"/>
  <c r="IV634" i="59"/>
  <c r="EN634" i="59"/>
  <c r="DX634" i="59"/>
  <c r="DH634" i="59"/>
  <c r="IS634" i="59"/>
  <c r="EK634" i="59"/>
  <c r="DU634" i="59"/>
  <c r="DE634" i="59"/>
  <c r="EP634" i="59"/>
  <c r="DJ634" i="59"/>
  <c r="EU634" i="59"/>
  <c r="DO634" i="59"/>
  <c r="EI634" i="59"/>
  <c r="DS634" i="59"/>
  <c r="DF634" i="59"/>
  <c r="EQ634" i="59"/>
  <c r="IZ634" i="59"/>
  <c r="EJ634" i="59"/>
  <c r="DV634" i="59"/>
  <c r="DN634" i="59"/>
  <c r="ER634" i="59"/>
  <c r="DP634" i="59"/>
  <c r="IW634" i="59"/>
  <c r="EG634" i="59"/>
  <c r="DM634" i="59"/>
  <c r="IP634" i="59"/>
  <c r="JH634" i="59"/>
  <c r="EE634" i="59"/>
  <c r="JF634" i="59"/>
  <c r="ED634" i="59"/>
  <c r="EF634" i="59"/>
  <c r="DL634" i="59"/>
  <c r="IO634" i="59"/>
  <c r="EC634" i="59"/>
  <c r="DI634" i="59"/>
  <c r="EH634" i="59"/>
  <c r="IU634" i="59"/>
  <c r="DW634" i="59"/>
  <c r="DW668" i="59" s="1"/>
  <c r="H696" i="59" s="1"/>
  <c r="JI634" i="59"/>
  <c r="JE634" i="59"/>
  <c r="IN634" i="59"/>
  <c r="JA634" i="59"/>
  <c r="DQ634" i="59"/>
  <c r="DR634" i="59"/>
  <c r="EL634" i="59"/>
  <c r="IQ634" i="59"/>
  <c r="EA634" i="59"/>
  <c r="DT634" i="59"/>
  <c r="EO634" i="59"/>
  <c r="IX634" i="59"/>
  <c r="EM634" i="59"/>
  <c r="EB634" i="59"/>
  <c r="A634" i="59"/>
  <c r="JJ634" i="59"/>
  <c r="JC634" i="59"/>
  <c r="JD634" i="59"/>
  <c r="DD634" i="59"/>
  <c r="DZ634" i="59"/>
  <c r="DZ668" i="59" s="1"/>
  <c r="K696" i="59" s="1"/>
  <c r="IR634" i="59"/>
  <c r="DG634" i="59"/>
  <c r="JG634" i="59"/>
  <c r="DK634" i="59"/>
  <c r="ES634" i="59"/>
  <c r="JK634" i="59"/>
  <c r="ET634" i="59"/>
  <c r="DY634" i="59"/>
  <c r="Q632" i="59"/>
  <c r="HB631" i="59"/>
  <c r="FV631" i="59"/>
  <c r="FA631" i="59"/>
  <c r="FQ631" i="59"/>
  <c r="GG631" i="59"/>
  <c r="GW631" i="59"/>
  <c r="HM631" i="59"/>
  <c r="HR631" i="59"/>
  <c r="GL631" i="59"/>
  <c r="FF631" i="59"/>
  <c r="FI631" i="59"/>
  <c r="FY631" i="59"/>
  <c r="GO631" i="59"/>
  <c r="HE631" i="59"/>
  <c r="HU631" i="59"/>
  <c r="HF631" i="59"/>
  <c r="JM631" i="59"/>
  <c r="FM631" i="59"/>
  <c r="GS631" i="59"/>
  <c r="HY631" i="59"/>
  <c r="FZ631" i="59"/>
  <c r="GC631" i="59"/>
  <c r="HI631" i="59"/>
  <c r="FU631" i="59"/>
  <c r="JF631" i="59"/>
  <c r="HV631" i="59"/>
  <c r="HV668" i="59" s="1"/>
  <c r="K713" i="59" s="1"/>
  <c r="GK631" i="59"/>
  <c r="JB631" i="59"/>
  <c r="FE631" i="59"/>
  <c r="GP631" i="59"/>
  <c r="HA631" i="59"/>
  <c r="HQ631" i="59"/>
  <c r="GA631" i="59"/>
  <c r="HC631" i="59"/>
  <c r="HW631" i="59"/>
  <c r="FH631" i="59"/>
  <c r="FX631" i="59"/>
  <c r="GN631" i="59"/>
  <c r="HD631" i="59"/>
  <c r="HT631" i="59"/>
  <c r="JP631" i="59"/>
  <c r="FJ631" i="59"/>
  <c r="FC631" i="59"/>
  <c r="GI631" i="59"/>
  <c r="HK631" i="59"/>
  <c r="IA631" i="59"/>
  <c r="JO631" i="59"/>
  <c r="FL631" i="59"/>
  <c r="GB631" i="59"/>
  <c r="GR631" i="59"/>
  <c r="HH631" i="59"/>
  <c r="HX631" i="59"/>
  <c r="JD631" i="59"/>
  <c r="GY631" i="59"/>
  <c r="FP631" i="59"/>
  <c r="GV631" i="59"/>
  <c r="IB631" i="59"/>
  <c r="JL631" i="59"/>
  <c r="FS631" i="59"/>
  <c r="HS631" i="59"/>
  <c r="GF631" i="59"/>
  <c r="HL631" i="59"/>
  <c r="GQ631" i="59"/>
  <c r="GJ631" i="59"/>
  <c r="FO631" i="59"/>
  <c r="GU631" i="59"/>
  <c r="JE631" i="59"/>
  <c r="HO631" i="59"/>
  <c r="GZ631" i="59"/>
  <c r="FW631" i="59"/>
  <c r="HG631" i="59"/>
  <c r="FK631" i="59"/>
  <c r="FG631" i="59"/>
  <c r="JC631" i="59"/>
  <c r="FD631" i="59"/>
  <c r="GE631" i="59"/>
  <c r="FT631" i="59"/>
  <c r="K807" i="59"/>
  <c r="P798" i="59" s="1"/>
  <c r="B924" i="59"/>
  <c r="O373" i="11"/>
  <c r="O6" i="11" s="1"/>
  <c r="O1403" i="59"/>
  <c r="O1746" i="59" s="1"/>
  <c r="O1379" i="59" s="1"/>
  <c r="R30" i="11"/>
  <c r="N993" i="59"/>
  <c r="N998" i="59" s="1"/>
  <c r="N48" i="6"/>
  <c r="H51" i="6"/>
  <c r="H1001" i="59" s="1"/>
  <c r="I51" i="6"/>
  <c r="I1001" i="59" s="1"/>
  <c r="I65" i="6"/>
  <c r="I1015" i="59" s="1"/>
  <c r="F1015" i="59"/>
  <c r="F1019" i="59" s="1"/>
  <c r="F69" i="6"/>
  <c r="H65" i="6"/>
  <c r="H1015" i="59" s="1"/>
  <c r="F1003" i="59"/>
  <c r="I53" i="6"/>
  <c r="I1003" i="59" s="1"/>
  <c r="H53" i="6"/>
  <c r="H1003" i="59" s="1"/>
  <c r="M44" i="6"/>
  <c r="M994" i="59" s="1"/>
  <c r="K994" i="59"/>
  <c r="N67" i="6"/>
  <c r="N1017" i="59" s="1"/>
  <c r="N1019" i="59" s="1"/>
  <c r="M67" i="6"/>
  <c r="M1017" i="59" s="1"/>
  <c r="K1017" i="59"/>
  <c r="K1019" i="59" s="1"/>
  <c r="GP630" i="59"/>
  <c r="GP668" i="59" s="1"/>
  <c r="I707" i="59" s="1"/>
  <c r="AA660" i="59"/>
  <c r="AX657" i="59"/>
  <c r="EK656" i="59"/>
  <c r="EB653" i="59"/>
  <c r="DQ652" i="59"/>
  <c r="JI645" i="59"/>
  <c r="JA643" i="59"/>
  <c r="IK639" i="59"/>
  <c r="HM632" i="59"/>
  <c r="GM631" i="59"/>
  <c r="DH635" i="59"/>
  <c r="CD639" i="59"/>
  <c r="EP639" i="59"/>
  <c r="DW647" i="59"/>
  <c r="A655" i="59"/>
  <c r="ER655" i="59"/>
  <c r="JK657" i="59"/>
  <c r="ES659" i="59"/>
  <c r="EG659" i="59"/>
  <c r="BJ667" i="59"/>
  <c r="DN667" i="59"/>
  <c r="AK667" i="59"/>
  <c r="DI640" i="59"/>
  <c r="AF632" i="59"/>
  <c r="AF668" i="59" s="1"/>
  <c r="DL640" i="59"/>
  <c r="AT657" i="59"/>
  <c r="GB660" i="59"/>
  <c r="IP660" i="59"/>
  <c r="II661" i="59"/>
  <c r="A662" i="59"/>
  <c r="CO664" i="59"/>
  <c r="DD664" i="59"/>
  <c r="EA640" i="59"/>
  <c r="Z632" i="59"/>
  <c r="Z668" i="59" s="1"/>
  <c r="L676" i="59" s="1"/>
  <c r="HP631" i="59"/>
  <c r="IW635" i="59"/>
  <c r="DO664" i="59"/>
  <c r="EK645" i="59"/>
  <c r="DY643" i="59"/>
  <c r="H889" i="59"/>
  <c r="G895" i="59"/>
  <c r="B866" i="59"/>
  <c r="I831" i="59"/>
  <c r="P192" i="36"/>
  <c r="K21" i="53"/>
  <c r="K30" i="53" s="1"/>
  <c r="K34" i="53" s="1"/>
  <c r="F831" i="59"/>
  <c r="I994" i="59"/>
  <c r="I998" i="59" s="1"/>
  <c r="I48" i="6"/>
  <c r="I68" i="50"/>
  <c r="E68" i="50"/>
  <c r="G68" i="50"/>
  <c r="F1012" i="59"/>
  <c r="K55" i="6"/>
  <c r="N52" i="6"/>
  <c r="M52" i="6"/>
  <c r="M1002" i="59" s="1"/>
  <c r="K1002" i="59"/>
  <c r="K1005" i="59" s="1"/>
  <c r="FJ630" i="59"/>
  <c r="EO648" i="59"/>
  <c r="IQ641" i="59"/>
  <c r="EU640" i="59"/>
  <c r="DM639" i="59"/>
  <c r="EK632" i="59"/>
  <c r="EN635" i="59"/>
  <c r="AH639" i="59"/>
  <c r="EB643" i="59"/>
  <c r="DL647" i="59"/>
  <c r="JK653" i="59"/>
  <c r="DH655" i="59"/>
  <c r="DQ655" i="59"/>
  <c r="JD657" i="59"/>
  <c r="JB665" i="59"/>
  <c r="CQ667" i="59"/>
  <c r="CM667" i="59"/>
  <c r="IY667" i="59"/>
  <c r="CL667" i="59"/>
  <c r="BQ667" i="59"/>
  <c r="EC667" i="59"/>
  <c r="BG660" i="59"/>
  <c r="ES649" i="59"/>
  <c r="DM641" i="59"/>
  <c r="JE658" i="59"/>
  <c r="DK660" i="59"/>
  <c r="CS660" i="59"/>
  <c r="EB661" i="59"/>
  <c r="AO664" i="59"/>
  <c r="JP664" i="59"/>
  <c r="GJ664" i="59"/>
  <c r="CR661" i="59"/>
  <c r="JI637" i="59"/>
  <c r="JH637" i="59"/>
  <c r="JJ643" i="59"/>
  <c r="IN650" i="59"/>
  <c r="C918" i="59"/>
  <c r="J866" i="59"/>
  <c r="K837" i="59"/>
  <c r="I837" i="59"/>
  <c r="I52" i="50"/>
  <c r="P55" i="7"/>
  <c r="P60" i="7" s="1"/>
  <c r="D831" i="59"/>
  <c r="H50" i="6"/>
  <c r="H1000" i="59" s="1"/>
  <c r="F55" i="6"/>
  <c r="I50" i="6"/>
  <c r="F1000" i="59"/>
  <c r="I69" i="6"/>
  <c r="I1014" i="59"/>
  <c r="Q666" i="59"/>
  <c r="H12" i="53"/>
  <c r="I8" i="53"/>
  <c r="I13" i="53" s="1"/>
  <c r="F119" i="15"/>
  <c r="F997" i="59"/>
  <c r="H47" i="6"/>
  <c r="H997" i="59" s="1"/>
  <c r="F48" i="6"/>
  <c r="F71" i="6" s="1"/>
  <c r="I47" i="6"/>
  <c r="I997" i="59" s="1"/>
  <c r="F998" i="59"/>
  <c r="K1010" i="59"/>
  <c r="K1012" i="59" s="1"/>
  <c r="M60" i="6"/>
  <c r="M1010" i="59" s="1"/>
  <c r="K62" i="6"/>
  <c r="N60" i="6"/>
  <c r="DF661" i="59"/>
  <c r="IY653" i="59"/>
  <c r="IR651" i="59"/>
  <c r="EK647" i="59"/>
  <c r="DE640" i="59"/>
  <c r="BQ632" i="59"/>
  <c r="BN639" i="59"/>
  <c r="IH639" i="59"/>
  <c r="IZ643" i="59"/>
  <c r="DG643" i="59"/>
  <c r="JG647" i="59"/>
  <c r="ER647" i="59"/>
  <c r="IO655" i="59"/>
  <c r="JF659" i="59"/>
  <c r="DC659" i="59"/>
  <c r="IN667" i="59"/>
  <c r="DP636" i="59"/>
  <c r="JI638" i="59"/>
  <c r="IQ649" i="59"/>
  <c r="DS653" i="59"/>
  <c r="BK660" i="59"/>
  <c r="W660" i="59"/>
  <c r="FY660" i="59"/>
  <c r="EU661" i="59"/>
  <c r="EG664" i="59"/>
  <c r="DY664" i="59"/>
  <c r="IU664" i="59"/>
  <c r="DK665" i="59"/>
  <c r="EH665" i="59"/>
  <c r="DQ647" i="59"/>
  <c r="JH641" i="59"/>
  <c r="ED656" i="59"/>
  <c r="BI661" i="59"/>
  <c r="IM634" i="59"/>
  <c r="JK658" i="59"/>
  <c r="DP639" i="59"/>
  <c r="N174" i="36"/>
  <c r="N173" i="36"/>
  <c r="F62" i="6"/>
  <c r="I57" i="6"/>
  <c r="K993" i="59"/>
  <c r="K48" i="6"/>
  <c r="EU668" i="59"/>
  <c r="BW668" i="59"/>
  <c r="K681" i="59" s="1"/>
  <c r="E924" i="59"/>
  <c r="I860" i="59"/>
  <c r="C66" i="50"/>
  <c r="B21" i="8"/>
  <c r="F16" i="49"/>
  <c r="C19" i="50"/>
  <c r="H19" i="50"/>
  <c r="I43" i="57"/>
  <c r="L1406" i="59"/>
  <c r="P30" i="11"/>
  <c r="P59" i="59"/>
  <c r="P61" i="59" s="1"/>
  <c r="P66" i="59" s="1"/>
  <c r="B15" i="8"/>
  <c r="I57" i="59"/>
  <c r="I60" i="6"/>
  <c r="I1010" i="59" s="1"/>
  <c r="H51" i="7"/>
  <c r="H55" i="7" s="1"/>
  <c r="H57" i="7" s="1"/>
  <c r="E62" i="50"/>
  <c r="G60" i="50"/>
  <c r="I60" i="50"/>
  <c r="I62" i="50" s="1"/>
  <c r="I61" i="6"/>
  <c r="I1011" i="59" s="1"/>
  <c r="H61" i="6"/>
  <c r="H1011" i="59" s="1"/>
  <c r="K1018" i="59"/>
  <c r="M68" i="6"/>
  <c r="M1018" i="59" s="1"/>
  <c r="AV668" i="59"/>
  <c r="I685" i="59" s="1"/>
  <c r="K995" i="59"/>
  <c r="M45" i="6"/>
  <c r="M995" i="59" s="1"/>
  <c r="K69" i="6"/>
  <c r="BR668" i="59"/>
  <c r="K688" i="59" s="1"/>
  <c r="K690" i="59" s="1"/>
  <c r="IV668" i="59"/>
  <c r="M51" i="6"/>
  <c r="M1001" i="59" s="1"/>
  <c r="M57" i="6"/>
  <c r="M1007" i="59" s="1"/>
  <c r="HA636" i="59"/>
  <c r="HG636" i="59"/>
  <c r="FP636" i="59"/>
  <c r="W636" i="59"/>
  <c r="AR636" i="59"/>
  <c r="CC636" i="59"/>
  <c r="BH636" i="59"/>
  <c r="CN636" i="59"/>
  <c r="GA636" i="59"/>
  <c r="BC636" i="59"/>
  <c r="IB636" i="59"/>
  <c r="BM636" i="59"/>
  <c r="GF636" i="59"/>
  <c r="HQ636" i="59"/>
  <c r="CS636" i="59"/>
  <c r="HL636" i="59"/>
  <c r="BQ635" i="59"/>
  <c r="BA635" i="59"/>
  <c r="BK635" i="59"/>
  <c r="CA635" i="59"/>
  <c r="CQ635" i="59"/>
  <c r="CG635" i="59"/>
  <c r="AI635" i="59"/>
  <c r="AU635" i="59"/>
  <c r="BE635" i="59"/>
  <c r="AY635" i="59"/>
  <c r="Z635" i="59"/>
  <c r="AO635" i="59"/>
  <c r="II635" i="59"/>
  <c r="AE635" i="59"/>
  <c r="BF635" i="59"/>
  <c r="BJ635" i="59"/>
  <c r="CE635" i="59"/>
  <c r="CE668" i="59" s="1"/>
  <c r="I735" i="59" s="1"/>
  <c r="CK635" i="59"/>
  <c r="ID635" i="59"/>
  <c r="AK635" i="59"/>
  <c r="AD635" i="59"/>
  <c r="IE635" i="59"/>
  <c r="BX634" i="59"/>
  <c r="JM634" i="59"/>
  <c r="BC634" i="59"/>
  <c r="FE634" i="59"/>
  <c r="IL634" i="59"/>
  <c r="IL668" i="59" s="1"/>
  <c r="HV634" i="59"/>
  <c r="HF634" i="59"/>
  <c r="GP634" i="59"/>
  <c r="FZ634" i="59"/>
  <c r="FJ634" i="59"/>
  <c r="DB634" i="59"/>
  <c r="CL634" i="59"/>
  <c r="BV634" i="59"/>
  <c r="BF634" i="59"/>
  <c r="AP634" i="59"/>
  <c r="AP668" i="59" s="1"/>
  <c r="Z634" i="59"/>
  <c r="HY634" i="59"/>
  <c r="HD634" i="59"/>
  <c r="GI634" i="59"/>
  <c r="FM634" i="59"/>
  <c r="CZ634" i="59"/>
  <c r="ID634" i="59"/>
  <c r="HN634" i="59"/>
  <c r="GX634" i="59"/>
  <c r="GH634" i="59"/>
  <c r="FR634" i="59"/>
  <c r="FB634" i="59"/>
  <c r="AG634" i="59"/>
  <c r="HR634" i="59"/>
  <c r="GL634" i="59"/>
  <c r="FF634" i="59"/>
  <c r="CP634" i="59"/>
  <c r="BR634" i="59"/>
  <c r="AX634" i="59"/>
  <c r="AD634" i="59"/>
  <c r="HT634" i="59"/>
  <c r="GS634" i="59"/>
  <c r="FS634" i="59"/>
  <c r="CU634" i="59"/>
  <c r="BY634" i="59"/>
  <c r="BD634" i="59"/>
  <c r="AI634" i="59"/>
  <c r="AI668" i="59" s="1"/>
  <c r="IF634" i="59"/>
  <c r="IF668" i="59" s="1"/>
  <c r="HK634" i="59"/>
  <c r="GO634" i="59"/>
  <c r="FT634" i="59"/>
  <c r="EY634" i="59"/>
  <c r="CK634" i="59"/>
  <c r="BP634" i="59"/>
  <c r="AU634" i="59"/>
  <c r="Y634" i="59"/>
  <c r="HS634" i="59"/>
  <c r="FQ634" i="59"/>
  <c r="HX634" i="59"/>
  <c r="GG634" i="59"/>
  <c r="CY634" i="59"/>
  <c r="BH634" i="59"/>
  <c r="IG634" i="59"/>
  <c r="GF634" i="59"/>
  <c r="CW634" i="59"/>
  <c r="AV634" i="59"/>
  <c r="FG634" i="59"/>
  <c r="FP634" i="59"/>
  <c r="GA634" i="59"/>
  <c r="DC634" i="59"/>
  <c r="CG634" i="59"/>
  <c r="IH634" i="59"/>
  <c r="IH668" i="59" s="1"/>
  <c r="HB634" i="59"/>
  <c r="FV634" i="59"/>
  <c r="CX634" i="59"/>
  <c r="CD634" i="59"/>
  <c r="BJ634" i="59"/>
  <c r="AL634" i="59"/>
  <c r="IJ634" i="59"/>
  <c r="HI634" i="59"/>
  <c r="GC634" i="59"/>
  <c r="FC634" i="59"/>
  <c r="CJ634" i="59"/>
  <c r="BO634" i="59"/>
  <c r="AS634" i="59"/>
  <c r="X634" i="59"/>
  <c r="HU634" i="59"/>
  <c r="GZ634" i="59"/>
  <c r="GE634" i="59"/>
  <c r="FI634" i="59"/>
  <c r="CV634" i="59"/>
  <c r="CA634" i="59"/>
  <c r="BE634" i="59"/>
  <c r="AJ634" i="59"/>
  <c r="CB634" i="59"/>
  <c r="CB668" i="59" s="1"/>
  <c r="K734" i="59" s="1"/>
  <c r="K736" i="59" s="1"/>
  <c r="GW634" i="59"/>
  <c r="CI634" i="59"/>
  <c r="HC634" i="59"/>
  <c r="FL634" i="59"/>
  <c r="CC634" i="59"/>
  <c r="AM634" i="59"/>
  <c r="HA634" i="59"/>
  <c r="FK634" i="59"/>
  <c r="BQ634" i="59"/>
  <c r="AA634" i="59"/>
  <c r="AQ634" i="59"/>
  <c r="BM634" i="59"/>
  <c r="BA634" i="59"/>
  <c r="IB634" i="59"/>
  <c r="AR634" i="59"/>
  <c r="JL634" i="59"/>
  <c r="L632" i="59"/>
  <c r="A632" i="59"/>
  <c r="JN647" i="59"/>
  <c r="GQ647" i="59"/>
  <c r="HY647" i="59"/>
  <c r="GH647" i="59"/>
  <c r="FM647" i="59"/>
  <c r="HW647" i="59"/>
  <c r="AX647" i="59"/>
  <c r="CV642" i="59"/>
  <c r="BP642" i="59"/>
  <c r="AZ642" i="59"/>
  <c r="BO642" i="59"/>
  <c r="AT642" i="59"/>
  <c r="CW642" i="59"/>
  <c r="BS642" i="59"/>
  <c r="AX642" i="59"/>
  <c r="AX668" i="59" s="1"/>
  <c r="K685" i="59" s="1"/>
  <c r="BF642" i="59"/>
  <c r="AQ642" i="59"/>
  <c r="BH642" i="59"/>
  <c r="AR642" i="59"/>
  <c r="BE642" i="59"/>
  <c r="BI642" i="59"/>
  <c r="BG642" i="59"/>
  <c r="BB642" i="59"/>
  <c r="IL642" i="59"/>
  <c r="CF642" i="59"/>
  <c r="AJ642" i="59"/>
  <c r="IJ642" i="59"/>
  <c r="IF642" i="59"/>
  <c r="CP642" i="59"/>
  <c r="CQ642" i="59"/>
  <c r="Y642" i="59"/>
  <c r="AC642" i="59"/>
  <c r="CG642" i="59"/>
  <c r="AL642" i="59"/>
  <c r="AE642" i="59"/>
  <c r="ID642" i="59"/>
  <c r="CN642" i="59"/>
  <c r="AB642" i="59"/>
  <c r="CE642" i="59"/>
  <c r="CC642" i="59"/>
  <c r="AI642" i="59"/>
  <c r="CH642" i="59"/>
  <c r="AM642" i="59"/>
  <c r="CD642" i="59"/>
  <c r="AK642" i="59"/>
  <c r="IG642" i="59"/>
  <c r="CM642" i="59"/>
  <c r="HX641" i="59"/>
  <c r="HQ641" i="59"/>
  <c r="HI641" i="59"/>
  <c r="HC641" i="59"/>
  <c r="GV641" i="59"/>
  <c r="GN641" i="59"/>
  <c r="GG641" i="59"/>
  <c r="GA641" i="59"/>
  <c r="FS641" i="59"/>
  <c r="FL641" i="59"/>
  <c r="FE641" i="59"/>
  <c r="EW641" i="59"/>
  <c r="HW641" i="59"/>
  <c r="HO641" i="59"/>
  <c r="HH641" i="59"/>
  <c r="HA641" i="59"/>
  <c r="GS641" i="59"/>
  <c r="GM641" i="59"/>
  <c r="GF641" i="59"/>
  <c r="FX641" i="59"/>
  <c r="FQ641" i="59"/>
  <c r="FK641" i="59"/>
  <c r="FC641" i="59"/>
  <c r="EV641" i="59"/>
  <c r="HY641" i="59"/>
  <c r="HL641" i="59"/>
  <c r="GW641" i="59"/>
  <c r="GI641" i="59"/>
  <c r="FU641" i="59"/>
  <c r="FG641" i="59"/>
  <c r="IE641" i="59"/>
  <c r="HS641" i="59"/>
  <c r="HD641" i="59"/>
  <c r="GQ641" i="59"/>
  <c r="GB641" i="59"/>
  <c r="FM641" i="59"/>
  <c r="EZ641" i="59"/>
  <c r="IB641" i="59"/>
  <c r="GS657" i="59"/>
  <c r="GJ657" i="59"/>
  <c r="JL657" i="59"/>
  <c r="HU657" i="59"/>
  <c r="FQ657" i="59"/>
  <c r="BQ654" i="59"/>
  <c r="BA654" i="59"/>
  <c r="AZ654" i="59"/>
  <c r="AT654" i="59"/>
  <c r="AH654" i="59"/>
  <c r="AG654" i="59"/>
  <c r="CK654" i="59"/>
  <c r="AL654" i="59"/>
  <c r="AK654" i="59"/>
  <c r="IL654" i="59"/>
  <c r="CR654" i="59"/>
  <c r="IK654" i="59"/>
  <c r="CP654" i="59"/>
  <c r="ID654" i="59"/>
  <c r="CB654" i="59"/>
  <c r="CL654" i="59"/>
  <c r="AD654" i="59"/>
  <c r="HZ653" i="59"/>
  <c r="FU653" i="59"/>
  <c r="HQ653" i="59"/>
  <c r="FL653" i="59"/>
  <c r="GW653" i="59"/>
  <c r="HY649" i="59"/>
  <c r="HQ649" i="59"/>
  <c r="HH649" i="59"/>
  <c r="GW649" i="59"/>
  <c r="GN649" i="59"/>
  <c r="GF649" i="59"/>
  <c r="FU649" i="59"/>
  <c r="FL649" i="59"/>
  <c r="FC649" i="59"/>
  <c r="HX649" i="59"/>
  <c r="HO649" i="59"/>
  <c r="HD649" i="59"/>
  <c r="GV649" i="59"/>
  <c r="GM649" i="59"/>
  <c r="GB649" i="59"/>
  <c r="FS649" i="59"/>
  <c r="FK649" i="59"/>
  <c r="EZ649" i="59"/>
  <c r="HW649" i="59"/>
  <c r="HC649" i="59"/>
  <c r="GI649" i="59"/>
  <c r="FQ649" i="59"/>
  <c r="EW649" i="59"/>
  <c r="HL649" i="59"/>
  <c r="GS649" i="59"/>
  <c r="GA649" i="59"/>
  <c r="FG649" i="59"/>
  <c r="JM633" i="59"/>
  <c r="EW633" i="59"/>
  <c r="JN631" i="59"/>
  <c r="HN631" i="59"/>
  <c r="GX631" i="59"/>
  <c r="GH631" i="59"/>
  <c r="FR631" i="59"/>
  <c r="FB631" i="59"/>
  <c r="AD631" i="59"/>
  <c r="HZ631" i="59"/>
  <c r="HJ631" i="59"/>
  <c r="GT631" i="59"/>
  <c r="GD631" i="59"/>
  <c r="FN631" i="59"/>
  <c r="EX631" i="59"/>
  <c r="FL661" i="59"/>
  <c r="HQ661" i="59"/>
  <c r="EZ661" i="59"/>
  <c r="HV645" i="59"/>
  <c r="HN645" i="59"/>
  <c r="HD645" i="59"/>
  <c r="GT645" i="59"/>
  <c r="GK645" i="59"/>
  <c r="FZ645" i="59"/>
  <c r="FR645" i="59"/>
  <c r="FI645" i="59"/>
  <c r="EX645" i="59"/>
  <c r="HU645" i="59"/>
  <c r="HJ645" i="59"/>
  <c r="HA645" i="59"/>
  <c r="GS645" i="59"/>
  <c r="GH645" i="59"/>
  <c r="FY645" i="59"/>
  <c r="FP645" i="59"/>
  <c r="FE645" i="59"/>
  <c r="EW645" i="59"/>
  <c r="HZ643" i="59"/>
  <c r="GK643" i="59"/>
  <c r="FE643" i="59"/>
  <c r="HQ643" i="59"/>
  <c r="GD643" i="59"/>
  <c r="EW643" i="59"/>
  <c r="HZ637" i="59"/>
  <c r="HT637" i="59"/>
  <c r="HO637" i="59"/>
  <c r="HJ637" i="59"/>
  <c r="HD637" i="59"/>
  <c r="GY637" i="59"/>
  <c r="GT637" i="59"/>
  <c r="GN637" i="59"/>
  <c r="GI637" i="59"/>
  <c r="GD637" i="59"/>
  <c r="FX637" i="59"/>
  <c r="FS637" i="59"/>
  <c r="FN637" i="59"/>
  <c r="FH637" i="59"/>
  <c r="FC637" i="59"/>
  <c r="EX637" i="59"/>
  <c r="HX637" i="59"/>
  <c r="HS637" i="59"/>
  <c r="HN637" i="59"/>
  <c r="HH637" i="59"/>
  <c r="HC637" i="59"/>
  <c r="GX637" i="59"/>
  <c r="GR637" i="59"/>
  <c r="GM637" i="59"/>
  <c r="GH637" i="59"/>
  <c r="GB637" i="59"/>
  <c r="FW637" i="59"/>
  <c r="FR637" i="59"/>
  <c r="FL637" i="59"/>
  <c r="FG637" i="59"/>
  <c r="FB637" i="59"/>
  <c r="EV637" i="59"/>
  <c r="HZ635" i="59"/>
  <c r="HN635" i="59"/>
  <c r="GY635" i="59"/>
  <c r="GO635" i="59"/>
  <c r="GD635" i="59"/>
  <c r="FS635" i="59"/>
  <c r="FI635" i="59"/>
  <c r="EX635" i="59"/>
  <c r="HY635" i="59"/>
  <c r="HI635" i="59"/>
  <c r="GX635" i="59"/>
  <c r="GM635" i="59"/>
  <c r="GC635" i="59"/>
  <c r="FR635" i="59"/>
  <c r="FG635" i="59"/>
  <c r="EW635" i="59"/>
  <c r="HA643" i="59"/>
  <c r="FB645" i="59"/>
  <c r="FT645" i="59"/>
  <c r="GN645" i="59"/>
  <c r="HF645" i="59"/>
  <c r="HY645" i="59"/>
  <c r="HG663" i="59"/>
  <c r="HQ648" i="59"/>
  <c r="HX639" i="59"/>
  <c r="HH639" i="59"/>
  <c r="GN639" i="59"/>
  <c r="FS639" i="59"/>
  <c r="FA639" i="59"/>
  <c r="HT639" i="59"/>
  <c r="HC639" i="59"/>
  <c r="GG639" i="59"/>
  <c r="FQ639" i="59"/>
  <c r="EW639" i="59"/>
  <c r="JO637" i="59"/>
  <c r="A1" i="54"/>
  <c r="A2" i="53"/>
  <c r="A2" i="55"/>
  <c r="M693" i="59" l="1"/>
  <c r="Q693" i="59" s="1"/>
  <c r="H678" i="59"/>
  <c r="I62" i="6"/>
  <c r="I1007" i="59"/>
  <c r="I1012" i="59" s="1"/>
  <c r="EC668" i="59"/>
  <c r="EO668" i="59"/>
  <c r="K699" i="59" s="1"/>
  <c r="ES668" i="59"/>
  <c r="J700" i="59" s="1"/>
  <c r="DI668" i="59"/>
  <c r="I693" i="59" s="1"/>
  <c r="AT668" i="59"/>
  <c r="DL668" i="59"/>
  <c r="L693" i="59" s="1"/>
  <c r="EQ668" i="59"/>
  <c r="H700" i="59" s="1"/>
  <c r="IM668" i="59"/>
  <c r="AE668" i="59"/>
  <c r="L677" i="59" s="1"/>
  <c r="L678" i="59" s="1"/>
  <c r="L680" i="59" s="1"/>
  <c r="L682" i="59" s="1"/>
  <c r="K998" i="59"/>
  <c r="K1021" i="59" s="1"/>
  <c r="N1010" i="59"/>
  <c r="N1012" i="59" s="1"/>
  <c r="N62" i="6"/>
  <c r="I1000" i="59"/>
  <c r="I1005" i="59" s="1"/>
  <c r="I1021" i="59" s="1"/>
  <c r="I55" i="6"/>
  <c r="I71" i="6" s="1"/>
  <c r="P60" i="6" s="1"/>
  <c r="FJ668" i="59"/>
  <c r="L716" i="59" s="1"/>
  <c r="I726" i="59"/>
  <c r="CS668" i="59"/>
  <c r="AW668" i="59"/>
  <c r="J685" i="59" s="1"/>
  <c r="X668" i="59"/>
  <c r="J676" i="59" s="1"/>
  <c r="J678" i="59" s="1"/>
  <c r="J680" i="59" s="1"/>
  <c r="BV668" i="59"/>
  <c r="J681" i="59" s="1"/>
  <c r="BY668" i="59"/>
  <c r="H734" i="59" s="1"/>
  <c r="BF668" i="59"/>
  <c r="EF668" i="59"/>
  <c r="CP668" i="59"/>
  <c r="J737" i="59" s="1"/>
  <c r="M737" i="59" s="1"/>
  <c r="Q737" i="59" s="1"/>
  <c r="IZ668" i="59"/>
  <c r="ID668" i="59"/>
  <c r="DF668" i="59"/>
  <c r="K692" i="59" s="1"/>
  <c r="DN668" i="59"/>
  <c r="I694" i="59" s="1"/>
  <c r="BB668" i="59"/>
  <c r="J684" i="59" s="1"/>
  <c r="J686" i="59" s="1"/>
  <c r="IG668" i="59"/>
  <c r="DY668" i="59"/>
  <c r="J696" i="59" s="1"/>
  <c r="M696" i="59" s="1"/>
  <c r="Q696" i="59" s="1"/>
  <c r="IJ668" i="59"/>
  <c r="EB668" i="59"/>
  <c r="EI668" i="59"/>
  <c r="J698" i="59" s="1"/>
  <c r="IX668" i="59"/>
  <c r="DQ668" i="59"/>
  <c r="L694" i="59" s="1"/>
  <c r="AB668" i="59"/>
  <c r="I677" i="59" s="1"/>
  <c r="DG668" i="59"/>
  <c r="L692" i="59" s="1"/>
  <c r="CY668" i="59"/>
  <c r="I739" i="59" s="1"/>
  <c r="IQ668" i="59"/>
  <c r="JB668" i="59"/>
  <c r="FK668" i="59"/>
  <c r="H721" i="59" s="1"/>
  <c r="HN668" i="59"/>
  <c r="H712" i="59" s="1"/>
  <c r="FB668" i="59"/>
  <c r="I715" i="59" s="1"/>
  <c r="GT668" i="59"/>
  <c r="H708" i="59" s="1"/>
  <c r="GB668" i="59"/>
  <c r="J720" i="59" s="1"/>
  <c r="JH668" i="59"/>
  <c r="EZ668" i="59"/>
  <c r="GR668" i="59"/>
  <c r="K707" i="59" s="1"/>
  <c r="FI668" i="59"/>
  <c r="K716" i="59" s="1"/>
  <c r="HL668" i="59"/>
  <c r="K711" i="59" s="1"/>
  <c r="K728" i="59" s="1"/>
  <c r="JK668" i="59"/>
  <c r="HW668" i="59"/>
  <c r="L713" i="59" s="1"/>
  <c r="HT668" i="59"/>
  <c r="I713" i="59" s="1"/>
  <c r="FQ668" i="59"/>
  <c r="I722" i="59" s="1"/>
  <c r="FP668" i="59"/>
  <c r="H722" i="59" s="1"/>
  <c r="FO668" i="59"/>
  <c r="L721" i="59" s="1"/>
  <c r="GY668" i="59"/>
  <c r="H709" i="59" s="1"/>
  <c r="JE668" i="59"/>
  <c r="EV668" i="59"/>
  <c r="GV668" i="59"/>
  <c r="J708" i="59" s="1"/>
  <c r="FY668" i="59"/>
  <c r="L719" i="59" s="1"/>
  <c r="FH668" i="59"/>
  <c r="J716" i="59" s="1"/>
  <c r="FL668" i="59"/>
  <c r="I721" i="59" s="1"/>
  <c r="AD668" i="59"/>
  <c r="K677" i="59" s="1"/>
  <c r="B832" i="59"/>
  <c r="C15" i="8"/>
  <c r="H15" i="8"/>
  <c r="I15" i="8"/>
  <c r="K44" i="8"/>
  <c r="G73" i="8"/>
  <c r="C102" i="8"/>
  <c r="B16" i="8"/>
  <c r="B833" i="59" s="1"/>
  <c r="J15" i="8"/>
  <c r="K15" i="8"/>
  <c r="C44" i="8"/>
  <c r="E44" i="8"/>
  <c r="F44" i="8"/>
  <c r="H44" i="8"/>
  <c r="J44" i="8"/>
  <c r="D73" i="8"/>
  <c r="I73" i="8"/>
  <c r="E15" i="8"/>
  <c r="B44" i="8"/>
  <c r="J73" i="8"/>
  <c r="C53" i="50"/>
  <c r="D15" i="8"/>
  <c r="G15" i="8"/>
  <c r="F15" i="8"/>
  <c r="I44" i="8"/>
  <c r="B102" i="8"/>
  <c r="G44" i="8"/>
  <c r="B73" i="8"/>
  <c r="C73" i="8"/>
  <c r="F102" i="8"/>
  <c r="F73" i="8"/>
  <c r="H73" i="8"/>
  <c r="K73" i="8"/>
  <c r="D102" i="8"/>
  <c r="D44" i="8"/>
  <c r="E73" i="8"/>
  <c r="E102" i="8"/>
  <c r="B838" i="59"/>
  <c r="J21" i="8"/>
  <c r="F21" i="8"/>
  <c r="I21" i="8"/>
  <c r="B50" i="8"/>
  <c r="F50" i="8"/>
  <c r="I50" i="8"/>
  <c r="C79" i="8"/>
  <c r="C896" i="59" s="1"/>
  <c r="G79" i="8"/>
  <c r="G896" i="59" s="1"/>
  <c r="C108" i="8"/>
  <c r="C925" i="59" s="1"/>
  <c r="F108" i="8"/>
  <c r="F925" i="59" s="1"/>
  <c r="H21" i="8"/>
  <c r="C21" i="8"/>
  <c r="K21" i="8"/>
  <c r="D50" i="8"/>
  <c r="E50" i="8"/>
  <c r="H50" i="8"/>
  <c r="J50" i="8"/>
  <c r="B79" i="8"/>
  <c r="B896" i="59" s="1"/>
  <c r="D79" i="8"/>
  <c r="D896" i="59" s="1"/>
  <c r="F79" i="8"/>
  <c r="F896" i="59" s="1"/>
  <c r="K79" i="8"/>
  <c r="K896" i="59" s="1"/>
  <c r="C13" i="51"/>
  <c r="B108" i="8"/>
  <c r="B925" i="59" s="1"/>
  <c r="E108" i="8"/>
  <c r="E925" i="59" s="1"/>
  <c r="E21" i="8"/>
  <c r="K50" i="8"/>
  <c r="E79" i="8"/>
  <c r="E896" i="59" s="1"/>
  <c r="H79" i="8"/>
  <c r="H896" i="59" s="1"/>
  <c r="C50" i="8"/>
  <c r="D108" i="8"/>
  <c r="D925" i="59" s="1"/>
  <c r="I79" i="8"/>
  <c r="I896" i="59" s="1"/>
  <c r="D21" i="8"/>
  <c r="G50" i="8"/>
  <c r="J79" i="8"/>
  <c r="J896" i="59" s="1"/>
  <c r="G21" i="8"/>
  <c r="I1019" i="59"/>
  <c r="P43" i="15"/>
  <c r="P441" i="59"/>
  <c r="DB668" i="59"/>
  <c r="L739" i="59" s="1"/>
  <c r="CL668" i="59"/>
  <c r="DA668" i="59"/>
  <c r="K739" i="59" s="1"/>
  <c r="CZ668" i="59"/>
  <c r="J739" i="59" s="1"/>
  <c r="BI668" i="59"/>
  <c r="DP668" i="59"/>
  <c r="IS668" i="59"/>
  <c r="AR668" i="59"/>
  <c r="AO668" i="59"/>
  <c r="L679" i="59" s="1"/>
  <c r="ER668" i="59"/>
  <c r="IP668" i="59"/>
  <c r="EA668" i="59"/>
  <c r="L696" i="59" s="1"/>
  <c r="BJ668" i="59"/>
  <c r="H689" i="59" s="1"/>
  <c r="EG668" i="59"/>
  <c r="H698" i="59" s="1"/>
  <c r="BZ668" i="59"/>
  <c r="I734" i="59" s="1"/>
  <c r="I736" i="59" s="1"/>
  <c r="I738" i="59" s="1"/>
  <c r="I740" i="59" s="1"/>
  <c r="BC668" i="59"/>
  <c r="K684" i="59" s="1"/>
  <c r="K686" i="59" s="1"/>
  <c r="CX668" i="59"/>
  <c r="H739" i="59" s="1"/>
  <c r="AL668" i="59"/>
  <c r="I679" i="59" s="1"/>
  <c r="CW668" i="59"/>
  <c r="CV668" i="59"/>
  <c r="CM668" i="59"/>
  <c r="CO668" i="59"/>
  <c r="I737" i="59" s="1"/>
  <c r="DT668" i="59"/>
  <c r="J695" i="59" s="1"/>
  <c r="CI668" i="59"/>
  <c r="DC668" i="59"/>
  <c r="H692" i="59" s="1"/>
  <c r="BS668" i="59"/>
  <c r="L688" i="59" s="1"/>
  <c r="L690" i="59" s="1"/>
  <c r="II668" i="59"/>
  <c r="AU668" i="59"/>
  <c r="H685" i="59" s="1"/>
  <c r="HB668" i="59"/>
  <c r="K709" i="59" s="1"/>
  <c r="K730" i="59" s="1"/>
  <c r="HR668" i="59"/>
  <c r="L712" i="59" s="1"/>
  <c r="L729" i="59" s="1"/>
  <c r="HF668" i="59"/>
  <c r="J710" i="59" s="1"/>
  <c r="GX668" i="59"/>
  <c r="L708" i="59" s="1"/>
  <c r="JF668" i="59"/>
  <c r="GD668" i="59"/>
  <c r="L720" i="59" s="1"/>
  <c r="GC668" i="59"/>
  <c r="K720" i="59" s="1"/>
  <c r="GZ668" i="59"/>
  <c r="I709" i="59" s="1"/>
  <c r="I730" i="59" s="1"/>
  <c r="GW668" i="59"/>
  <c r="K708" i="59" s="1"/>
  <c r="HI668" i="59"/>
  <c r="H711" i="59" s="1"/>
  <c r="HO668" i="59"/>
  <c r="I712" i="59" s="1"/>
  <c r="I729" i="59" s="1"/>
  <c r="GE668" i="59"/>
  <c r="H717" i="59" s="1"/>
  <c r="M717" i="59" s="1"/>
  <c r="Q717" i="59" s="1"/>
  <c r="FA668" i="59"/>
  <c r="H715" i="59" s="1"/>
  <c r="EY668" i="59"/>
  <c r="JP668" i="59"/>
  <c r="HH668" i="59"/>
  <c r="L710" i="59" s="1"/>
  <c r="L731" i="59" s="1"/>
  <c r="GK668" i="59"/>
  <c r="I718" i="59" s="1"/>
  <c r="GJ668" i="59"/>
  <c r="H718" i="59" s="1"/>
  <c r="FW668" i="59"/>
  <c r="J719" i="59" s="1"/>
  <c r="FC668" i="59"/>
  <c r="J715" i="59" s="1"/>
  <c r="GM668" i="59"/>
  <c r="K718" i="59" s="1"/>
  <c r="HQ668" i="59"/>
  <c r="K712" i="59" s="1"/>
  <c r="K729" i="59" s="1"/>
  <c r="GU668" i="59"/>
  <c r="I708" i="59" s="1"/>
  <c r="HM668" i="59"/>
  <c r="L711" i="59" s="1"/>
  <c r="L728" i="59" s="1"/>
  <c r="GG668" i="59"/>
  <c r="J717" i="59" s="1"/>
  <c r="G66" i="50"/>
  <c r="K66" i="50"/>
  <c r="I66" i="50"/>
  <c r="E66" i="50"/>
  <c r="BQ668" i="59"/>
  <c r="J688" i="59" s="1"/>
  <c r="N1021" i="59"/>
  <c r="DX668" i="59"/>
  <c r="I696" i="59" s="1"/>
  <c r="EJ668" i="59"/>
  <c r="K698" i="59" s="1"/>
  <c r="K700" i="59" s="1"/>
  <c r="DU668" i="59"/>
  <c r="K695" i="59" s="1"/>
  <c r="DO668" i="59"/>
  <c r="M677" i="59"/>
  <c r="Q677" i="59" s="1"/>
  <c r="CC668" i="59"/>
  <c r="L734" i="59" s="1"/>
  <c r="L736" i="59" s="1"/>
  <c r="CU668" i="59"/>
  <c r="DE668" i="59"/>
  <c r="J692" i="59" s="1"/>
  <c r="AM668" i="59"/>
  <c r="J679" i="59" s="1"/>
  <c r="W668" i="59"/>
  <c r="I676" i="59" s="1"/>
  <c r="I678" i="59" s="1"/>
  <c r="I680" i="59" s="1"/>
  <c r="I682" i="59" s="1"/>
  <c r="EE668" i="59"/>
  <c r="K697" i="59" s="1"/>
  <c r="DS668" i="59"/>
  <c r="I695" i="59" s="1"/>
  <c r="CA668" i="59"/>
  <c r="J734" i="59" s="1"/>
  <c r="FV668" i="59"/>
  <c r="I719" i="59" s="1"/>
  <c r="GL668" i="59"/>
  <c r="J718" i="59" s="1"/>
  <c r="FZ668" i="59"/>
  <c r="H720" i="59" s="1"/>
  <c r="GH668" i="59"/>
  <c r="K717" i="59" s="1"/>
  <c r="HZ668" i="59"/>
  <c r="J714" i="59" s="1"/>
  <c r="FN668" i="59"/>
  <c r="K721" i="59" s="1"/>
  <c r="JI668" i="59"/>
  <c r="JN668" i="59"/>
  <c r="GQ668" i="59"/>
  <c r="J707" i="59" s="1"/>
  <c r="FM668" i="59"/>
  <c r="J721" i="59" s="1"/>
  <c r="HS668" i="59"/>
  <c r="H713" i="59" s="1"/>
  <c r="M713" i="59" s="1"/>
  <c r="HU668" i="59"/>
  <c r="J713" i="59" s="1"/>
  <c r="FG668" i="59"/>
  <c r="I716" i="59" s="1"/>
  <c r="I725" i="59" s="1"/>
  <c r="GO668" i="59"/>
  <c r="H707" i="59" s="1"/>
  <c r="FX668" i="59"/>
  <c r="K719" i="59" s="1"/>
  <c r="JC668" i="59"/>
  <c r="HG668" i="59"/>
  <c r="K710" i="59" s="1"/>
  <c r="K731" i="59" s="1"/>
  <c r="HE668" i="59"/>
  <c r="I710" i="59" s="1"/>
  <c r="I731" i="59" s="1"/>
  <c r="JD668" i="59"/>
  <c r="HD668" i="59"/>
  <c r="H710" i="59" s="1"/>
  <c r="FE668" i="59"/>
  <c r="L715" i="59" s="1"/>
  <c r="L724" i="59" s="1"/>
  <c r="JO668" i="59"/>
  <c r="HP668" i="59"/>
  <c r="J712" i="59" s="1"/>
  <c r="J729" i="59" s="1"/>
  <c r="GN668" i="59"/>
  <c r="L718" i="59" s="1"/>
  <c r="P373" i="11"/>
  <c r="P1403" i="59"/>
  <c r="P1746" i="59" s="1"/>
  <c r="K71" i="6"/>
  <c r="L306" i="11" s="1"/>
  <c r="F1005" i="59"/>
  <c r="F1021" i="59" s="1"/>
  <c r="EK668" i="59"/>
  <c r="L698" i="59" s="1"/>
  <c r="L700" i="59" s="1"/>
  <c r="N1002" i="59"/>
  <c r="N1005" i="59" s="1"/>
  <c r="N55" i="6"/>
  <c r="N69" i="6"/>
  <c r="N71" i="6" s="1"/>
  <c r="JA668" i="59"/>
  <c r="CR668" i="59"/>
  <c r="L737" i="59" s="1"/>
  <c r="DD668" i="59"/>
  <c r="I692" i="59" s="1"/>
  <c r="BE668" i="59"/>
  <c r="BL668" i="59"/>
  <c r="J689" i="59" s="1"/>
  <c r="BX668" i="59"/>
  <c r="L681" i="59" s="1"/>
  <c r="BT668" i="59"/>
  <c r="H681" i="59" s="1"/>
  <c r="IN668" i="59"/>
  <c r="IO668" i="59"/>
  <c r="CK668" i="59"/>
  <c r="BD668" i="59"/>
  <c r="L684" i="59" s="1"/>
  <c r="EH668" i="59"/>
  <c r="I698" i="59" s="1"/>
  <c r="AG668" i="59"/>
  <c r="CQ668" i="59"/>
  <c r="K737" i="59" s="1"/>
  <c r="K738" i="59" s="1"/>
  <c r="K740" i="59" s="1"/>
  <c r="DM668" i="59"/>
  <c r="H694" i="59" s="1"/>
  <c r="DR668" i="59"/>
  <c r="H695" i="59" s="1"/>
  <c r="IR668" i="59"/>
  <c r="IT668" i="59"/>
  <c r="DV668" i="59"/>
  <c r="L695" i="59" s="1"/>
  <c r="IK668" i="59"/>
  <c r="Y668" i="59"/>
  <c r="K676" i="59" s="1"/>
  <c r="K678" i="59" s="1"/>
  <c r="K680" i="59" s="1"/>
  <c r="K682" i="59" s="1"/>
  <c r="CF668" i="59"/>
  <c r="J735" i="59" s="1"/>
  <c r="M735" i="59" s="1"/>
  <c r="Q735" i="59" s="1"/>
  <c r="EL668" i="59"/>
  <c r="H699" i="59" s="1"/>
  <c r="BA668" i="59"/>
  <c r="I684" i="59" s="1"/>
  <c r="I686" i="59" s="1"/>
  <c r="AZ668" i="59"/>
  <c r="H684" i="59" s="1"/>
  <c r="ED668" i="59"/>
  <c r="J697" i="59" s="1"/>
  <c r="AS668" i="59"/>
  <c r="AJ668" i="59"/>
  <c r="IC668" i="59"/>
  <c r="IW668" i="59"/>
  <c r="AK668" i="59"/>
  <c r="H679" i="59" s="1"/>
  <c r="M679" i="59" s="1"/>
  <c r="Q679" i="59" s="1"/>
  <c r="BH668" i="59"/>
  <c r="IY668" i="59"/>
  <c r="IU668" i="59"/>
  <c r="AQ668" i="59"/>
  <c r="BO668" i="59"/>
  <c r="H688" i="59" s="1"/>
  <c r="EM668" i="59"/>
  <c r="I699" i="59" s="1"/>
  <c r="AY668" i="59"/>
  <c r="L685" i="59" s="1"/>
  <c r="FT668" i="59"/>
  <c r="L722" i="59" s="1"/>
  <c r="FF668" i="59"/>
  <c r="H716" i="59" s="1"/>
  <c r="JJ668" i="59"/>
  <c r="FR668" i="59"/>
  <c r="J722" i="59" s="1"/>
  <c r="HJ668" i="59"/>
  <c r="I711" i="59" s="1"/>
  <c r="I728" i="59" s="1"/>
  <c r="EX668" i="59"/>
  <c r="GI668" i="59"/>
  <c r="L717" i="59" s="1"/>
  <c r="HC668" i="59"/>
  <c r="L709" i="59" s="1"/>
  <c r="L730" i="59" s="1"/>
  <c r="HK668" i="59"/>
  <c r="J711" i="59" s="1"/>
  <c r="J728" i="59" s="1"/>
  <c r="HA668" i="59"/>
  <c r="J709" i="59" s="1"/>
  <c r="J730" i="59" s="1"/>
  <c r="FU668" i="59"/>
  <c r="H719" i="59" s="1"/>
  <c r="M719" i="59" s="1"/>
  <c r="Q719" i="59" s="1"/>
  <c r="FS668" i="59"/>
  <c r="K722" i="59" s="1"/>
  <c r="GF668" i="59"/>
  <c r="I717" i="59" s="1"/>
  <c r="JG668" i="59"/>
  <c r="HY668" i="59"/>
  <c r="I714" i="59" s="1"/>
  <c r="GS668" i="59"/>
  <c r="L707" i="59" s="1"/>
  <c r="IB668" i="59"/>
  <c r="L714" i="59" s="1"/>
  <c r="IA668" i="59"/>
  <c r="K714" i="59" s="1"/>
  <c r="EW668" i="59"/>
  <c r="JL668" i="59"/>
  <c r="GA668" i="59"/>
  <c r="I720" i="59" s="1"/>
  <c r="FD668" i="59"/>
  <c r="K715" i="59" s="1"/>
  <c r="JM668" i="59"/>
  <c r="HX668" i="59"/>
  <c r="H714" i="59" s="1"/>
  <c r="M714" i="59" s="1"/>
  <c r="L668" i="59"/>
  <c r="L669" i="59" s="1"/>
  <c r="O744" i="59" s="1"/>
  <c r="G62" i="50"/>
  <c r="G19" i="8"/>
  <c r="G836" i="59" s="1"/>
  <c r="E19" i="8"/>
  <c r="E836" i="59" s="1"/>
  <c r="D48" i="8"/>
  <c r="D865" i="59" s="1"/>
  <c r="G48" i="8"/>
  <c r="G865" i="59" s="1"/>
  <c r="I48" i="8"/>
  <c r="I865" i="59" s="1"/>
  <c r="C77" i="8"/>
  <c r="C894" i="59" s="1"/>
  <c r="E77" i="8"/>
  <c r="E894" i="59" s="1"/>
  <c r="J77" i="8"/>
  <c r="J894" i="59" s="1"/>
  <c r="F106" i="8"/>
  <c r="F923" i="59" s="1"/>
  <c r="B836" i="59"/>
  <c r="D19" i="8"/>
  <c r="D836" i="59" s="1"/>
  <c r="B48" i="8"/>
  <c r="B77" i="8"/>
  <c r="B894" i="59" s="1"/>
  <c r="F77" i="8"/>
  <c r="F894" i="59" s="1"/>
  <c r="H77" i="8"/>
  <c r="H894" i="59" s="1"/>
  <c r="K77" i="8"/>
  <c r="K894" i="59" s="1"/>
  <c r="B106" i="8"/>
  <c r="B923" i="59" s="1"/>
  <c r="D106" i="8"/>
  <c r="D923" i="59" s="1"/>
  <c r="E106" i="8"/>
  <c r="E923" i="59" s="1"/>
  <c r="C19" i="8"/>
  <c r="C836" i="59" s="1"/>
  <c r="I19" i="8"/>
  <c r="I836" i="59" s="1"/>
  <c r="F48" i="8"/>
  <c r="F865" i="59" s="1"/>
  <c r="J48" i="8"/>
  <c r="J865" i="59" s="1"/>
  <c r="D77" i="8"/>
  <c r="D894" i="59" s="1"/>
  <c r="F19" i="8"/>
  <c r="F836" i="59" s="1"/>
  <c r="E48" i="8"/>
  <c r="E865" i="59" s="1"/>
  <c r="K48" i="8"/>
  <c r="K865" i="59" s="1"/>
  <c r="C106" i="8"/>
  <c r="C923" i="59" s="1"/>
  <c r="H19" i="8"/>
  <c r="H836" i="59" s="1"/>
  <c r="J19" i="8"/>
  <c r="J836" i="59" s="1"/>
  <c r="C48" i="8"/>
  <c r="C865" i="59" s="1"/>
  <c r="H48" i="8"/>
  <c r="H865" i="59" s="1"/>
  <c r="K19" i="8"/>
  <c r="K836" i="59" s="1"/>
  <c r="G77" i="8"/>
  <c r="G894" i="59" s="1"/>
  <c r="I77" i="8"/>
  <c r="I894" i="59" s="1"/>
  <c r="J160" i="15" l="1"/>
  <c r="J161" i="15" s="1"/>
  <c r="P49" i="6"/>
  <c r="K13" i="53"/>
  <c r="P1010" i="59"/>
  <c r="P999" i="59" s="1"/>
  <c r="J558" i="59"/>
  <c r="L706" i="59"/>
  <c r="L726" i="59"/>
  <c r="H726" i="59"/>
  <c r="M707" i="59"/>
  <c r="H706" i="59"/>
  <c r="J694" i="59"/>
  <c r="J724" i="59"/>
  <c r="M685" i="59"/>
  <c r="Q685" i="59" s="1"/>
  <c r="G838" i="59"/>
  <c r="H13" i="51"/>
  <c r="E919" i="59"/>
  <c r="E103" i="8"/>
  <c r="E920" i="59" s="1"/>
  <c r="E109" i="8"/>
  <c r="E122" i="8"/>
  <c r="E939" i="59" s="1"/>
  <c r="C890" i="59"/>
  <c r="C74" i="8"/>
  <c r="C891" i="59" s="1"/>
  <c r="C80" i="8"/>
  <c r="C93" i="8"/>
  <c r="C910" i="59" s="1"/>
  <c r="D832" i="59"/>
  <c r="D16" i="8"/>
  <c r="D833" i="59" s="1"/>
  <c r="D35" i="8"/>
  <c r="D852" i="59" s="1"/>
  <c r="D22" i="8"/>
  <c r="H51" i="8"/>
  <c r="H45" i="8"/>
  <c r="H862" i="59" s="1"/>
  <c r="H861" i="59"/>
  <c r="H64" i="8"/>
  <c r="H881" i="59" s="1"/>
  <c r="K16" i="8"/>
  <c r="K833" i="59" s="1"/>
  <c r="K832" i="59"/>
  <c r="I832" i="59"/>
  <c r="I16" i="8"/>
  <c r="I833" i="59" s="1"/>
  <c r="M722" i="59"/>
  <c r="I724" i="59"/>
  <c r="I706" i="59"/>
  <c r="J726" i="59"/>
  <c r="J706" i="59"/>
  <c r="J690" i="59"/>
  <c r="I727" i="59"/>
  <c r="I704" i="59"/>
  <c r="J731" i="59"/>
  <c r="K867" i="59"/>
  <c r="H53" i="51"/>
  <c r="D867" i="59"/>
  <c r="H33" i="51"/>
  <c r="F53" i="51"/>
  <c r="I867" i="59"/>
  <c r="E890" i="59"/>
  <c r="E74" i="8"/>
  <c r="E891" i="59" s="1"/>
  <c r="B890" i="59"/>
  <c r="B80" i="8"/>
  <c r="B74" i="8"/>
  <c r="B891" i="59" s="1"/>
  <c r="E53" i="50"/>
  <c r="I53" i="50"/>
  <c r="K53" i="50"/>
  <c r="C54" i="50"/>
  <c r="G53" i="50"/>
  <c r="C56" i="50"/>
  <c r="C64" i="50" s="1"/>
  <c r="C70" i="50" s="1"/>
  <c r="F861" i="59"/>
  <c r="F45" i="8"/>
  <c r="F862" i="59" s="1"/>
  <c r="C919" i="59"/>
  <c r="C103" i="8"/>
  <c r="C920" i="59" s="1"/>
  <c r="C109" i="8"/>
  <c r="H832" i="59"/>
  <c r="H16" i="8"/>
  <c r="H833" i="59" s="1"/>
  <c r="H729" i="59"/>
  <c r="M729" i="59" s="1"/>
  <c r="M712" i="59"/>
  <c r="L697" i="59"/>
  <c r="H680" i="59"/>
  <c r="M678" i="59"/>
  <c r="Q678" i="59" s="1"/>
  <c r="M699" i="59"/>
  <c r="Q699" i="59" s="1"/>
  <c r="L686" i="59"/>
  <c r="M681" i="59"/>
  <c r="Q681" i="59" s="1"/>
  <c r="P1750" i="59"/>
  <c r="P1379" i="59"/>
  <c r="M720" i="59"/>
  <c r="H724" i="59"/>
  <c r="M715" i="59"/>
  <c r="Q715" i="59" s="1"/>
  <c r="K727" i="59"/>
  <c r="K704" i="59"/>
  <c r="M692" i="59"/>
  <c r="Q692" i="59" s="1"/>
  <c r="M739" i="59"/>
  <c r="Q739" i="59" s="1"/>
  <c r="M689" i="59"/>
  <c r="Q689" i="59" s="1"/>
  <c r="E13" i="51"/>
  <c r="D838" i="59"/>
  <c r="E53" i="51"/>
  <c r="H867" i="59"/>
  <c r="D13" i="51"/>
  <c r="C838" i="59"/>
  <c r="B867" i="59"/>
  <c r="F33" i="51"/>
  <c r="D919" i="59"/>
  <c r="D103" i="8"/>
  <c r="D920" i="59" s="1"/>
  <c r="F919" i="59"/>
  <c r="F109" i="8"/>
  <c r="F103" i="8"/>
  <c r="F920" i="59" s="1"/>
  <c r="B919" i="59"/>
  <c r="B103" i="8"/>
  <c r="B920" i="59" s="1"/>
  <c r="B109" i="8"/>
  <c r="B122" i="8"/>
  <c r="B939" i="59" s="1"/>
  <c r="G832" i="59"/>
  <c r="G16" i="8"/>
  <c r="G833" i="59" s="1"/>
  <c r="B45" i="8"/>
  <c r="B862" i="59" s="1"/>
  <c r="B861" i="59"/>
  <c r="J51" i="8"/>
  <c r="J45" i="8"/>
  <c r="J862" i="59" s="1"/>
  <c r="J861" i="59"/>
  <c r="J64" i="8"/>
  <c r="J881" i="59" s="1"/>
  <c r="C51" i="8"/>
  <c r="C861" i="59"/>
  <c r="C45" i="8"/>
  <c r="C862" i="59" s="1"/>
  <c r="B35" i="8"/>
  <c r="B852" i="59" s="1"/>
  <c r="K861" i="59"/>
  <c r="K45" i="8"/>
  <c r="K862" i="59" s="1"/>
  <c r="J4" i="56"/>
  <c r="J727" i="59"/>
  <c r="J704" i="59"/>
  <c r="K726" i="59"/>
  <c r="K706" i="59"/>
  <c r="H727" i="59"/>
  <c r="H704" i="59"/>
  <c r="M708" i="59"/>
  <c r="P806" i="59"/>
  <c r="O806" i="59"/>
  <c r="H697" i="59"/>
  <c r="H736" i="59"/>
  <c r="M734" i="59"/>
  <c r="Q734" i="59" s="1"/>
  <c r="L725" i="59"/>
  <c r="O808" i="59"/>
  <c r="P808" i="59"/>
  <c r="P6" i="11"/>
  <c r="P377" i="11"/>
  <c r="L704" i="59"/>
  <c r="L727" i="59"/>
  <c r="I33" i="51"/>
  <c r="E867" i="59"/>
  <c r="I13" i="51"/>
  <c r="H838" i="59"/>
  <c r="I838" i="59"/>
  <c r="C33" i="51"/>
  <c r="K890" i="59"/>
  <c r="K74" i="8"/>
  <c r="K891" i="59" s="1"/>
  <c r="I861" i="59"/>
  <c r="I64" i="8"/>
  <c r="I881" i="59" s="1"/>
  <c r="I45" i="8"/>
  <c r="I862" i="59" s="1"/>
  <c r="I51" i="8"/>
  <c r="E16" i="8"/>
  <c r="E833" i="59" s="1"/>
  <c r="E832" i="59"/>
  <c r="E35" i="8"/>
  <c r="E852" i="59" s="1"/>
  <c r="C832" i="59"/>
  <c r="C22" i="8"/>
  <c r="C16" i="8"/>
  <c r="C833" i="59" s="1"/>
  <c r="C35" i="8"/>
  <c r="C852" i="59" s="1"/>
  <c r="H686" i="59"/>
  <c r="M686" i="59" s="1"/>
  <c r="Q686" i="59" s="1"/>
  <c r="M684" i="59"/>
  <c r="Q684" i="59" s="1"/>
  <c r="F838" i="59"/>
  <c r="G13" i="51"/>
  <c r="H890" i="59"/>
  <c r="H74" i="8"/>
  <c r="H891" i="59" s="1"/>
  <c r="K7" i="8"/>
  <c r="I890" i="59"/>
  <c r="I74" i="8"/>
  <c r="I891" i="59" s="1"/>
  <c r="I80" i="8"/>
  <c r="J832" i="59"/>
  <c r="J16" i="8"/>
  <c r="J833" i="59" s="1"/>
  <c r="J725" i="59"/>
  <c r="J682" i="59"/>
  <c r="B865" i="59"/>
  <c r="F54" i="51"/>
  <c r="C54" i="51"/>
  <c r="H54" i="51"/>
  <c r="D54" i="51"/>
  <c r="G54" i="51"/>
  <c r="E54" i="51"/>
  <c r="K724" i="59"/>
  <c r="O807" i="59"/>
  <c r="P807" i="59"/>
  <c r="H725" i="59"/>
  <c r="M716" i="59"/>
  <c r="M688" i="59"/>
  <c r="Q688" i="59" s="1"/>
  <c r="H690" i="59"/>
  <c r="M690" i="59" s="1"/>
  <c r="Q690" i="59" s="1"/>
  <c r="M695" i="59"/>
  <c r="Q695" i="59" s="1"/>
  <c r="L1679" i="59"/>
  <c r="L1681" i="59" s="1"/>
  <c r="L308" i="11"/>
  <c r="H731" i="59"/>
  <c r="M731" i="59" s="1"/>
  <c r="M710" i="59"/>
  <c r="J736" i="59"/>
  <c r="J738" i="59" s="1"/>
  <c r="J740" i="59" s="1"/>
  <c r="L738" i="59"/>
  <c r="L740" i="59" s="1"/>
  <c r="M718" i="59"/>
  <c r="H728" i="59"/>
  <c r="M728" i="59" s="1"/>
  <c r="M711" i="59"/>
  <c r="M698" i="59"/>
  <c r="Q698" i="59" s="1"/>
  <c r="I700" i="59"/>
  <c r="M700" i="59" s="1"/>
  <c r="Q700" i="59" s="1"/>
  <c r="K694" i="59"/>
  <c r="M694" i="59" s="1"/>
  <c r="Q694" i="59" s="1"/>
  <c r="D53" i="51"/>
  <c r="G867" i="59"/>
  <c r="C867" i="59"/>
  <c r="G33" i="51"/>
  <c r="F13" i="51"/>
  <c r="E838" i="59"/>
  <c r="G53" i="51"/>
  <c r="J867" i="59"/>
  <c r="E33" i="51"/>
  <c r="K838" i="59"/>
  <c r="C53" i="51"/>
  <c r="F867" i="59"/>
  <c r="D33" i="51"/>
  <c r="J838" i="59"/>
  <c r="D45" i="8"/>
  <c r="D862" i="59" s="1"/>
  <c r="D861" i="59"/>
  <c r="D51" i="8"/>
  <c r="F890" i="59"/>
  <c r="F74" i="8"/>
  <c r="F891" i="59" s="1"/>
  <c r="F80" i="8"/>
  <c r="F93" i="8"/>
  <c r="F910" i="59" s="1"/>
  <c r="G861" i="59"/>
  <c r="G45" i="8"/>
  <c r="G862" i="59" s="1"/>
  <c r="F832" i="59"/>
  <c r="F16" i="8"/>
  <c r="F833" i="59" s="1"/>
  <c r="J74" i="8"/>
  <c r="J891" i="59" s="1"/>
  <c r="J890" i="59"/>
  <c r="D74" i="8"/>
  <c r="D891" i="59" s="1"/>
  <c r="D890" i="59"/>
  <c r="E45" i="8"/>
  <c r="E862" i="59" s="1"/>
  <c r="E861" i="59"/>
  <c r="B22" i="8"/>
  <c r="G890" i="59"/>
  <c r="G74" i="8"/>
  <c r="G891" i="59" s="1"/>
  <c r="K5" i="8"/>
  <c r="H730" i="59"/>
  <c r="M730" i="59" s="1"/>
  <c r="M709" i="59"/>
  <c r="K725" i="59"/>
  <c r="M721" i="59"/>
  <c r="Q721" i="59" s="1"/>
  <c r="I697" i="59"/>
  <c r="M676" i="59"/>
  <c r="Q676" i="59" s="1"/>
  <c r="G93" i="8" l="1"/>
  <c r="G910" i="59" s="1"/>
  <c r="B31" i="8"/>
  <c r="B848" i="59" s="1"/>
  <c r="B839" i="59"/>
  <c r="B30" i="8"/>
  <c r="G51" i="8"/>
  <c r="I89" i="8"/>
  <c r="I906" i="59" s="1"/>
  <c r="I897" i="59"/>
  <c r="I88" i="8"/>
  <c r="I905" i="59" s="1"/>
  <c r="C31" i="8"/>
  <c r="C848" i="59" s="1"/>
  <c r="C839" i="59"/>
  <c r="C30" i="8"/>
  <c r="M736" i="59"/>
  <c r="Q736" i="59" s="1"/>
  <c r="H738" i="59"/>
  <c r="C868" i="59"/>
  <c r="C60" i="8"/>
  <c r="C877" i="59" s="1"/>
  <c r="C59" i="8"/>
  <c r="J868" i="59"/>
  <c r="J59" i="8"/>
  <c r="J60" i="8"/>
  <c r="J877" i="59" s="1"/>
  <c r="H682" i="59"/>
  <c r="M682" i="59" s="1"/>
  <c r="M680" i="59"/>
  <c r="Q680" i="59" s="1"/>
  <c r="C926" i="59"/>
  <c r="C117" i="8"/>
  <c r="C934" i="59" s="1"/>
  <c r="C118" i="8"/>
  <c r="C935" i="59" s="1"/>
  <c r="C72" i="50"/>
  <c r="C76" i="50"/>
  <c r="C73" i="50" s="1"/>
  <c r="I54" i="50"/>
  <c r="I56" i="50" s="1"/>
  <c r="I64" i="50" s="1"/>
  <c r="I70" i="50" s="1"/>
  <c r="B89" i="8"/>
  <c r="B906" i="59" s="1"/>
  <c r="B897" i="59"/>
  <c r="B88" i="8"/>
  <c r="B905" i="59" s="1"/>
  <c r="H59" i="8"/>
  <c r="H868" i="59"/>
  <c r="H60" i="8"/>
  <c r="H877" i="59" s="1"/>
  <c r="M726" i="59"/>
  <c r="G80" i="8"/>
  <c r="E64" i="8"/>
  <c r="E881" i="59" s="1"/>
  <c r="D93" i="8"/>
  <c r="D910" i="59" s="1"/>
  <c r="J80" i="8"/>
  <c r="F22" i="8"/>
  <c r="G64" i="8"/>
  <c r="G881" i="59" s="1"/>
  <c r="D64" i="8"/>
  <c r="D881" i="59" s="1"/>
  <c r="J22" i="8"/>
  <c r="H80" i="8"/>
  <c r="M697" i="59"/>
  <c r="Q697" i="59" s="1"/>
  <c r="M704" i="59"/>
  <c r="K64" i="8"/>
  <c r="K881" i="59" s="1"/>
  <c r="B51" i="8"/>
  <c r="G22" i="8"/>
  <c r="D109" i="8"/>
  <c r="H35" i="8"/>
  <c r="H852" i="59" s="1"/>
  <c r="C122" i="8"/>
  <c r="C939" i="59" s="1"/>
  <c r="F64" i="8"/>
  <c r="F881" i="59" s="1"/>
  <c r="G54" i="50"/>
  <c r="G56" i="50" s="1"/>
  <c r="G64" i="50" s="1"/>
  <c r="G70" i="50" s="1"/>
  <c r="E54" i="50"/>
  <c r="E56" i="50"/>
  <c r="E64" i="50" s="1"/>
  <c r="E70" i="50" s="1"/>
  <c r="I22" i="8"/>
  <c r="K35" i="8"/>
  <c r="K852" i="59" s="1"/>
  <c r="D839" i="59"/>
  <c r="D30" i="8"/>
  <c r="D31" i="8"/>
  <c r="D848" i="59" s="1"/>
  <c r="F88" i="8"/>
  <c r="F905" i="59" s="1"/>
  <c r="F897" i="59"/>
  <c r="F89" i="8"/>
  <c r="F906" i="59" s="1"/>
  <c r="D868" i="59"/>
  <c r="D59" i="8"/>
  <c r="D60" i="8"/>
  <c r="D877" i="59" s="1"/>
  <c r="I868" i="59"/>
  <c r="I59" i="8"/>
  <c r="I60" i="8"/>
  <c r="I877" i="59" s="1"/>
  <c r="K80" i="8"/>
  <c r="M727" i="59"/>
  <c r="K51" i="8"/>
  <c r="B64" i="8"/>
  <c r="B881" i="59" s="1"/>
  <c r="B117" i="8"/>
  <c r="B934" i="59" s="1"/>
  <c r="B118" i="8"/>
  <c r="B935" i="59" s="1"/>
  <c r="B926" i="59"/>
  <c r="F118" i="8"/>
  <c r="F935" i="59" s="1"/>
  <c r="F926" i="59"/>
  <c r="F117" i="8"/>
  <c r="F934" i="59" s="1"/>
  <c r="H22" i="8"/>
  <c r="E80" i="8"/>
  <c r="K22" i="8"/>
  <c r="C89" i="8"/>
  <c r="C906" i="59" s="1"/>
  <c r="C88" i="8"/>
  <c r="C905" i="59" s="1"/>
  <c r="C897" i="59"/>
  <c r="E118" i="8"/>
  <c r="E935" i="59" s="1"/>
  <c r="E926" i="59"/>
  <c r="E117" i="8"/>
  <c r="E934" i="59" s="1"/>
  <c r="E51" i="8"/>
  <c r="D80" i="8"/>
  <c r="J93" i="8"/>
  <c r="J910" i="59" s="1"/>
  <c r="F35" i="8"/>
  <c r="F852" i="59" s="1"/>
  <c r="M725" i="59"/>
  <c r="J35" i="8"/>
  <c r="J852" i="59" s="1"/>
  <c r="I93" i="8"/>
  <c r="I910" i="59" s="1"/>
  <c r="H93" i="8"/>
  <c r="H910" i="59" s="1"/>
  <c r="E22" i="8"/>
  <c r="K93" i="8"/>
  <c r="K910" i="59" s="1"/>
  <c r="C64" i="8"/>
  <c r="C881" i="59" s="1"/>
  <c r="G35" i="8"/>
  <c r="G852" i="59" s="1"/>
  <c r="F122" i="8"/>
  <c r="F939" i="59" s="1"/>
  <c r="D122" i="8"/>
  <c r="D939" i="59" s="1"/>
  <c r="M724" i="59"/>
  <c r="F51" i="8"/>
  <c r="K54" i="50"/>
  <c r="K56" i="50"/>
  <c r="K64" i="50" s="1"/>
  <c r="K70" i="50" s="1"/>
  <c r="B93" i="8"/>
  <c r="B910" i="59" s="1"/>
  <c r="E93" i="8"/>
  <c r="E910" i="59" s="1"/>
  <c r="I35" i="8"/>
  <c r="I852" i="59" s="1"/>
  <c r="M706" i="59"/>
  <c r="Q706" i="59" s="1"/>
  <c r="J163" i="15"/>
  <c r="J165" i="15" s="1"/>
  <c r="J167" i="15" s="1"/>
  <c r="J169" i="15" s="1"/>
  <c r="G160" i="15"/>
  <c r="J559" i="59"/>
  <c r="I72" i="50" l="1"/>
  <c r="I76" i="50"/>
  <c r="I73" i="50" s="1"/>
  <c r="G72" i="50"/>
  <c r="G76" i="50"/>
  <c r="G73" i="50" s="1"/>
  <c r="M171" i="15"/>
  <c r="J173" i="15"/>
  <c r="F49" i="51"/>
  <c r="I876" i="59"/>
  <c r="P809" i="59"/>
  <c r="P810" i="59" s="1"/>
  <c r="N803" i="59" s="1"/>
  <c r="O810" i="59"/>
  <c r="O809" i="59"/>
  <c r="E9" i="51"/>
  <c r="D847" i="59"/>
  <c r="G839" i="59"/>
  <c r="G30" i="8"/>
  <c r="G31" i="8"/>
  <c r="G848" i="59" s="1"/>
  <c r="F60" i="8"/>
  <c r="F877" i="59" s="1"/>
  <c r="F868" i="59"/>
  <c r="F59" i="8"/>
  <c r="E839" i="59"/>
  <c r="E31" i="8"/>
  <c r="E848" i="59" s="1"/>
  <c r="E30" i="8"/>
  <c r="E60" i="8"/>
  <c r="E877" i="59" s="1"/>
  <c r="E868" i="59"/>
  <c r="E59" i="8"/>
  <c r="E897" i="59"/>
  <c r="E88" i="8"/>
  <c r="E905" i="59" s="1"/>
  <c r="E89" i="8"/>
  <c r="E906" i="59" s="1"/>
  <c r="D876" i="59"/>
  <c r="H29" i="51"/>
  <c r="J31" i="8"/>
  <c r="J848" i="59" s="1"/>
  <c r="J30" i="8"/>
  <c r="J839" i="59"/>
  <c r="J897" i="59"/>
  <c r="J89" i="8"/>
  <c r="J906" i="59" s="1"/>
  <c r="J88" i="8"/>
  <c r="J905" i="59" s="1"/>
  <c r="E49" i="51"/>
  <c r="H876" i="59"/>
  <c r="Q682" i="59"/>
  <c r="Q673" i="59" s="1"/>
  <c r="J803" i="59"/>
  <c r="N793" i="59"/>
  <c r="N794" i="59"/>
  <c r="J804" i="59"/>
  <c r="P801" i="59"/>
  <c r="P812" i="59" s="1"/>
  <c r="J802" i="59"/>
  <c r="N799" i="59"/>
  <c r="G29" i="51"/>
  <c r="C876" i="59"/>
  <c r="B847" i="59"/>
  <c r="C9" i="51"/>
  <c r="H839" i="59"/>
  <c r="H30" i="8"/>
  <c r="H31" i="8"/>
  <c r="H848" i="59" s="1"/>
  <c r="K868" i="59"/>
  <c r="K60" i="8"/>
  <c r="K877" i="59" s="1"/>
  <c r="K59" i="8"/>
  <c r="I839" i="59"/>
  <c r="I31" i="8"/>
  <c r="I848" i="59" s="1"/>
  <c r="I30" i="8"/>
  <c r="D118" i="8"/>
  <c r="D935" i="59" s="1"/>
  <c r="D117" i="8"/>
  <c r="D934" i="59" s="1"/>
  <c r="D926" i="59"/>
  <c r="C847" i="59"/>
  <c r="D9" i="51"/>
  <c r="K76" i="50"/>
  <c r="K73" i="50" s="1"/>
  <c r="K72" i="50"/>
  <c r="E72" i="50"/>
  <c r="E76" i="50"/>
  <c r="E73" i="50" s="1"/>
  <c r="G49" i="51"/>
  <c r="J876" i="59"/>
  <c r="J561" i="59"/>
  <c r="J563" i="59" s="1"/>
  <c r="J565" i="59" s="1"/>
  <c r="J567" i="59" s="1"/>
  <c r="G558" i="59"/>
  <c r="D897" i="59"/>
  <c r="D88" i="8"/>
  <c r="D905" i="59" s="1"/>
  <c r="D89" i="8"/>
  <c r="D906" i="59" s="1"/>
  <c r="K31" i="8"/>
  <c r="K848" i="59" s="1"/>
  <c r="K30" i="8"/>
  <c r="K839" i="59"/>
  <c r="K88" i="8"/>
  <c r="K905" i="59" s="1"/>
  <c r="K89" i="8"/>
  <c r="K906" i="59" s="1"/>
  <c r="K897" i="59"/>
  <c r="B59" i="8"/>
  <c r="B868" i="59"/>
  <c r="B60" i="8"/>
  <c r="B877" i="59" s="1"/>
  <c r="H897" i="59"/>
  <c r="H88" i="8"/>
  <c r="H905" i="59" s="1"/>
  <c r="H89" i="8"/>
  <c r="H906" i="59" s="1"/>
  <c r="F839" i="59"/>
  <c r="F30" i="8"/>
  <c r="F31" i="8"/>
  <c r="F848" i="59" s="1"/>
  <c r="G897" i="59"/>
  <c r="G88" i="8"/>
  <c r="G905" i="59" s="1"/>
  <c r="G89" i="8"/>
  <c r="G906" i="59" s="1"/>
  <c r="H740" i="59"/>
  <c r="M740" i="59" s="1"/>
  <c r="Q740" i="59" s="1"/>
  <c r="M738" i="59"/>
  <c r="Q738" i="59" s="1"/>
  <c r="G59" i="8"/>
  <c r="G60" i="8"/>
  <c r="G877" i="59" s="1"/>
  <c r="G868" i="59"/>
  <c r="M569" i="59" l="1"/>
  <c r="J571" i="59"/>
  <c r="E497" i="59" s="1"/>
  <c r="I847" i="59"/>
  <c r="C29" i="51"/>
  <c r="G37" i="51"/>
  <c r="G38" i="51" s="1"/>
  <c r="G40" i="51"/>
  <c r="G44" i="51" s="1"/>
  <c r="K17" i="51" s="1"/>
  <c r="C49" i="51"/>
  <c r="F876" i="59"/>
  <c r="G847" i="59"/>
  <c r="H9" i="51"/>
  <c r="F57" i="51"/>
  <c r="F58" i="51" s="1"/>
  <c r="F60" i="51"/>
  <c r="F64" i="51" s="1"/>
  <c r="K23" i="51" s="1"/>
  <c r="F29" i="51"/>
  <c r="B876" i="59"/>
  <c r="C17" i="51"/>
  <c r="C18" i="51" s="1"/>
  <c r="C20" i="51" s="1"/>
  <c r="C24" i="51" s="1"/>
  <c r="K6" i="51" s="1"/>
  <c r="G66" i="51" s="1"/>
  <c r="N85" i="49" s="1"/>
  <c r="H37" i="51"/>
  <c r="H38" i="51" s="1"/>
  <c r="H40" i="51" s="1"/>
  <c r="H44" i="51" s="1"/>
  <c r="K18" i="51" s="1"/>
  <c r="F9" i="51"/>
  <c r="E847" i="59"/>
  <c r="J7" i="7"/>
  <c r="J13" i="59" s="1"/>
  <c r="L44" i="3"/>
  <c r="L45" i="3"/>
  <c r="E99" i="15"/>
  <c r="M61" i="49"/>
  <c r="P61" i="49" s="1"/>
  <c r="C21" i="51"/>
  <c r="G9" i="51"/>
  <c r="F847" i="59"/>
  <c r="E29" i="51"/>
  <c r="K847" i="59"/>
  <c r="G57" i="51"/>
  <c r="G58" i="51" s="1"/>
  <c r="G60" i="51" s="1"/>
  <c r="G64" i="51" s="1"/>
  <c r="K24" i="51" s="1"/>
  <c r="E57" i="51"/>
  <c r="E58" i="51" s="1"/>
  <c r="E60" i="51" s="1"/>
  <c r="E64" i="51" s="1"/>
  <c r="K22" i="51" s="1"/>
  <c r="I29" i="51"/>
  <c r="E876" i="59"/>
  <c r="G876" i="59"/>
  <c r="D49" i="51"/>
  <c r="D17" i="51"/>
  <c r="D18" i="51" s="1"/>
  <c r="D20" i="51" s="1"/>
  <c r="D24" i="51" s="1"/>
  <c r="K7" i="51" s="1"/>
  <c r="H49" i="51"/>
  <c r="K876" i="59"/>
  <c r="H847" i="59"/>
  <c r="I9" i="51"/>
  <c r="D29" i="51"/>
  <c r="J847" i="59"/>
  <c r="E17" i="51"/>
  <c r="E18" i="51" s="1"/>
  <c r="E20" i="51" s="1"/>
  <c r="E24" i="51" s="1"/>
  <c r="K8" i="51" s="1"/>
  <c r="D57" i="51" l="1"/>
  <c r="D58" i="51" s="1"/>
  <c r="D60" i="51"/>
  <c r="D64" i="51" s="1"/>
  <c r="K21" i="51" s="1"/>
  <c r="I17" i="51"/>
  <c r="I18" i="51" s="1"/>
  <c r="I20" i="51" s="1"/>
  <c r="I24" i="51" s="1"/>
  <c r="K12" i="51" s="1"/>
  <c r="C37" i="51"/>
  <c r="C38" i="51" s="1"/>
  <c r="C40" i="51"/>
  <c r="C44" i="51" s="1"/>
  <c r="K13" i="51" s="1"/>
  <c r="I37" i="51"/>
  <c r="I38" i="51" s="1"/>
  <c r="I40" i="51"/>
  <c r="I44" i="51" s="1"/>
  <c r="K19" i="51" s="1"/>
  <c r="G17" i="51"/>
  <c r="G18" i="51" s="1"/>
  <c r="G20" i="51" s="1"/>
  <c r="G24" i="51" s="1"/>
  <c r="K10" i="51" s="1"/>
  <c r="L381" i="59"/>
  <c r="N381" i="59" s="1"/>
  <c r="N45" i="3"/>
  <c r="F17" i="51"/>
  <c r="F18" i="51" s="1"/>
  <c r="F20" i="51"/>
  <c r="F24" i="51" s="1"/>
  <c r="K9" i="51" s="1"/>
  <c r="C57" i="51"/>
  <c r="C58" i="51" s="1"/>
  <c r="C60" i="51" s="1"/>
  <c r="C64" i="51" s="1"/>
  <c r="K20" i="51" s="1"/>
  <c r="C41" i="51"/>
  <c r="D41" i="51" s="1"/>
  <c r="E41" i="51" s="1"/>
  <c r="C22" i="51"/>
  <c r="C42" i="51" s="1"/>
  <c r="D42" i="51" s="1"/>
  <c r="E42" i="51" s="1"/>
  <c r="D21" i="51"/>
  <c r="L380" i="59"/>
  <c r="N380" i="59" s="1"/>
  <c r="N44" i="3"/>
  <c r="H17" i="51"/>
  <c r="H18" i="51" s="1"/>
  <c r="H20" i="51" s="1"/>
  <c r="H24" i="51" s="1"/>
  <c r="K11" i="51" s="1"/>
  <c r="D40" i="51"/>
  <c r="D44" i="51" s="1"/>
  <c r="K14" i="51" s="1"/>
  <c r="D37" i="51"/>
  <c r="D38" i="51" s="1"/>
  <c r="H60" i="51"/>
  <c r="H64" i="51" s="1"/>
  <c r="K25" i="51" s="1"/>
  <c r="H57" i="51"/>
  <c r="H58" i="51" s="1"/>
  <c r="E37" i="51"/>
  <c r="E38" i="51" s="1"/>
  <c r="E40" i="51" s="1"/>
  <c r="E44" i="51" s="1"/>
  <c r="K15" i="51" s="1"/>
  <c r="F40" i="51"/>
  <c r="F44" i="51" s="1"/>
  <c r="K16" i="51" s="1"/>
  <c r="F37" i="51"/>
  <c r="F38" i="51" s="1"/>
  <c r="E21" i="51" l="1"/>
  <c r="D22" i="51"/>
  <c r="E22" i="51" l="1"/>
  <c r="F21" i="51"/>
  <c r="F22" i="51" l="1"/>
  <c r="G21" i="51"/>
  <c r="G22" i="51" l="1"/>
  <c r="H21" i="51"/>
  <c r="H22" i="51" l="1"/>
  <c r="I21" i="51"/>
  <c r="I22" i="5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<sst xmlns="http://schemas.openxmlformats.org/spreadsheetml/2006/main" count="12908" uniqueCount="4645">
  <si>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</si>
  <si>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</si>
  <si>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</si>
  <si>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</si>
  <si>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</si>
  <si>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</si>
  <si>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</si>
  <si>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</si>
  <si>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</si>
  <si>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</si>
  <si>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</si>
  <si>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</si>
  <si>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</si>
  <si>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</si>
  <si>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</si>
  <si>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</si>
  <si>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</si>
  <si>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</si>
  <si>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</si>
  <si>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</si>
  <si>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</si>
  <si>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</si>
  <si>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</si>
  <si>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</si>
  <si>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</si>
  <si>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</si>
  <si>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</si>
  <si>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</si>
  <si>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</si>
  <si>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</si>
  <si>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</si>
  <si>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</si>
  <si>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</si>
  <si>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</si>
  <si>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</si>
  <si>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</si>
  <si>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</si>
  <si>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</si>
  <si>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</si>
  <si>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</si>
  <si>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</si>
  <si>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</si>
  <si>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</si>
  <si>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</si>
  <si>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</si>
  <si>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</si>
  <si>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</si>
  <si>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</si>
  <si>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</si>
  <si>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</si>
  <si>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</si>
  <si>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</si>
  <si>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</si>
  <si>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</si>
  <si>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</si>
  <si>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</si>
  <si>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</si>
  <si>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</si>
  <si>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</si>
  <si>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</si>
  <si>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</si>
  <si>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</si>
  <si>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</si>
  <si>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</si>
  <si>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</si>
  <si>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</si>
  <si>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</si>
  <si>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</si>
  <si>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</si>
  <si>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</si>
  <si>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</si>
  <si>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</si>
  <si>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</si>
  <si>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</si>
  <si>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</si>
  <si>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</si>
  <si>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</si>
  <si>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</si>
  <si>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</si>
  <si>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</si>
  <si>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</si>
  <si>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</si>
  <si>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</si>
  <si>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</si>
  <si>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</si>
  <si>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</si>
  <si>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</si>
  <si>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</si>
  <si>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</si>
  <si>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</si>
  <si>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</si>
  <si>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</si>
  <si>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</si>
  <si>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</si>
  <si>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</si>
  <si>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</si>
  <si>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</si>
  <si>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</si>
  <si>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</si>
  <si>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</si>
  <si>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</si>
  <si>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</si>
  <si>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</si>
  <si>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</si>
  <si>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</si>
  <si>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</si>
  <si>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</si>
  <si>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</si>
  <si>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</si>
  <si>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</si>
  <si>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</si>
  <si>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</si>
  <si>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</si>
  <si>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</si>
  <si>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</si>
  <si>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</si>
  <si>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</si>
  <si>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</si>
  <si>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</si>
  <si>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</si>
  <si>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</si>
  <si>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</si>
  <si>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</si>
  <si>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</si>
  <si>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</si>
  <si>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</si>
  <si>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</si>
  <si>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</si>
  <si>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</si>
  <si>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</si>
  <si>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</si>
  <si>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</si>
  <si>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</si>
  <si>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</si>
  <si>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</si>
  <si>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</si>
  <si>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</si>
  <si>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</si>
  <si>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</si>
  <si>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</si>
  <si>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</si>
  <si>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</si>
  <si>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</si>
  <si>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</si>
  <si>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</si>
  <si>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</si>
  <si>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</si>
  <si>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</si>
  <si>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</si>
  <si>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</si>
  <si>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</si>
  <si>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</si>
  <si>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</si>
  <si>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</si>
  <si>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</si>
  <si>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</si>
  <si>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</si>
  <si>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</si>
  <si>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</si>
  <si>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</si>
  <si>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</si>
  <si>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</si>
  <si>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</si>
  <si>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</si>
  <si>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</si>
  <si>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</si>
  <si>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</si>
  <si>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</si>
  <si>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</si>
  <si>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</si>
  <si>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</si>
  <si>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</si>
  <si>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</si>
  <si>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</si>
  <si>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</si>
  <si>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</si>
  <si>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</si>
  <si>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</si>
  <si>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</si>
  <si>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</si>
  <si>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</si>
  <si>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</si>
  <si>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</si>
  <si>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</si>
  <si>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</si>
  <si>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</si>
  <si>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</si>
  <si>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</si>
  <si>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</si>
  <si>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</si>
  <si>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</si>
  <si>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</si>
  <si>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</si>
  <si>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</si>
  <si>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</si>
  <si>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</si>
  <si>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</si>
  <si>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</si>
  <si>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</si>
  <si>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</si>
  <si>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</si>
  <si>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</si>
  <si>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</si>
  <si>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</si>
  <si>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</si>
  <si>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</si>
  <si>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</si>
  <si>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</si>
  <si>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</si>
  <si>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</si>
  <si>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</si>
  <si>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</si>
  <si>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</si>
  <si>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</si>
  <si>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</si>
  <si>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</si>
  <si>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</si>
  <si>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</si>
  <si>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</si>
  <si>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</si>
  <si>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</si>
  <si>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</si>
  <si>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</si>
  <si>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</si>
  <si>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</si>
  <si>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</si>
  <si>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</si>
  <si>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</si>
  <si>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</si>
  <si>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</si>
  <si>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</si>
  <si>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</si>
  <si>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</si>
  <si>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</si>
  <si>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</si>
  <si>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</si>
  <si>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</si>
  <si>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</si>
  <si>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</si>
  <si>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</si>
  <si>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</si>
  <si>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</si>
  <si>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</si>
  <si>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</si>
  <si>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</si>
  <si>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</si>
  <si>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</si>
  <si>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</si>
  <si>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</si>
  <si>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</si>
  <si>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</si>
  <si>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</si>
  <si>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</si>
  <si>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</si>
  <si>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</si>
  <si>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</si>
  <si>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</si>
  <si>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</si>
  <si>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</si>
  <si>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</si>
  <si>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</si>
  <si>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</si>
  <si>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</si>
  <si>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</si>
  <si>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</si>
  <si>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</si>
  <si>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</si>
  <si>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</si>
  <si>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</si>
  <si>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</si>
  <si>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</si>
  <si>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</si>
  <si>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</si>
  <si>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</si>
  <si>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</si>
  <si>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</si>
  <si>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</si>
  <si>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</si>
  <si>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</si>
  <si>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</si>
  <si>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</si>
  <si>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</si>
  <si>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</si>
  <si>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</si>
  <si>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</si>
  <si>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</si>
  <si>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</si>
  <si>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</si>
  <si>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</si>
  <si>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</si>
  <si>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</si>
  <si>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</si>
  <si>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</si>
  <si>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</si>
  <si>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</si>
  <si>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</si>
  <si>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</si>
  <si>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</si>
  <si>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</si>
  <si>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</si>
  <si>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</si>
  <si>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</si>
  <si>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</si>
  <si>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</si>
  <si>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</si>
  <si>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</si>
  <si>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</si>
  <si>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</si>
  <si>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</si>
  <si>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</si>
  <si>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</si>
  <si>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</si>
  <si>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</si>
  <si>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</si>
  <si>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</si>
  <si>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</si>
  <si>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</si>
  <si>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</si>
  <si>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</si>
  <si>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</si>
  <si>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</si>
  <si>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</si>
  <si>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</si>
  <si>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</si>
  <si>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</si>
  <si>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</si>
  <si>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</si>
  <si>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</si>
  <si>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</si>
  <si>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</si>
  <si>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</si>
  <si>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</si>
  <si>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</si>
  <si>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</si>
  <si>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</si>
  <si>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</si>
  <si>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</si>
  <si>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</si>
  <si>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</si>
  <si>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</si>
  <si>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</si>
  <si>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</si>
  <si>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</si>
  <si>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</si>
  <si>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</si>
  <si>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</si>
  <si>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</si>
  <si>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</si>
  <si>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</si>
  <si>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</si>
  <si>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</si>
  <si>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</si>
  <si>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</si>
  <si>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</si>
  <si>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</si>
  <si>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</si>
  <si>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</si>
  <si>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</si>
  <si>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</si>
  <si>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</si>
  <si>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</si>
  <si>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</si>
  <si>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</si>
  <si>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</si>
  <si>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</si>
  <si>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</si>
  <si>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</si>
  <si>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</si>
  <si>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</si>
  <si>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</si>
  <si>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</si>
  <si>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</si>
  <si>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</si>
  <si>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</si>
  <si>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</si>
  <si>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</si>
  <si>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</si>
  <si>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</si>
  <si>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</si>
  <si>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</si>
  <si>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</si>
  <si>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</si>
  <si>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</si>
  <si>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</si>
  <si>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</si>
  <si>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</si>
  <si>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</si>
  <si>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</si>
  <si>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</si>
  <si>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</si>
  <si>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</si>
  <si>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</si>
  <si>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</si>
  <si>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</si>
  <si>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</si>
  <si>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</si>
  <si>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</si>
  <si>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</si>
  <si>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</si>
  <si>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</si>
  <si>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</si>
  <si>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</si>
  <si>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</si>
  <si>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</si>
  <si>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</si>
  <si>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</si>
  <si>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</si>
  <si>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</si>
  <si>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</si>
  <si>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</si>
  <si>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</si>
  <si>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</si>
  <si>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</si>
  <si>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</si>
  <si>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</si>
  <si>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</si>
  <si>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</si>
  <si>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</si>
  <si>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</si>
  <si>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</si>
  <si>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</si>
  <si>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</si>
  <si>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</si>
  <si>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</si>
  <si>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</si>
  <si>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</si>
  <si>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</si>
  <si>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</si>
  <si>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</si>
  <si>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</si>
  <si>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</si>
  <si>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</si>
  <si>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</si>
  <si>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</si>
  <si>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</si>
  <si>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</si>
  <si>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</si>
  <si>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</si>
  <si>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</si>
  <si>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</si>
  <si>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</si>
  <si>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</si>
  <si>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</si>
  <si>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</si>
  <si>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</si>
  <si>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</si>
  <si>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</si>
  <si>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</si>
  <si>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</si>
  <si>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</si>
  <si>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</si>
  <si>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</si>
  <si>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</si>
  <si>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</si>
  <si>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</si>
  <si>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</si>
  <si>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</si>
  <si>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</si>
  <si>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</si>
  <si>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</si>
  <si>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</si>
  <si>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</si>
  <si>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</si>
  <si>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</si>
  <si>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</si>
  <si>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</si>
  <si>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</si>
  <si>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</si>
  <si>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</si>
  <si>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</si>
  <si>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</si>
  <si>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</si>
  <si>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</si>
  <si>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</si>
  <si>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</si>
  <si>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</si>
  <si>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</si>
  <si>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</si>
  <si>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</si>
  <si>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</si>
  <si>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</si>
  <si>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</si>
  <si>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</si>
  <si>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</si>
  <si>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</si>
  <si>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</si>
  <si>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</si>
  <si>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</si>
  <si>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</si>
  <si>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</si>
  <si>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</si>
  <si>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</si>
  <si>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</si>
  <si>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</si>
  <si>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</si>
  <si>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</si>
  <si>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</si>
  <si>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</si>
  <si>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</si>
  <si>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</si>
  <si>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</si>
  <si>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</si>
  <si>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</si>
  <si>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</si>
  <si>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</si>
  <si>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</si>
  <si>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</si>
  <si>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</si>
  <si>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</si>
  <si>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</si>
  <si>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</si>
  <si>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</si>
  <si>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</si>
  <si>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</si>
  <si>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</si>
  <si>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</si>
  <si>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</si>
  <si>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</si>
  <si>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</si>
  <si>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</si>
  <si>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</si>
  <si>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</si>
  <si>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</si>
  <si>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</si>
  <si>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</si>
  <si>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</si>
  <si>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</si>
  <si>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</si>
  <si>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</si>
  <si>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</si>
  <si>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</si>
  <si>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</si>
  <si>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</si>
  <si>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</si>
  <si>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</si>
  <si>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</si>
  <si>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</si>
  <si>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</si>
  <si>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</si>
  <si>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</si>
  <si>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</si>
  <si>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</si>
  <si>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</si>
  <si>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</si>
  <si>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</si>
  <si>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</si>
  <si>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</si>
  <si>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</si>
  <si>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</si>
  <si>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</si>
  <si>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</si>
  <si>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</si>
  <si>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</si>
  <si>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</si>
  <si>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</si>
  <si>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</si>
  <si>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</si>
  <si>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</si>
  <si>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</si>
  <si>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</si>
  <si>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</si>
  <si>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</si>
  <si>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</si>
  <si>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</si>
  <si>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</si>
  <si>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</si>
  <si>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</si>
  <si>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</si>
  <si>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</si>
  <si>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</si>
  <si>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</si>
  <si>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</si>
  <si>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</si>
  <si>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</si>
  <si>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</si>
  <si>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</si>
  <si>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</si>
  <si>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</si>
  <si>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</si>
  <si>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</si>
  <si>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</si>
  <si>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</si>
  <si>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</si>
  <si>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</si>
  <si>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</si>
  <si>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</si>
  <si>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</si>
  <si>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</si>
  <si>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</si>
  <si>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</si>
  <si>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</si>
  <si>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</si>
  <si>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</si>
  <si>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</si>
  <si>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</si>
  <si>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</si>
  <si>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</si>
  <si>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</si>
  <si>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</si>
  <si>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</si>
  <si>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</si>
  <si>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</si>
  <si>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</si>
  <si>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</si>
  <si>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</si>
  <si>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</si>
  <si>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</si>
  <si>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</si>
  <si>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</si>
  <si>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</si>
  <si>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</si>
  <si>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</si>
  <si>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</si>
  <si>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</si>
  <si>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</si>
  <si>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</si>
  <si>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</si>
  <si>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</si>
  <si>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</si>
  <si>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</si>
  <si>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</si>
  <si>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</si>
  <si>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</si>
  <si>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</si>
  <si>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</si>
  <si>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</si>
  <si>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</si>
  <si>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</si>
  <si>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</si>
  <si>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</si>
  <si>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</si>
  <si>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</si>
  <si>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</si>
  <si>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</si>
  <si>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</si>
  <si>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</si>
  <si>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</si>
  <si>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</si>
  <si>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</si>
  <si>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</si>
  <si>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</si>
  <si>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</si>
  <si>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</si>
  <si>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</si>
  <si>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</si>
  <si>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</si>
  <si>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</si>
  <si>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</si>
  <si>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</si>
  <si>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</si>
  <si>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</si>
  <si>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</si>
  <si>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</si>
  <si>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</si>
  <si>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</si>
  <si>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</si>
  <si>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</si>
  <si>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</si>
  <si>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</si>
  <si>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</si>
  <si>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</si>
  <si>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</si>
  <si>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</si>
  <si>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</si>
  <si>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</si>
  <si>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</si>
  <si>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</si>
  <si>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</si>
  <si>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</si>
  <si>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</si>
  <si>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</si>
  <si>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</si>
  <si>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</si>
  <si>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</si>
  <si>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</si>
  <si>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</si>
  <si>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</si>
  <si>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</si>
  <si>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</si>
  <si>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</si>
  <si>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</si>
  <si>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</si>
  <si>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</si>
  <si>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</si>
  <si>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</si>
  <si>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</si>
  <si>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</si>
  <si>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</si>
  <si>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</si>
  <si>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</si>
  <si>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</si>
  <si>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</si>
  <si>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</si>
  <si>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</si>
  <si>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</si>
  <si>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</si>
  <si>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</si>
  <si>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</si>
  <si>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</si>
  <si>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</si>
  <si>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</si>
  <si>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</si>
  <si>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</si>
  <si>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</si>
  <si>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</si>
  <si>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</si>
  <si>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</si>
  <si>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</si>
  <si>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</si>
  <si>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</si>
  <si>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</si>
  <si>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</si>
  <si>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</si>
  <si>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</si>
  <si>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</si>
  <si>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</si>
  <si>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</si>
  <si>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</si>
  <si>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</si>
  <si>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</si>
  <si>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</si>
  <si>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</si>
  <si>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</si>
  <si>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</si>
  <si>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</si>
  <si>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</si>
  <si>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</si>
  <si>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</si>
  <si>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</si>
  <si>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</si>
  <si>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</si>
  <si>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</si>
  <si>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</si>
  <si>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</si>
  <si>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</si>
  <si>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</si>
  <si>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</si>
  <si>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</si>
  <si>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</si>
  <si>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</si>
  <si>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</si>
  <si>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</si>
  <si>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</si>
  <si>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</si>
  <si>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</si>
  <si>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</si>
  <si>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</si>
  <si>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</si>
  <si>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</si>
  <si>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</si>
  <si>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</si>
  <si>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</si>
  <si>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</si>
  <si>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</si>
  <si>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</si>
  <si>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</si>
  <si>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</si>
  <si>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</si>
  <si>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</si>
  <si>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</si>
  <si>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</si>
  <si>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</si>
  <si>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</si>
  <si>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</si>
  <si>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</si>
  <si>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</si>
  <si>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</si>
  <si>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</si>
  <si>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</si>
  <si>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</si>
  <si>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</si>
  <si>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</si>
  <si>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</si>
  <si>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</si>
  <si>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</si>
  <si>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</si>
  <si>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</si>
  <si>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</si>
  <si>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</si>
  <si>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</si>
  <si>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</si>
  <si>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</si>
  <si>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</si>
  <si>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</si>
  <si>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</si>
  <si>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</si>
  <si>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</si>
  <si>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</si>
  <si>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</si>
  <si>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</si>
  <si>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</si>
  <si>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</si>
  <si>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</si>
  <si>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</si>
  <si>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</si>
  <si>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</si>
  <si>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</si>
  <si>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</si>
  <si>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</si>
  <si>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</si>
  <si>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</si>
  <si>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</si>
  <si>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</si>
  <si>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</si>
  <si>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</si>
  <si>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</si>
  <si>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</si>
  <si>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</si>
  <si>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</si>
  <si>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</si>
  <si>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</si>
  <si>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</si>
  <si>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</si>
  <si>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</si>
  <si>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</si>
  <si>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</si>
  <si>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</si>
  <si>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</si>
  <si>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</si>
  <si>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</si>
  <si>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</si>
  <si>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</si>
  <si>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</si>
  <si>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</si>
  <si>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</si>
  <si>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</si>
  <si>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</si>
  <si>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</si>
  <si>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</si>
  <si>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</si>
  <si>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</si>
  <si>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</si>
  <si>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</si>
  <si>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</si>
  <si>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</si>
  <si>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</si>
  <si>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</si>
  <si>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</si>
  <si>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</si>
  <si>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</si>
  <si>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</si>
  <si>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</si>
  <si>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</si>
  <si>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</si>
  <si>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</si>
  <si>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</si>
  <si>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</si>
  <si>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</si>
  <si>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</si>
  <si>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</si>
  <si>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</si>
  <si>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</si>
  <si>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</si>
  <si>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</si>
  <si>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</si>
  <si>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</si>
  <si>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</si>
  <si>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</si>
  <si>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</si>
  <si>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</si>
  <si>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</si>
  <si>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</si>
  <si>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</si>
  <si>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</si>
  <si>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</si>
  <si>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</si>
  <si>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</si>
  <si>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</si>
  <si>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</si>
  <si>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</si>
  <si>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</si>
  <si>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</si>
  <si>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</si>
  <si>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</si>
  <si>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</si>
  <si>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</si>
  <si>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</si>
  <si>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</si>
  <si>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</si>
  <si>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</si>
  <si>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</si>
  <si>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</si>
  <si>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</si>
  <si>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</si>
  <si>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</si>
  <si>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</si>
  <si>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</si>
  <si>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</si>
  <si>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</si>
  <si>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</si>
  <si>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</si>
  <si>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</si>
  <si>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</si>
  <si>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</si>
  <si>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</si>
  <si>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</si>
  <si>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</si>
  <si>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</si>
  <si>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</si>
  <si>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</si>
  <si>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</si>
  <si>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</si>
  <si>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</si>
  <si>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</si>
  <si>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</si>
  <si>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</si>
  <si>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</si>
  <si>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</si>
  <si>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</si>
  <si>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</si>
  <si>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</si>
  <si>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</si>
  <si>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</si>
  <si>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</si>
  <si>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</si>
  <si>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</si>
  <si>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</si>
  <si>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</si>
  <si>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</si>
  <si>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</si>
  <si>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</si>
  <si>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</si>
  <si>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</si>
  <si>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</si>
  <si>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</si>
  <si>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</si>
  <si>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</si>
  <si>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</si>
  <si>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</si>
  <si>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</si>
  <si>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</si>
  <si>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</si>
  <si>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</si>
  <si>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</si>
  <si>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</si>
  <si>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</si>
  <si>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</si>
  <si>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</si>
  <si>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</si>
  <si>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</si>
  <si>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</si>
  <si>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</si>
  <si>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</si>
  <si>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</si>
  <si>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</si>
  <si>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</si>
  <si>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</si>
  <si>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</si>
  <si>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</si>
  <si>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</si>
  <si>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</si>
  <si>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</si>
  <si>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</si>
  <si>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</si>
  <si>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</si>
  <si>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</si>
  <si>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</si>
  <si>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</si>
  <si>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</si>
  <si>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</si>
  <si>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</si>
  <si>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</si>
  <si>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</si>
  <si>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</si>
  <si>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</si>
  <si>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</si>
  <si>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</si>
  <si>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</si>
  <si>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</si>
  <si>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</si>
  <si>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</si>
  <si>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</si>
  <si>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</si>
  <si>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</si>
  <si>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</si>
  <si>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</si>
  <si>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</si>
  <si>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</si>
  <si>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</si>
  <si>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</si>
  <si>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</si>
  <si>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</si>
  <si>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</si>
  <si>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</si>
  <si>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</si>
  <si>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</si>
  <si>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</si>
  <si>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</si>
  <si>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</si>
  <si>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</si>
  <si>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</si>
  <si>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</si>
  <si>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</si>
  <si>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</si>
  <si>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</si>
  <si>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</si>
  <si>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</si>
  <si>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</si>
  <si>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</si>
  <si>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</si>
  <si>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</si>
  <si>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</si>
  <si>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</si>
  <si>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</si>
  <si>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</si>
  <si>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</si>
  <si>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</si>
  <si>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</si>
  <si>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</si>
  <si>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</si>
  <si>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</si>
  <si>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</si>
  <si>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</si>
  <si>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</si>
  <si>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</si>
  <si>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</si>
  <si>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</si>
  <si>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</si>
  <si>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</si>
  <si>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</si>
  <si>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</si>
  <si>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</si>
  <si>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</si>
  <si>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</si>
  <si>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</si>
  <si>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</si>
  <si>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</si>
  <si>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</si>
  <si>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</si>
  <si>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</si>
  <si>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</si>
  <si>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</si>
  <si>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</si>
  <si>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</si>
  <si>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</si>
  <si>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</si>
  <si>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</si>
  <si>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</si>
  <si>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</si>
  <si>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</si>
  <si>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</si>
  <si>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</si>
  <si>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</si>
  <si>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</si>
  <si>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</si>
  <si>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</si>
  <si>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</si>
  <si>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</si>
  <si>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</si>
  <si>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</si>
  <si>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</si>
  <si>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</si>
  <si>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</si>
  <si>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</si>
  <si>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</si>
  <si>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</si>
  <si>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</si>
  <si>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</si>
  <si>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</si>
  <si>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</si>
  <si>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</si>
  <si>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</si>
  <si>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</si>
  <si>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</si>
  <si>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</si>
  <si>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</si>
  <si>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</si>
  <si>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</si>
  <si>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</si>
  <si>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</si>
  <si>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</si>
  <si>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</si>
  <si>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</si>
  <si>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</si>
  <si>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</si>
  <si>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</si>
  <si>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</si>
  <si>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</si>
  <si>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</si>
  <si>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</si>
  <si>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</si>
  <si>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</si>
  <si>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</si>
  <si>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</si>
  <si>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</si>
  <si>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</si>
  <si>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</si>
  <si>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</si>
  <si>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</si>
  <si>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</si>
  <si>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</si>
  <si>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</si>
  <si>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</si>
  <si>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</si>
  <si>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</si>
  <si>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</si>
  <si>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</si>
  <si>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</si>
  <si>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</si>
  <si>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</si>
  <si>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</si>
  <si>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</si>
  <si>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</si>
  <si>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</si>
  <si>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</si>
  <si>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</si>
  <si>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</si>
  <si>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</si>
  <si>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</si>
  <si>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</si>
  <si>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</si>
  <si>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</si>
  <si>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</si>
  <si>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</si>
  <si>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</si>
  <si>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</si>
  <si>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</si>
  <si>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</si>
  <si>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</si>
  <si>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</si>
  <si>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</si>
  <si>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</si>
  <si>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</si>
  <si>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</si>
  <si>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</si>
  <si>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</si>
  <si>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</si>
  <si>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</si>
  <si>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</si>
  <si>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</si>
  <si>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</si>
  <si>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</si>
  <si>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</si>
  <si>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</si>
  <si>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</si>
  <si>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</si>
  <si>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</si>
  <si>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</si>
  <si>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</si>
  <si>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</si>
  <si>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</si>
  <si>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</si>
  <si>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</si>
  <si>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</si>
  <si>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</si>
  <si>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</si>
  <si>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</si>
  <si>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</si>
  <si>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</si>
  <si>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</si>
  <si>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</si>
  <si>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</si>
  <si>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</si>
  <si>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</si>
  <si>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</si>
  <si>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</si>
  <si>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</si>
  <si>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</si>
  <si>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</si>
  <si>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</si>
  <si>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</si>
  <si>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</si>
  <si>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</si>
  <si>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</si>
  <si>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</si>
  <si>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</si>
  <si>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</si>
  <si>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</si>
  <si>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</si>
  <si>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</si>
  <si>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</si>
  <si>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</si>
  <si>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</si>
  <si>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</si>
  <si>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</si>
  <si>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</si>
  <si>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</si>
  <si>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</si>
  <si>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</si>
  <si>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</si>
  <si>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</si>
  <si>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</si>
  <si>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</si>
  <si>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</si>
  <si>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</si>
  <si>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</si>
  <si>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</si>
  <si>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</si>
  <si>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</si>
  <si>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</si>
  <si>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</si>
  <si>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</si>
  <si>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</si>
  <si>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</si>
  <si>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</si>
  <si>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</si>
  <si>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</si>
  <si>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</si>
  <si>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</si>
  <si>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</si>
  <si>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</si>
  <si>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</si>
  <si>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</si>
  <si>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</si>
  <si>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</si>
  <si>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</si>
  <si>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</si>
  <si>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</si>
  <si>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</si>
  <si>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</si>
  <si>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</si>
  <si>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</si>
  <si>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</si>
  <si>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</si>
  <si>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</si>
  <si>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</si>
  <si>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</si>
  <si>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</si>
  <si>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</si>
  <si>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</si>
  <si>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</si>
  <si>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</si>
  <si>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</si>
  <si>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</si>
  <si>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</si>
  <si>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</si>
  <si>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</si>
  <si>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</si>
  <si>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</si>
  <si>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</si>
  <si>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</si>
  <si>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</si>
  <si>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</si>
  <si>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</si>
  <si>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</si>
  <si>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</si>
  <si>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</si>
  <si>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</si>
  <si>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</si>
  <si>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</si>
  <si>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</si>
  <si>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</si>
  <si>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</si>
  <si>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</si>
  <si>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</si>
  <si>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</si>
  <si>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</si>
  <si>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</si>
  <si>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</si>
  <si>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</si>
  <si>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</si>
  <si>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</si>
  <si>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</si>
  <si>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</si>
  <si>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</si>
  <si>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</si>
  <si>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</si>
  <si>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</si>
  <si>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</si>
  <si>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</si>
  <si>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</si>
  <si>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</si>
  <si>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</si>
  <si>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</si>
  <si>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</si>
  <si>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</si>
  <si>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</si>
  <si>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</si>
  <si>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</si>
  <si>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</si>
  <si>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</si>
  <si>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</si>
  <si>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</si>
  <si>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</si>
  <si>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</si>
  <si>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</si>
  <si>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</si>
  <si>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</si>
  <si>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</si>
  <si>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</si>
  <si>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</si>
  <si>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</si>
  <si>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</si>
  <si>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</si>
  <si>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</si>
  <si>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</si>
  <si>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</si>
  <si>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</si>
  <si>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</si>
  <si>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</si>
  <si>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</si>
  <si>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</si>
  <si>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</si>
  <si>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</si>
  <si>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</si>
  <si>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</si>
  <si>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</si>
  <si>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</si>
  <si>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</si>
  <si>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</si>
  <si>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</si>
  <si>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</si>
  <si>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</si>
  <si>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</si>
  <si>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</si>
  <si>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</si>
  <si>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</si>
  <si>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</si>
  <si>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</si>
  <si>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</si>
  <si>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</si>
  <si>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</si>
  <si>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</si>
  <si>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</si>
  <si>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</si>
  <si>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</si>
  <si>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</si>
  <si>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</si>
  <si>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</si>
  <si>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</si>
  <si>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</si>
  <si>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</si>
  <si>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</si>
  <si>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</si>
  <si>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</si>
  <si>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</si>
  <si>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</si>
  <si>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</si>
  <si>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</si>
  <si>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</si>
  <si>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</si>
  <si>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</si>
  <si>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</si>
  <si>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</si>
  <si>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</si>
  <si>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</si>
  <si>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</si>
  <si>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</si>
  <si>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</si>
  <si>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</si>
  <si>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</si>
  <si>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</si>
  <si>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</si>
  <si>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</si>
  <si>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</si>
  <si>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</si>
  <si>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</si>
  <si>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</si>
  <si>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</si>
  <si>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</si>
  <si>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</si>
  <si>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</si>
  <si>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</si>
  <si>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</si>
  <si>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</si>
  <si>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</si>
  <si>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</si>
  <si>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</si>
  <si>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</si>
  <si>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</si>
  <si>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</si>
  <si>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</si>
  <si>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</si>
  <si>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</si>
  <si>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</si>
  <si>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</si>
  <si>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</si>
  <si>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</si>
  <si>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</si>
  <si>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</si>
  <si>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</si>
  <si>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</si>
  <si>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</si>
  <si>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</si>
  <si>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</si>
  <si>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</si>
  <si>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</si>
  <si>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</si>
  <si>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</si>
  <si>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</si>
  <si>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</si>
  <si>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</si>
  <si>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</si>
  <si>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</si>
  <si>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</si>
  <si>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</si>
  <si>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</si>
  <si>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</si>
  <si>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</si>
  <si>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</si>
  <si>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</si>
  <si>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</si>
  <si>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</si>
  <si>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</si>
  <si>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</si>
  <si>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</si>
  <si>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</si>
  <si>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</si>
  <si>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</si>
  <si>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</si>
  <si>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</si>
  <si>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</si>
  <si>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</si>
  <si>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</si>
  <si>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</si>
  <si>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</si>
  <si>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</si>
  <si>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</si>
  <si>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</si>
  <si>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</si>
  <si>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</si>
  <si>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</si>
  <si>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</si>
  <si>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</si>
  <si>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</si>
  <si>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</si>
  <si>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</si>
  <si>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</si>
  <si>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</si>
  <si>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</si>
  <si>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</si>
  <si>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</si>
  <si>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</si>
  <si>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</si>
  <si>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</si>
  <si>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</si>
  <si>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</si>
  <si>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</si>
  <si>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</si>
  <si>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</si>
  <si>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</si>
  <si>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</si>
  <si>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</si>
  <si>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</si>
  <si>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</si>
  <si>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</si>
  <si>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</si>
  <si>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</si>
  <si>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</si>
  <si>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</si>
  <si>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</si>
  <si>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</si>
  <si>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</si>
  <si>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</si>
  <si>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</si>
  <si>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</si>
  <si>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</si>
  <si>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</si>
  <si>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</si>
  <si>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</si>
  <si>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</si>
  <si>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</si>
  <si>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</si>
  <si>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</si>
  <si>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</si>
  <si>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</si>
  <si>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</si>
  <si>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</si>
  <si>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</si>
  <si>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</si>
  <si>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</si>
  <si>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</si>
  <si>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</si>
  <si>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</si>
  <si>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</si>
  <si>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</si>
  <si>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</si>
  <si>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</si>
  <si>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</si>
  <si>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</si>
  <si>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</si>
  <si>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</si>
  <si>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</si>
  <si>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</si>
  <si>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</si>
  <si>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</si>
  <si>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</si>
  <si>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</si>
  <si>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</si>
  <si>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</si>
  <si>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</si>
  <si>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</si>
  <si>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</si>
  <si>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</si>
  <si>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</si>
  <si>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</si>
  <si>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</si>
  <si>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</si>
  <si>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</si>
  <si>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</si>
  <si>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</si>
  <si>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</si>
  <si>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</si>
  <si>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</si>
  <si>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</si>
  <si>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</si>
  <si>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</si>
  <si>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</si>
  <si>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</si>
  <si>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</si>
  <si>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</si>
  <si>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</si>
  <si>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</si>
  <si>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</si>
  <si>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</si>
  <si>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</si>
  <si>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</si>
  <si>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</si>
  <si>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</si>
  <si>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</si>
  <si>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</si>
  <si>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</si>
  <si>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</si>
  <si>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</si>
  <si>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</si>
  <si>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</si>
  <si>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</si>
  <si>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</si>
  <si>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</si>
  <si>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</si>
  <si>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</si>
  <si>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</si>
  <si>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</si>
  <si>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</si>
  <si>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</si>
  <si>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</si>
  <si>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</si>
  <si>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</si>
  <si>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</si>
  <si>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</si>
  <si>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</si>
  <si>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</si>
  <si>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</si>
  <si>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</si>
  <si>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</si>
  <si>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</si>
  <si>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</si>
  <si>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</si>
  <si>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</si>
  <si>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</si>
  <si>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</si>
  <si>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</si>
  <si>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</si>
  <si>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</si>
  <si>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</si>
  <si>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</si>
  <si>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</si>
  <si>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</si>
  <si>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</si>
  <si>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</si>
  <si>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</si>
  <si>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</si>
  <si>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</si>
  <si>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</si>
  <si>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</si>
  <si>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</si>
  <si>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</si>
  <si>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</si>
  <si>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</si>
  <si>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</si>
  <si>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</si>
  <si>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</si>
  <si>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</si>
  <si>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</si>
  <si>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</si>
  <si>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</si>
  <si>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</si>
  <si>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</si>
  <si>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</si>
  <si>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</si>
  <si>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</si>
  <si>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</si>
  <si>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</si>
  <si>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</si>
  <si>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</si>
  <si>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</si>
  <si>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</si>
  <si>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</si>
  <si>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</si>
  <si>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</si>
  <si>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</si>
  <si>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</si>
  <si>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</si>
  <si>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</si>
  <si>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</si>
  <si>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</si>
  <si>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</si>
  <si>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</si>
  <si>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</si>
  <si>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</si>
  <si>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</si>
  <si>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</si>
  <si>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</si>
  <si>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</si>
  <si>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</si>
  <si>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</si>
  <si>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</si>
  <si>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</si>
  <si>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</si>
  <si>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</si>
  <si>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</si>
  <si>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</si>
  <si>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</si>
  <si>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</si>
  <si>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</si>
  <si>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</si>
  <si>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</si>
  <si>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</si>
  <si>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</si>
  <si>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</si>
  <si>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</si>
  <si>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</si>
  <si>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</si>
  <si>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</si>
  <si>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</si>
  <si>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</si>
  <si>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</si>
  <si>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</si>
  <si>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</si>
  <si>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</si>
  <si>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</si>
  <si>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</si>
  <si>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</si>
  <si>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</si>
  <si>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</si>
  <si>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</si>
  <si>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</si>
  <si>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</si>
  <si>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</si>
  <si>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</si>
  <si>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</si>
  <si>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</si>
  <si>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</si>
  <si>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</si>
  <si>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</si>
  <si>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</si>
  <si>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</si>
  <si>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</si>
  <si>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</si>
  <si>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</si>
  <si>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</si>
  <si>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</si>
  <si>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</si>
  <si>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</si>
  <si>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</si>
  <si>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</si>
  <si>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</si>
  <si>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</si>
  <si>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</si>
  <si>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</si>
  <si>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</si>
  <si>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</si>
  <si>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</si>
  <si>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</si>
  <si>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</si>
  <si>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</si>
  <si>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</si>
  <si>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</si>
  <si>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</si>
  <si>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</si>
  <si>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</si>
  <si>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</si>
  <si>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</si>
  <si>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</si>
  <si>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</si>
  <si>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</si>
  <si>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</si>
  <si>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</si>
  <si>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</si>
  <si>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</si>
  <si>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</si>
  <si>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</si>
  <si>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</si>
  <si>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</si>
  <si>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</si>
  <si>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</si>
  <si>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</si>
  <si>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</si>
  <si>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</si>
  <si>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</si>
  <si>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</si>
  <si>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</si>
  <si>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</si>
  <si>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</si>
  <si>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</si>
  <si>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</si>
  <si>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</si>
  <si>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</si>
  <si>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</si>
  <si>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</si>
  <si>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</si>
  <si>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</si>
  <si>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</si>
  <si>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</si>
  <si>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</si>
  <si>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</si>
  <si>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</si>
  <si>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</si>
  <si>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</si>
  <si>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</si>
  <si>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</si>
  <si>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</si>
  <si>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</si>
  <si>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</si>
  <si>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</si>
  <si>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</si>
  <si>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</si>
  <si>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</si>
  <si>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</si>
  <si>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</si>
  <si>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</si>
  <si>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</si>
  <si>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</si>
  <si>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</si>
  <si>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</si>
  <si>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</si>
  <si>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</si>
  <si>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</si>
  <si>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</si>
  <si>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</si>
  <si>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</si>
  <si>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</si>
  <si>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</si>
  <si>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</si>
  <si>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</si>
  <si>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</si>
  <si>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</si>
  <si>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</si>
  <si>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</si>
  <si>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</si>
  <si>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</si>
  <si>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</si>
  <si>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</si>
  <si>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</si>
  <si>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</si>
  <si>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</si>
  <si>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</si>
  <si>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</si>
  <si>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</si>
  <si>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</si>
  <si>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</si>
  <si>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</si>
  <si>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</si>
  <si>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</si>
  <si>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</si>
  <si>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</si>
  <si>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</si>
  <si>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</si>
  <si>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</si>
  <si>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</si>
  <si>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</si>
  <si>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</si>
  <si>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</si>
  <si>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</si>
  <si>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</si>
  <si>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</si>
  <si>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</si>
  <si>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</si>
  <si>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</si>
  <si>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</si>
  <si>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</si>
  <si>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</si>
  <si>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</si>
  <si>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</si>
  <si>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</si>
  <si>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</si>
  <si>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</si>
  <si>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</si>
  <si>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</si>
  <si>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</si>
  <si>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</si>
  <si>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</si>
  <si>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</si>
  <si>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</si>
  <si>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</si>
  <si>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</si>
  <si>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</si>
  <si>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</si>
  <si>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</si>
  <si>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</si>
  <si>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</si>
  <si>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</si>
  <si>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</si>
  <si>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</si>
  <si>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</si>
  <si>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</si>
  <si>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</si>
  <si>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</si>
  <si>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</si>
  <si>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</si>
  <si>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</si>
  <si>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</si>
  <si>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</si>
  <si>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</si>
  <si>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</si>
  <si>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</si>
  <si>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</si>
  <si>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</si>
  <si>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</si>
  <si>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</si>
  <si>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</si>
  <si>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</si>
  <si>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</si>
  <si>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</si>
  <si>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</si>
  <si>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</si>
  <si>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</si>
  <si>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</si>
  <si>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</si>
  <si>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</si>
  <si>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</si>
  <si>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</si>
  <si>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</si>
  <si>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</si>
  <si>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</si>
  <si>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</si>
  <si>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</si>
  <si>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</si>
  <si>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</si>
  <si>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</si>
  <si>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</si>
  <si>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</si>
  <si>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</si>
  <si>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</si>
  <si>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</si>
  <si>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</si>
  <si>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</si>
  <si>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</si>
  <si>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</si>
  <si>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</si>
  <si>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</si>
  <si>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</si>
  <si>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</si>
  <si>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</si>
  <si>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</si>
  <si>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</si>
  <si>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</si>
  <si>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</si>
  <si>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</si>
  <si>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</si>
  <si>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</si>
  <si>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</si>
  <si>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</si>
  <si>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</si>
  <si>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</si>
  <si>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</si>
  <si>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</si>
  <si>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</si>
  <si>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</si>
  <si>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</si>
  <si>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</si>
  <si>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</si>
  <si>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</si>
  <si>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</si>
  <si>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</si>
  <si>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</si>
  <si>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</si>
  <si>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</si>
  <si>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</si>
  <si>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</si>
  <si>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</si>
  <si>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</si>
  <si>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</si>
  <si>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</si>
  <si>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</si>
  <si>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</si>
  <si>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</si>
  <si>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</si>
  <si>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</si>
  <si>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</si>
  <si>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</si>
  <si>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</si>
  <si>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</si>
  <si>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</si>
  <si>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</si>
  <si>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</si>
  <si>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</si>
  <si>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</si>
  <si>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</si>
  <si>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</si>
  <si>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</si>
  <si>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</si>
  <si>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</si>
  <si>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</si>
  <si>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</si>
  <si>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</si>
  <si>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</si>
  <si>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</si>
  <si>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</si>
  <si>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</si>
  <si>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</si>
  <si>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</si>
  <si>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</si>
  <si>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</si>
  <si>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</si>
  <si>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</si>
  <si>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</si>
  <si>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</si>
  <si>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</si>
  <si>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</si>
  <si>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</si>
  <si>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</si>
  <si>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</si>
  <si>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</si>
  <si>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</si>
  <si>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</si>
  <si>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</si>
  <si>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</si>
  <si>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</si>
  <si>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</si>
  <si>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</si>
  <si>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</si>
  <si>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</si>
  <si>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</si>
  <si>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</si>
  <si>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</si>
  <si>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</si>
  <si>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</si>
  <si>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</si>
  <si>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</si>
  <si>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</si>
  <si>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</si>
  <si>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</si>
  <si>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</si>
  <si>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</si>
  <si>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</si>
  <si>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</si>
  <si>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</si>
  <si>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</si>
  <si>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</si>
  <si>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</si>
  <si>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</si>
  <si>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</si>
  <si>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</si>
  <si>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</si>
  <si>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</si>
  <si>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</si>
  <si>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</si>
  <si>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</si>
  <si>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</si>
  <si>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</si>
  <si>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</si>
  <si>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</si>
  <si>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</si>
  <si>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</si>
  <si>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</si>
  <si>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</si>
  <si>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</si>
  <si>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</si>
  <si>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</si>
  <si>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</si>
  <si>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</si>
  <si>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</si>
  <si>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</si>
  <si>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</si>
  <si>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</si>
  <si>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</si>
  <si>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</si>
  <si>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</si>
  <si>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</si>
  <si>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</si>
  <si>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</si>
  <si>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</si>
  <si>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</si>
  <si>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</si>
  <si>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</si>
  <si>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</si>
  <si>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</si>
  <si>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</si>
  <si>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</si>
  <si>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</si>
  <si>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</si>
  <si>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</si>
  <si>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</si>
  <si>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</si>
  <si>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</si>
  <si>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</si>
  <si>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</si>
  <si>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</si>
  <si>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</si>
  <si>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</si>
  <si>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</si>
  <si>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</si>
  <si>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</si>
  <si>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</si>
  <si>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</si>
  <si>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</si>
  <si>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</si>
  <si>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</si>
  <si>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</si>
  <si>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</si>
  <si>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</si>
  <si>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</si>
  <si>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</si>
  <si>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</si>
  <si>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</si>
  <si>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</si>
  <si>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</si>
  <si>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</si>
  <si>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</si>
  <si>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</si>
  <si>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</si>
  <si>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</si>
  <si>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</si>
  <si>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</si>
  <si>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</si>
  <si>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</si>
  <si>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</si>
  <si>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</si>
  <si>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</si>
  <si>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</si>
  <si>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</si>
  <si>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</si>
  <si>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</si>
  <si>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</si>
  <si>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</si>
  <si>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</si>
  <si>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</si>
  <si>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</si>
  <si>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</si>
  <si>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</si>
  <si>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</si>
  <si>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</si>
  <si>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</si>
  <si>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</si>
  <si>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</si>
  <si>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</si>
  <si>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</si>
  <si>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</si>
  <si>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</si>
  <si>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</si>
  <si>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</si>
  <si>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</si>
  <si>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</si>
  <si>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</si>
  <si>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</si>
  <si>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</si>
  <si>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</si>
  <si>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</si>
  <si>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</si>
  <si>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</si>
  <si>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</si>
  <si>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</si>
  <si>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</si>
  <si>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</si>
  <si>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</si>
  <si>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</si>
  <si>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</si>
  <si>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</si>
  <si>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</si>
  <si>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</si>
  <si>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</si>
  <si>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</si>
  <si>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</si>
  <si>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</si>
  <si>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</si>
  <si>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</si>
  <si>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</si>
  <si>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</si>
  <si>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</si>
  <si>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</si>
  <si>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</si>
  <si>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</si>
  <si>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</si>
  <si>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</si>
  <si>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</si>
  <si>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</si>
  <si>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</si>
  <si>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</si>
  <si>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</si>
  <si>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</si>
  <si>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</si>
  <si>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</si>
  <si>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</si>
  <si>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</si>
  <si>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</si>
  <si>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</si>
  <si>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</si>
  <si>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</si>
  <si>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</si>
  <si>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</si>
  <si>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</si>
  <si>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</si>
  <si>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</si>
  <si>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</si>
  <si>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</si>
  <si>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</si>
  <si>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</si>
  <si>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</si>
  <si>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</si>
  <si>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</si>
  <si>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</si>
  <si>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</si>
  <si>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</si>
  <si>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</si>
  <si>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</si>
  <si>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</si>
  <si>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</si>
  <si>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</si>
  <si>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</si>
  <si>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</si>
  <si>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</si>
  <si>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</si>
  <si>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</si>
  <si>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</si>
  <si>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</si>
  <si>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</si>
  <si>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</si>
  <si>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</si>
  <si>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</si>
  <si>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</si>
  <si>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</si>
  <si>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</si>
  <si>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</si>
  <si>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</si>
  <si>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</si>
  <si>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</si>
  <si>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</si>
  <si>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</si>
  <si>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</si>
  <si>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</si>
  <si>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</si>
  <si>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</si>
  <si>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</si>
  <si>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</si>
  <si>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</si>
  <si>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</si>
  <si>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</si>
  <si>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</si>
  <si>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</si>
  <si>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</si>
  <si>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</si>
  <si>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</si>
  <si>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</si>
  <si>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</si>
  <si>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</si>
  <si>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</si>
  <si>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</si>
  <si>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</si>
  <si>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</si>
  <si>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</si>
  <si>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</si>
  <si>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</si>
  <si>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</si>
  <si>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</si>
  <si>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</si>
  <si>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</si>
  <si>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</si>
  <si>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</si>
  <si>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</si>
  <si>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</si>
  <si>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</si>
  <si>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</si>
  <si>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</si>
  <si>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</si>
  <si>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</si>
  <si>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</si>
  <si>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</si>
  <si>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</si>
  <si>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</si>
  <si>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</si>
  <si>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</si>
  <si>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</si>
  <si>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</si>
  <si>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</si>
  <si>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</si>
  <si>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</si>
  <si>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</si>
  <si>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</si>
  <si>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</si>
  <si>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</si>
  <si>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</si>
  <si>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</si>
  <si>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</si>
  <si>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</si>
  <si>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</si>
  <si>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</si>
  <si>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</si>
  <si>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</si>
  <si>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</si>
  <si>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</si>
  <si>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</si>
  <si>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</si>
  <si>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</si>
  <si>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</si>
  <si>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</si>
  <si>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</si>
  <si>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</si>
  <si>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</si>
  <si>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</si>
  <si>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</si>
  <si>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</si>
  <si>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</si>
  <si>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</si>
  <si>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</si>
  <si>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</si>
  <si>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</si>
  <si>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</si>
  <si>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</si>
  <si>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</si>
  <si>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</si>
  <si>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</si>
  <si>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</si>
  <si>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</si>
  <si>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</si>
  <si>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</si>
  <si>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</si>
  <si>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</si>
  <si>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</si>
  <si>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</si>
  <si>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</si>
  <si>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</si>
  <si>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</si>
  <si>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</si>
  <si>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</si>
  <si>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</si>
  <si>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</si>
  <si>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</si>
  <si>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</si>
  <si>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</si>
  <si>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</si>
  <si>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</si>
  <si>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</si>
  <si>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</si>
  <si>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</si>
  <si>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</si>
  <si>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</si>
  <si>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</si>
  <si>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</si>
  <si>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</si>
  <si>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</si>
  <si>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</si>
  <si>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</si>
  <si>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</si>
  <si>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</si>
  <si>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</si>
  <si>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</si>
  <si>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</si>
  <si>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</si>
  <si>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</si>
  <si>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</si>
  <si>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</si>
  <si>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</si>
  <si>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</si>
  <si>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</si>
  <si>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</si>
  <si>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</si>
  <si>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</si>
  <si>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</si>
  <si>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</si>
  <si>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</si>
  <si>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</si>
  <si>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</si>
  <si>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</si>
  <si>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</si>
  <si>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</si>
  <si>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</si>
  <si>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</si>
  <si>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</si>
  <si>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</si>
  <si>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</si>
  <si>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</si>
  <si>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</si>
  <si>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</si>
  <si>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</si>
  <si>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</si>
  <si>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</si>
  <si>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</si>
  <si>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</si>
  <si>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</si>
  <si>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</si>
  <si>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</si>
  <si>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</si>
  <si>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</si>
  <si>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</si>
  <si>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</si>
  <si>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</si>
  <si>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</si>
  <si>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</si>
  <si>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</si>
  <si>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</si>
  <si>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</si>
  <si>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</si>
  <si>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</si>
  <si>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</si>
  <si>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</si>
  <si>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</si>
  <si>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</si>
  <si>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</si>
  <si>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</si>
  <si>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</si>
  <si>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</si>
  <si>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</si>
  <si>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</si>
  <si>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</si>
  <si>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</si>
  <si>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</si>
  <si>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</si>
  <si>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</si>
  <si>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</si>
  <si>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</si>
  <si>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</si>
  <si>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</si>
  <si>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</si>
  <si>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</si>
  <si>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</si>
  <si>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</si>
  <si>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</si>
  <si>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</si>
  <si>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</si>
  <si>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</si>
  <si>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</si>
  <si>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</si>
  <si>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</si>
  <si>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</si>
  <si>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</si>
  <si>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</si>
  <si>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</si>
  <si>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</si>
  <si>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</si>
  <si>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</si>
  <si>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</si>
  <si>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</si>
  <si>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</si>
  <si>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</si>
  <si>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</si>
  <si>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</si>
  <si>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</si>
  <si>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</si>
  <si>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</si>
  <si>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</si>
  <si>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</si>
  <si>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</si>
  <si>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</si>
  <si>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</si>
  <si>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</si>
  <si>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</si>
  <si>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</si>
  <si>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</si>
  <si>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</si>
  <si>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</si>
  <si>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</si>
  <si>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</si>
  <si>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</si>
  <si>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</si>
  <si>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</si>
  <si>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</si>
  <si>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</si>
  <si>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</si>
  <si>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</si>
  <si>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</si>
  <si>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</si>
  <si>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</si>
  <si>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</si>
  <si>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</si>
  <si>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</si>
  <si>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</si>
  <si>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</si>
  <si>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</si>
  <si>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</si>
  <si>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</si>
  <si>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</si>
  <si>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</si>
  <si>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</si>
  <si>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</si>
  <si>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</si>
  <si>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</si>
  <si>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</si>
  <si>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</si>
  <si>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</si>
  <si>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</si>
  <si>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</si>
  <si>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</si>
  <si>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</si>
  <si>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</si>
  <si>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</si>
  <si>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</si>
  <si>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</si>
  <si>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</si>
  <si>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</si>
  <si>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</si>
  <si>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</si>
  <si>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</si>
  <si>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</si>
  <si>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</si>
  <si>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</si>
  <si>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</si>
  <si>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</si>
  <si>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</si>
  <si>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</si>
  <si>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</si>
  <si>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</si>
  <si>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</si>
  <si>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</si>
  <si>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</si>
  <si>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</si>
  <si>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</si>
  <si>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</si>
  <si>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</si>
  <si>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</si>
  <si>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</si>
  <si>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</si>
  <si>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</si>
  <si>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</si>
  <si>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</si>
  <si>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</si>
  <si>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</si>
  <si>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</si>
  <si>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</si>
  <si>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</si>
  <si>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</si>
  <si>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</si>
  <si>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</si>
  <si>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</si>
  <si>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</si>
  <si>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</si>
  <si>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</si>
  <si>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</si>
  <si>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</si>
  <si>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</si>
  <si>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</si>
  <si>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</si>
  <si>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</si>
  <si>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</si>
  <si>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</si>
  <si>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</si>
  <si>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</si>
  <si>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</si>
  <si>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</si>
  <si>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</si>
  <si>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</si>
  <si>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</si>
  <si>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</si>
  <si>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</si>
  <si>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</si>
  <si>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</si>
  <si>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</si>
  <si>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</si>
  <si>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</si>
  <si>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</si>
  <si>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</si>
  <si>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</si>
  <si>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</si>
  <si>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</si>
  <si>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</si>
  <si>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</si>
  <si>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</si>
  <si>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</si>
  <si>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</si>
  <si>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</si>
  <si>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</si>
  <si>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</si>
  <si>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</si>
  <si>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</si>
  <si>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</si>
  <si>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</si>
  <si>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</si>
  <si>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</si>
  <si>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</si>
  <si>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</si>
  <si>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</si>
  <si>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</si>
  <si>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</si>
  <si>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</si>
  <si>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</si>
  <si>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</si>
  <si>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</si>
  <si>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</si>
  <si>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</si>
  <si>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</si>
  <si>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</si>
  <si>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</si>
  <si>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</si>
  <si>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</si>
  <si>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</si>
  <si>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</si>
  <si>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</si>
  <si>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</si>
  <si>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</si>
  <si>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</si>
  <si>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</si>
  <si>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</si>
  <si>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</si>
  <si>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</si>
  <si>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</si>
  <si>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</si>
  <si>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</si>
  <si>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</si>
  <si>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</si>
  <si>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</si>
  <si>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</si>
  <si>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</si>
  <si>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</si>
  <si>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</si>
  <si>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</si>
  <si>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</si>
  <si>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</si>
  <si>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</si>
  <si>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</si>
  <si>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</si>
  <si>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</si>
  <si>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</si>
  <si>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</si>
  <si>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</si>
  <si>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</si>
  <si>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</si>
  <si>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</si>
  <si>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</si>
  <si>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</si>
  <si>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</si>
  <si>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</si>
  <si>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</si>
  <si>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</si>
  <si>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</si>
  <si>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</si>
  <si>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</si>
  <si>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</si>
  <si>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</si>
  <si>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</si>
  <si>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</si>
  <si>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</si>
  <si>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</si>
  <si>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</si>
  <si>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</si>
  <si>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</si>
  <si>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</si>
  <si>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</si>
  <si>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</si>
  <si>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</si>
  <si>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</si>
  <si>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</si>
  <si>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</si>
  <si>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</si>
  <si>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</si>
  <si>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</si>
  <si>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</si>
  <si>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</si>
  <si>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</si>
  <si>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</si>
  <si>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</si>
  <si>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</si>
  <si>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</si>
  <si>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</si>
  <si>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</si>
  <si>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</si>
  <si>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</si>
  <si>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</si>
  <si>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</si>
  <si>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</si>
  <si>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</si>
  <si>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</si>
  <si>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</si>
  <si>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</si>
  <si>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</si>
  <si>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</si>
  <si>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</si>
  <si>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</si>
  <si>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</si>
  <si>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</si>
  <si>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</si>
  <si>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</si>
  <si>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</si>
  <si>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</si>
  <si>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</si>
  <si>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</si>
  <si>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</si>
  <si>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</si>
  <si>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</si>
  <si>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</si>
  <si>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</si>
  <si>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</si>
  <si>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</si>
  <si>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</si>
  <si>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</si>
  <si>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</si>
  <si>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</si>
  <si>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</si>
  <si>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</si>
  <si>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</si>
  <si>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</si>
  <si>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</si>
  <si>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</si>
  <si>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</si>
  <si>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</si>
  <si>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</si>
  <si>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</si>
  <si>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</si>
  <si>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</si>
  <si>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</si>
  <si>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</si>
  <si>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</si>
  <si>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</si>
  <si>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</si>
  <si>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</si>
  <si>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</si>
  <si>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</si>
  <si>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</si>
  <si>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</si>
  <si>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</si>
  <si>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</si>
  <si>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</si>
  <si>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</si>
  <si>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</si>
  <si>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</si>
  <si>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</si>
  <si>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</si>
  <si>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</si>
  <si>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</si>
  <si>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</si>
  <si>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</si>
  <si>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</si>
  <si>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</si>
  <si>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</si>
  <si>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</si>
  <si>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</si>
  <si>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</si>
  <si>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</si>
  <si>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</si>
  <si>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</si>
  <si>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</si>
  <si>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</si>
  <si>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</si>
  <si>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</si>
  <si>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</si>
  <si>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</si>
  <si>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</si>
  <si>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</si>
  <si>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</si>
  <si>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</si>
  <si>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</si>
  <si>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</si>
  <si>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</si>
  <si>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</si>
  <si>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</si>
  <si>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</si>
  <si>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</si>
  <si>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</si>
  <si>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</si>
  <si>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</si>
  <si>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</si>
  <si>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</si>
  <si>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</si>
  <si>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</si>
  <si>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</si>
  <si>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</si>
  <si>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</si>
  <si>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</si>
  <si>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</si>
  <si>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</si>
  <si>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</si>
  <si>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</si>
  <si>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</si>
  <si>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</si>
  <si>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</si>
  <si>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</si>
  <si>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</si>
  <si>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</si>
  <si>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</si>
  <si>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</si>
  <si>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</si>
  <si>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</si>
  <si>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</si>
  <si>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</si>
  <si>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</si>
  <si>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</si>
  <si>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</si>
  <si>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</si>
  <si>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</si>
  <si>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</si>
  <si>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</si>
  <si>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</si>
  <si>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</si>
  <si>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</si>
  <si>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</si>
  <si>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</si>
  <si>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</si>
  <si>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</si>
  <si>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</si>
  <si>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</si>
  <si>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</si>
  <si>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</si>
  <si>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</si>
  <si>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</si>
  <si>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</si>
  <si>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</si>
  <si>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</si>
  <si>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</si>
  <si>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</si>
  <si>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</si>
  <si>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</si>
  <si>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</si>
  <si>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</si>
  <si>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</si>
  <si>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</si>
  <si>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</si>
  <si>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</si>
  <si>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</si>
  <si>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</si>
  <si>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</si>
  <si>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</si>
  <si>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</si>
  <si>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</si>
  <si>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</si>
  <si>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</si>
  <si>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</si>
  <si>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</si>
  <si>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</si>
  <si>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</si>
  <si>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</si>
  <si>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</si>
  <si>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</si>
  <si>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</si>
  <si>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</si>
  <si>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</si>
  <si>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</si>
  <si>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</si>
  <si>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</si>
  <si>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</si>
  <si>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</si>
  <si>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</si>
  <si>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</si>
  <si>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</si>
  <si>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</si>
  <si>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</si>
  <si>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</si>
  <si>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</si>
  <si>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</si>
  <si>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</si>
  <si>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</si>
  <si>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</si>
  <si>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</si>
  <si>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</si>
  <si>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</si>
  <si>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</si>
  <si>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</si>
  <si>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</si>
  <si>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</si>
  <si>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</si>
  <si>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</si>
  <si>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</si>
  <si>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</si>
  <si>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</si>
  <si>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</si>
  <si>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</si>
  <si>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</si>
  <si>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</si>
  <si>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</si>
  <si>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</si>
  <si>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</si>
  <si>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</si>
  <si>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</si>
  <si>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</si>
  <si>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</si>
  <si>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</si>
  <si>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</si>
  <si>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</si>
  <si>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</si>
  <si>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</si>
  <si>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</si>
  <si>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</si>
  <si>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</si>
  <si>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</si>
  <si>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</si>
  <si>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</si>
  <si>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</si>
  <si>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</si>
  <si>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</si>
  <si>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</si>
  <si>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</si>
  <si>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</si>
  <si>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</si>
  <si>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</si>
  <si>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</si>
  <si>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</si>
  <si>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</si>
  <si>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</si>
  <si>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</si>
  <si>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</si>
  <si>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</si>
  <si>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</si>
  <si>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</si>
  <si>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</si>
  <si>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</si>
  <si>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</si>
  <si>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</si>
  <si>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</si>
  <si>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</si>
  <si>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</si>
  <si>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</si>
  <si>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</si>
  <si>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</si>
  <si>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</si>
  <si>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</si>
  <si>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</si>
  <si>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</si>
  <si>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</si>
  <si>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</si>
  <si>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</si>
  <si>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</si>
  <si>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</si>
  <si>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</si>
  <si>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</si>
  <si>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</si>
  <si>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</si>
  <si>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</si>
  <si>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</si>
  <si>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</si>
  <si>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</si>
  <si>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</si>
  <si>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</si>
  <si>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</si>
  <si>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</si>
  <si>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</si>
  <si>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</si>
  <si>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</si>
  <si>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</si>
  <si>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</si>
  <si>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</si>
  <si>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</si>
  <si>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</si>
  <si>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</si>
  <si>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</si>
  <si>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</si>
  <si>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</si>
  <si>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</si>
  <si>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</si>
  <si>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</si>
  <si>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</si>
  <si>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</si>
  <si>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</si>
  <si>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</si>
  <si>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</si>
  <si>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</si>
  <si>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</si>
  <si>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</si>
  <si>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</si>
  <si>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</si>
  <si>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</si>
  <si>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</si>
  <si>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</si>
  <si>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</si>
  <si>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</si>
  <si>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</si>
  <si>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</si>
  <si>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</si>
  <si>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</si>
  <si>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</si>
  <si>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</si>
  <si>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</si>
  <si>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</si>
  <si>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</si>
  <si>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</si>
  <si>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</si>
  <si>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</si>
  <si>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</si>
  <si>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</si>
  <si>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</si>
  <si>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</si>
  <si>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</si>
  <si>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</si>
  <si>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</si>
  <si>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</si>
  <si>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</si>
  <si>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</si>
  <si>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</si>
  <si>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</si>
  <si>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</si>
  <si>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</si>
  <si>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</si>
  <si>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</si>
  <si>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</si>
  <si>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</si>
  <si>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</si>
  <si>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</si>
  <si>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</si>
  <si>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</si>
  <si>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</si>
  <si>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</si>
  <si>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</si>
  <si>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</si>
  <si>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</si>
  <si>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</si>
  <si>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</si>
  <si>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</si>
  <si>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</si>
  <si>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</si>
  <si>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</si>
  <si>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</si>
  <si>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</si>
  <si>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</si>
  <si>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</si>
  <si>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</si>
  <si>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</si>
  <si>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</si>
  <si>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</si>
  <si>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</si>
  <si>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</si>
  <si>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</si>
  <si>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</si>
  <si>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</si>
  <si>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</si>
  <si>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</si>
  <si>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</si>
  <si>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</si>
  <si>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</si>
  <si>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</si>
  <si>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</si>
  <si>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</si>
  <si>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</si>
  <si>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</si>
  <si>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</si>
  <si>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</si>
  <si>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</si>
  <si>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</si>
  <si>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</si>
  <si>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</si>
  <si>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</si>
  <si>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</si>
  <si>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</si>
  <si>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</si>
  <si>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</si>
  <si>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</si>
  <si>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</si>
  <si>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</si>
  <si>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</si>
  <si>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</si>
  <si>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</si>
  <si>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</si>
  <si>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</si>
  <si>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</si>
  <si>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</si>
  <si>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</si>
  <si>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</si>
  <si>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</si>
  <si>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</si>
  <si>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</si>
  <si>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</si>
  <si>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</si>
  <si>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</si>
  <si>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</si>
  <si>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</si>
  <si>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</si>
  <si>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</si>
  <si>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</si>
  <si>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</si>
  <si>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</si>
  <si>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</si>
  <si>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</si>
  <si>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</si>
  <si>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</si>
  <si>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</si>
  <si>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</si>
  <si>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</si>
  <si>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</si>
  <si>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</si>
  <si>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</si>
  <si>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</si>
  <si>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</si>
  <si>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</si>
  <si>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</si>
  <si>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</si>
  <si>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</si>
  <si>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</si>
  <si>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</si>
  <si>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</si>
  <si>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</si>
  <si>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</si>
  <si>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</si>
  <si>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</si>
  <si>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</si>
  <si>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</si>
  <si>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</si>
  <si>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</si>
  <si>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</si>
  <si>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</si>
  <si>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</si>
  <si>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</si>
  <si>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</si>
  <si>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</si>
  <si>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</si>
  <si>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</si>
  <si>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</si>
  <si>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</si>
  <si>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</si>
  <si>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</si>
  <si>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</si>
  <si>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</si>
  <si>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</si>
  <si>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</si>
  <si>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</si>
  <si>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</si>
  <si>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</si>
  <si>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</si>
  <si>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</si>
  <si>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</si>
  <si>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</si>
  <si>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</si>
  <si>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</si>
  <si>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</si>
  <si>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</si>
  <si>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</si>
  <si>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</si>
  <si>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</si>
  <si>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</si>
  <si>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</si>
  <si>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</si>
  <si>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</si>
  <si>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</si>
  <si>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</si>
  <si>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</si>
  <si>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</si>
  <si>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</si>
  <si>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</si>
  <si>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</si>
  <si>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</si>
  <si>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</si>
  <si>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</si>
  <si>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</si>
  <si>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</si>
  <si>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</si>
  <si>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</si>
  <si>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</si>
  <si>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</si>
  <si>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</si>
  <si>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</si>
  <si>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</si>
  <si>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</si>
  <si>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</si>
  <si>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</si>
  <si>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</si>
  <si>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</si>
  <si>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</si>
  <si>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</si>
  <si>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</si>
  <si>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</si>
  <si>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</si>
  <si>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</si>
  <si>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</si>
  <si>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</si>
  <si>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</si>
  <si>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</si>
  <si>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</si>
  <si>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</si>
  <si>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</si>
  <si>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</si>
  <si>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</si>
  <si>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</si>
  <si>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</si>
  <si>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</si>
  <si>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</si>
  <si>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</si>
  <si>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</si>
  <si>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</si>
  <si>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</si>
  <si>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</si>
  <si>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</si>
  <si>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</si>
  <si>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</si>
  <si>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</si>
  <si>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</si>
  <si>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</si>
  <si>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</si>
  <si>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</si>
  <si>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</si>
  <si>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</si>
  <si>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</si>
  <si>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</si>
  <si>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</si>
  <si>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</si>
  <si>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</si>
  <si>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</si>
  <si>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</si>
  <si>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</si>
  <si>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</si>
  <si>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</si>
  <si>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</si>
  <si>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</si>
  <si>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</si>
  <si>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</si>
  <si>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</si>
  <si>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</si>
  <si>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</si>
  <si>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</si>
  <si>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</si>
  <si>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</si>
  <si>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</si>
  <si>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</si>
  <si>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</si>
  <si>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</si>
  <si>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</si>
  <si>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</si>
  <si>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</si>
  <si>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</si>
  <si>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</si>
  <si>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</si>
  <si>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</si>
  <si>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</si>
  <si>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</si>
  <si>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</si>
  <si>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</si>
  <si>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</si>
  <si>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</si>
  <si>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</si>
  <si>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</si>
  <si>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</si>
  <si>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</si>
  <si>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</si>
  <si>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</si>
  <si>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</si>
  <si>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</si>
  <si>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</si>
  <si>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</si>
  <si>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</si>
  <si>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</si>
  <si>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</si>
  <si>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</si>
  <si>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</si>
  <si>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</si>
  <si>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</si>
  <si>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</si>
  <si>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</si>
  <si>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</si>
  <si>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</si>
  <si>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</si>
  <si>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</si>
  <si>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</si>
  <si>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</si>
  <si>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</si>
  <si>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</si>
  <si>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</si>
  <si>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</si>
  <si>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</si>
  <si>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</si>
  <si>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</si>
  <si>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</si>
  <si>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</si>
  <si>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</si>
  <si>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</si>
  <si>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</si>
  <si>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</si>
  <si>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</si>
  <si>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</si>
  <si>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</si>
  <si>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</si>
  <si>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</si>
  <si>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</si>
  <si>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</si>
  <si>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</si>
  <si>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</si>
  <si>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</si>
  <si>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</si>
  <si>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</si>
  <si>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</si>
  <si>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</si>
  <si>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</si>
  <si>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</si>
  <si>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</si>
  <si>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</si>
  <si>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</si>
  <si>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</si>
  <si>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</si>
  <si>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</si>
  <si>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</si>
  <si>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</si>
  <si>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</si>
  <si>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</si>
  <si>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</si>
  <si>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</si>
  <si>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</si>
  <si>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</si>
  <si>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</si>
  <si>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</si>
  <si>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</si>
  <si>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</si>
  <si>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</si>
  <si>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</si>
  <si>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</si>
  <si>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</si>
  <si>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</si>
  <si>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</si>
  <si>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</si>
  <si>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</si>
  <si>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</si>
  <si>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</si>
  <si>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</si>
  <si>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</si>
  <si>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</si>
  <si>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</si>
  <si>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</si>
  <si>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</si>
  <si>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</si>
  <si>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</si>
  <si>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</si>
  <si>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</si>
  <si>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</si>
  <si>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</si>
  <si>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</si>
  <si>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</si>
  <si>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</si>
  <si>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</si>
  <si>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</si>
  <si>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</si>
  <si>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</si>
  <si>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</si>
  <si>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</si>
  <si>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</si>
  <si>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</si>
  <si>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</si>
  <si>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</si>
  <si>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</si>
  <si>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</si>
  <si>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</si>
  <si>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</si>
  <si>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</si>
  <si>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</si>
  <si>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</si>
  <si>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</si>
  <si>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</si>
  <si>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</si>
  <si>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</si>
  <si>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</si>
  <si>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</si>
  <si>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</si>
  <si>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</si>
  <si>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</si>
  <si>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</si>
  <si>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</si>
  <si>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</si>
  <si>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</si>
  <si>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</si>
  <si>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</si>
  <si>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</si>
  <si>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</si>
  <si>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</si>
  <si>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</si>
  <si>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</si>
  <si>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</si>
  <si>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</si>
  <si>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</si>
  <si>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</si>
  <si>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</si>
  <si>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</si>
  <si>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</si>
  <si>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</si>
  <si>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</si>
  <si>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</si>
  <si>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</si>
  <si>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</si>
  <si>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</si>
  <si>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</si>
  <si>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</si>
  <si>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</si>
  <si>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</si>
  <si>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</si>
  <si>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</si>
  <si>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</si>
  <si>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</si>
  <si>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</si>
  <si>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</si>
  <si>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</si>
  <si>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</si>
  <si>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</si>
  <si>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</si>
  <si>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</si>
  <si>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</si>
  <si>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</si>
  <si>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</si>
  <si>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</si>
  <si>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</si>
  <si>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</si>
  <si>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</si>
  <si>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</si>
  <si>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</si>
  <si>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</si>
  <si>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</si>
  <si>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</si>
  <si>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</si>
  <si>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</si>
  <si>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</si>
  <si>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</si>
  <si>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</si>
  <si>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</si>
  <si>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</si>
  <si>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</si>
  <si>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</si>
  <si>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</si>
  <si>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</si>
  <si>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</si>
  <si>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</si>
  <si>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</si>
  <si>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</si>
  <si>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</si>
  <si>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</si>
  <si>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</si>
  <si>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</si>
  <si>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</si>
  <si>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</si>
  <si>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</si>
  <si>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</si>
  <si>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</si>
  <si>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</si>
  <si>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</si>
  <si>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</si>
  <si>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</si>
  <si>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</si>
  <si>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</si>
  <si>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</si>
  <si>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</si>
  <si>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</si>
  <si>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</si>
  <si>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</si>
  <si>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</si>
  <si>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</si>
  <si>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</si>
  <si>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</si>
  <si>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</si>
  <si>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</si>
  <si>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</si>
  <si>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</si>
  <si>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</si>
  <si>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</si>
  <si>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</si>
  <si>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</si>
  <si>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</si>
  <si>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</si>
  <si>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</si>
  <si>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</si>
  <si>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</si>
  <si>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</si>
  <si>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</si>
  <si>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</si>
  <si>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</si>
  <si>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</si>
  <si>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r>
      <t>Do</t>
    </r>
    <r>
      <rPr>
        <b/>
        <sz val="9"/>
        <color indexed="10"/>
        <rFont val="Arial"/>
        <family val="2"/>
      </rPr>
      <t xml:space="preserve"> </t>
    </r>
    <r>
      <rPr>
        <b/>
        <u/>
        <sz val="9"/>
        <color indexed="10"/>
        <rFont val="Arial"/>
        <family val="2"/>
      </rPr>
      <t>NOT</t>
    </r>
    <r>
      <rPr>
        <sz val="9"/>
        <color indexed="10"/>
        <rFont val="Arial"/>
        <family val="2"/>
      </rPr>
      <t xml:space="preserve"> cut, copy or paste cells in this tab.  Complete </t>
    </r>
    <r>
      <rPr>
        <b/>
        <u/>
        <sz val="9"/>
        <color indexed="10"/>
        <rFont val="Arial"/>
        <family val="2"/>
      </rPr>
      <t>ALL</t>
    </r>
    <r>
      <rPr>
        <sz val="9"/>
        <color indexed="10"/>
        <rFont val="Arial"/>
        <family val="2"/>
      </rPr>
      <t xml:space="preserve"> columns. For Common Space (non-income producing) units, select "N/A-CS" for Rent Type and "Common" for Employee Unit.  </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</si>
  <si>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</si>
  <si>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</si>
  <si>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</si>
  <si>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</si>
  <si>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</si>
  <si>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</si>
  <si>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</si>
  <si>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</si>
  <si>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</si>
  <si>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</si>
  <si>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</si>
  <si>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</si>
  <si>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</si>
  <si>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</si>
  <si>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</si>
  <si>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</si>
  <si>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</si>
  <si>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</si>
  <si>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</si>
  <si>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</si>
  <si>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</si>
  <si>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</si>
  <si>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</si>
  <si>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</si>
  <si>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</si>
  <si>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</si>
  <si>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</si>
  <si>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</si>
  <si>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</si>
  <si>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</si>
  <si>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</si>
  <si>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</si>
  <si>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</si>
  <si>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</si>
  <si>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</si>
  <si>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</si>
  <si>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</si>
  <si>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</si>
  <si>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</si>
  <si>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</si>
  <si>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</si>
  <si>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</si>
  <si>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</si>
  <si>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</si>
  <si>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</si>
  <si>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</si>
  <si>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</si>
  <si>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</si>
  <si>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</si>
  <si>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</si>
  <si>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</si>
  <si>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</si>
  <si>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</si>
  <si>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</si>
  <si>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</si>
  <si>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</si>
  <si>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</si>
  <si>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</si>
  <si>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</si>
  <si>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</si>
  <si>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</si>
  <si>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</si>
  <si>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</si>
  <si>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</si>
  <si>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</si>
  <si>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</si>
  <si>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</si>
  <si>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</si>
  <si>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</si>
  <si>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</si>
  <si>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</si>
  <si>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</si>
  <si>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</si>
  <si>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</si>
  <si>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</si>
  <si>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</si>
  <si>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</si>
  <si>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</si>
  <si>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</si>
  <si>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</si>
  <si>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</si>
  <si>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</si>
  <si>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</si>
  <si>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</si>
  <si>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</si>
  <si>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</si>
  <si>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</si>
  <si>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</si>
  <si>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</si>
  <si>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</si>
  <si>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</si>
  <si>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</si>
  <si>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</si>
  <si>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</si>
  <si>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</si>
  <si>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</si>
  <si>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</si>
  <si>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</si>
  <si>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</si>
  <si>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</si>
  <si>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</si>
  <si>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</si>
  <si>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</si>
  <si>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</si>
  <si>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</si>
  <si>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</si>
  <si>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</si>
  <si>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</si>
  <si>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</si>
  <si>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</si>
  <si>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</si>
  <si>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</si>
  <si>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</si>
  <si>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</si>
  <si>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</si>
  <si>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</si>
  <si>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</si>
  <si>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</si>
  <si>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</si>
  <si>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</si>
  <si>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</si>
  <si>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</si>
  <si>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</si>
  <si>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</si>
  <si>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</si>
  <si>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</si>
  <si>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</si>
  <si>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</si>
  <si>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</si>
  <si>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</si>
  <si>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</si>
  <si>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</si>
  <si>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</si>
  <si>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</si>
  <si>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</si>
  <si>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</si>
  <si>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</si>
  <si>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</si>
  <si>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</si>
  <si>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</si>
  <si>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</si>
  <si>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</si>
  <si>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</si>
  <si>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</si>
  <si>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</si>
  <si>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</si>
  <si>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</si>
  <si>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</si>
  <si>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</si>
  <si>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</si>
  <si>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</si>
  <si>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</si>
  <si>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</si>
  <si>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</si>
  <si>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</si>
  <si>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</si>
  <si>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</si>
  <si>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</si>
  <si>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</si>
  <si>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</si>
  <si>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</si>
  <si>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</si>
  <si>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</si>
  <si>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</si>
  <si>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</si>
  <si>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</si>
  <si>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</si>
  <si>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</si>
  <si>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</si>
  <si>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</si>
  <si>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</si>
  <si>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</si>
  <si>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</si>
  <si>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</si>
  <si>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</si>
  <si>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</si>
  <si>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</si>
  <si>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</si>
  <si>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</si>
  <si>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</si>
  <si>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</si>
  <si>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</si>
  <si>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</si>
  <si>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</si>
  <si>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</si>
  <si>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</si>
  <si>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</si>
  <si>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</si>
  <si>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</si>
  <si>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</si>
  <si>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</si>
  <si>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</si>
  <si>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</si>
  <si>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</si>
  <si>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</si>
  <si>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</si>
  <si>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</si>
  <si>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</si>
  <si>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</si>
  <si>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</si>
  <si>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</si>
  <si>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</si>
  <si>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</si>
  <si>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</si>
  <si>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</si>
  <si>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</si>
  <si>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</si>
  <si>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</si>
  <si>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</si>
  <si>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</si>
  <si>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</si>
  <si>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</si>
  <si>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</si>
  <si>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</si>
  <si>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</si>
  <si>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</si>
  <si>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</si>
  <si>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</si>
  <si>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</si>
  <si>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</si>
  <si>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</si>
  <si>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</si>
  <si>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</si>
  <si>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</si>
  <si>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</si>
  <si>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</si>
  <si>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</si>
  <si>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</si>
  <si>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</si>
  <si>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</si>
  <si>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</si>
  <si>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</si>
  <si>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</si>
  <si>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</si>
  <si>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</si>
  <si>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</si>
  <si>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</si>
  <si>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</si>
  <si>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</si>
  <si>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</si>
  <si>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</si>
  <si>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</si>
  <si>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</si>
  <si>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</si>
  <si>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</si>
  <si>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</si>
  <si>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</si>
  <si>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</si>
  <si>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</si>
  <si>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</si>
  <si>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</si>
  <si>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</si>
  <si>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</si>
  <si>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</si>
  <si>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</si>
  <si>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</si>
  <si>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</si>
  <si>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</si>
  <si>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</si>
  <si>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</si>
  <si>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</si>
  <si>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</si>
  <si>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</si>
  <si>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</si>
  <si>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</si>
  <si>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</si>
  <si>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</si>
  <si>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</si>
  <si>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</si>
  <si>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</si>
  <si>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</si>
  <si>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</si>
  <si>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</si>
  <si>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</si>
  <si>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</si>
  <si>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</si>
  <si>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</si>
  <si>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</si>
  <si>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</si>
  <si>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</si>
  <si>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</si>
  <si>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</si>
  <si>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</si>
  <si>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</si>
  <si>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</si>
  <si>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</si>
  <si>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</si>
  <si>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</si>
  <si>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</si>
  <si>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</si>
  <si>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</si>
  <si>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</si>
  <si>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</si>
  <si>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</si>
  <si>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</si>
  <si>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</si>
  <si>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</si>
  <si>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</si>
  <si>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</si>
  <si>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</si>
  <si>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</si>
  <si>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</si>
  <si>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</si>
  <si>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</si>
  <si>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</si>
  <si>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</si>
  <si>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</si>
  <si>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</si>
  <si>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</si>
  <si>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</si>
  <si>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</si>
  <si>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</si>
  <si>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</si>
  <si>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</si>
  <si>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</si>
  <si>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</si>
  <si>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</si>
  <si>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</si>
  <si>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</si>
  <si>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</si>
  <si>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</si>
  <si>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</si>
  <si>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</si>
  <si>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</si>
  <si>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</si>
  <si>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</si>
  <si>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</si>
  <si>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</si>
  <si>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</si>
  <si>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</si>
  <si>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</si>
  <si>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</si>
  <si>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</si>
  <si>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</si>
  <si>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</si>
  <si>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</si>
  <si>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</si>
  <si>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</si>
  <si>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</si>
  <si>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</si>
  <si>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</si>
  <si>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</si>
  <si>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</si>
  <si>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</si>
  <si>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</si>
  <si>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</si>
  <si>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</si>
  <si>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</si>
  <si>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</si>
  <si>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</si>
  <si>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</si>
  <si>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</si>
  <si>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</si>
  <si>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</si>
  <si>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</si>
  <si>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</si>
  <si>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</si>
  <si>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</si>
  <si>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</si>
  <si>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</si>
  <si>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</si>
  <si>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</si>
  <si>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</si>
  <si>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</si>
  <si>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</si>
  <si>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</si>
  <si>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</si>
  <si>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</si>
  <si>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</si>
  <si>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</si>
  <si>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</si>
  <si>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</si>
  <si>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</si>
  <si>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</si>
  <si>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</si>
  <si>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</si>
  <si>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</si>
  <si>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</si>
  <si>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</si>
  <si>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</si>
  <si>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</si>
  <si>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</si>
  <si>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</si>
  <si>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</si>
  <si>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</si>
  <si>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</si>
  <si>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</si>
  <si>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</si>
  <si>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</si>
  <si>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</si>
  <si>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</si>
  <si>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</si>
  <si>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</si>
  <si>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</si>
  <si>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</si>
  <si>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</si>
  <si>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</si>
  <si>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</si>
  <si>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</si>
  <si>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</si>
  <si>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</si>
  <si>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</si>
  <si>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</si>
  <si>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</si>
  <si>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</si>
  <si>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</si>
  <si>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</si>
  <si>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</si>
  <si>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</si>
  <si>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</si>
  <si>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</si>
  <si>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</si>
  <si>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</si>
  <si>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</si>
  <si>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</si>
  <si>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</si>
  <si>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</si>
  <si>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</si>
  <si>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</si>
  <si>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</si>
  <si>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</si>
  <si>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</si>
  <si>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</si>
  <si>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</si>
  <si>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</si>
  <si>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</si>
  <si>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</si>
  <si>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</si>
  <si>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</si>
  <si>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</si>
  <si>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</si>
  <si>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</si>
  <si>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</si>
  <si>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</si>
  <si>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</si>
  <si>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</si>
  <si>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</si>
  <si>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</si>
  <si>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</si>
  <si>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</si>
  <si>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</si>
  <si>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</si>
  <si>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</si>
  <si>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</si>
  <si>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</si>
  <si>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</si>
  <si>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</si>
  <si>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</si>
  <si>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</si>
  <si>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</si>
  <si>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</si>
  <si>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</si>
  <si>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</si>
  <si>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</si>
  <si>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</si>
  <si>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</si>
  <si>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</si>
  <si>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</si>
  <si>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</si>
  <si>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</si>
  <si>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</si>
  <si>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</si>
  <si>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</si>
  <si>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</si>
  <si>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</si>
  <si>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</si>
  <si>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</si>
  <si>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</si>
  <si>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</si>
  <si>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</si>
  <si>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</si>
  <si>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</si>
  <si>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</si>
  <si>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</si>
  <si>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</si>
  <si>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</si>
  <si>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</si>
  <si>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</si>
  <si>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</si>
  <si>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</si>
  <si>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</si>
  <si>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</si>
  <si>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</si>
  <si>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</si>
  <si>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</si>
  <si>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</si>
  <si>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</si>
  <si>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</si>
  <si>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</si>
  <si>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</si>
  <si>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</si>
  <si>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</si>
  <si>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</si>
  <si>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</si>
  <si>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</si>
  <si>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</si>
  <si>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</si>
  <si>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</si>
  <si>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</si>
  <si>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</si>
  <si>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</si>
  <si>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</si>
  <si>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</si>
  <si>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</si>
  <si>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</si>
  <si>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</si>
  <si>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</si>
  <si>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</si>
  <si>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</si>
  <si>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</si>
  <si>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</si>
  <si>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</si>
  <si>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</si>
  <si>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</si>
  <si>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</si>
  <si>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</si>
  <si>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</si>
  <si>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</si>
  <si>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</si>
  <si>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</si>
  <si>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</si>
  <si>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</si>
  <si>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</si>
  <si>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</si>
  <si>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</si>
  <si>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</si>
  <si>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</si>
  <si>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</si>
  <si>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</si>
  <si>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</si>
  <si>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</si>
  <si>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</si>
  <si>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</si>
  <si>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</si>
  <si>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</si>
  <si>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</si>
  <si>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</si>
  <si>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</si>
  <si>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</si>
  <si>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</si>
  <si>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</si>
  <si>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</si>
  <si>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</si>
  <si>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</si>
  <si>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</si>
  <si>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</si>
  <si>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</si>
  <si>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</si>
  <si>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</si>
  <si>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</si>
  <si>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</si>
  <si>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</si>
  <si>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</si>
  <si>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</si>
  <si>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</si>
  <si>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</si>
  <si>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</si>
  <si>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</si>
  <si>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</si>
  <si>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</si>
  <si>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</si>
  <si>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</si>
  <si>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</si>
  <si>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</si>
  <si>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</si>
  <si>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</si>
  <si>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</si>
  <si>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</si>
  <si>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</si>
  <si>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</si>
  <si>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</si>
  <si>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</si>
  <si>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</si>
  <si>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</si>
  <si>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</si>
  <si>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</si>
  <si>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</si>
  <si>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</si>
  <si>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</si>
  <si>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</si>
  <si>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</si>
  <si>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</si>
  <si>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</si>
  <si>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</si>
  <si>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</si>
  <si>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</si>
  <si>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</si>
  <si>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</si>
  <si>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</si>
  <si>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</si>
  <si>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</si>
  <si>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</si>
  <si>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</si>
  <si>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</si>
  <si>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</si>
  <si>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</si>
  <si>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</si>
  <si>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</si>
  <si>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</si>
  <si>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</si>
  <si>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</si>
  <si>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</si>
  <si>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</si>
  <si>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</si>
  <si>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</si>
  <si>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</si>
  <si>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</si>
  <si>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</si>
  <si>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</si>
  <si>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</si>
  <si>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</si>
  <si>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</si>
  <si>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</si>
  <si>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</si>
  <si>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</si>
  <si>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</si>
  <si>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</si>
  <si>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</si>
  <si>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</si>
  <si>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</si>
  <si>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</si>
  <si>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</si>
  <si>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</si>
  <si>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</si>
  <si>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</si>
  <si>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</si>
  <si>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</si>
  <si>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</si>
  <si>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</si>
  <si>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</si>
  <si>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</si>
  <si>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</si>
  <si>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</si>
  <si>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</si>
  <si>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</si>
  <si>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</si>
  <si>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</si>
  <si>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</si>
  <si>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</si>
  <si>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</si>
  <si>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</si>
  <si>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</si>
  <si>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</si>
  <si>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</si>
  <si>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</si>
  <si>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</si>
  <si>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</si>
  <si>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</si>
  <si>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</si>
  <si>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</si>
  <si>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</si>
  <si>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</si>
  <si>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</si>
  <si>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</si>
  <si>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</si>
  <si>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</si>
  <si>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</si>
  <si>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</si>
  <si>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</si>
  <si>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</si>
  <si>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</si>
  <si>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</si>
  <si>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</si>
  <si>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</si>
  <si>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</si>
  <si>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</si>
  <si>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</si>
  <si>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</si>
  <si>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</si>
  <si>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</si>
  <si>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</si>
  <si>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</si>
  <si>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</si>
  <si>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</si>
  <si>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</si>
  <si>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</si>
  <si>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</si>
  <si>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</si>
  <si>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</si>
  <si>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</si>
  <si>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</si>
  <si>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</si>
  <si>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</si>
  <si>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</si>
  <si>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</si>
  <si>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</si>
  <si>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</si>
  <si>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</si>
  <si>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</si>
  <si>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</si>
  <si>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</si>
  <si>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</si>
  <si>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</si>
  <si>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</si>
  <si>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</si>
  <si>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</si>
  <si>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</si>
  <si>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</si>
  <si>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</si>
  <si>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</si>
  <si>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</si>
  <si>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</si>
  <si>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</si>
  <si>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</si>
  <si>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</si>
  <si>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</si>
  <si>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</si>
  <si>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</si>
  <si>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</si>
  <si>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</si>
  <si>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</si>
  <si>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</si>
  <si>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</si>
  <si>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</si>
  <si>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</si>
  <si>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</si>
  <si>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</si>
  <si>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</si>
  <si>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</si>
  <si>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</si>
  <si>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</si>
  <si>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</si>
  <si>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</si>
  <si>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</si>
  <si>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</si>
  <si>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</si>
  <si>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</si>
  <si>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</si>
  <si>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</si>
  <si>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</si>
  <si>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</si>
  <si>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</si>
  <si>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</si>
  <si>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</si>
  <si>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</si>
  <si>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</si>
  <si>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</si>
  <si>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</si>
  <si>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</si>
  <si>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</si>
  <si>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</si>
  <si>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</si>
  <si>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</si>
  <si>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</si>
  <si>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</si>
  <si>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</si>
  <si>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</si>
  <si>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</si>
  <si>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</si>
  <si>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</si>
  <si>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</si>
  <si>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</si>
  <si>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</si>
  <si>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</si>
  <si>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</si>
  <si>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</si>
  <si>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</si>
  <si>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</si>
  <si>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</si>
  <si>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</si>
  <si>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</si>
  <si>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</si>
  <si>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</si>
  <si>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</si>
  <si>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</si>
  <si>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</si>
  <si>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</si>
  <si>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</si>
  <si>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</si>
  <si>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</si>
  <si>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</si>
  <si>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</si>
  <si>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</si>
  <si>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</si>
  <si>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</si>
  <si>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</si>
  <si>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</si>
  <si>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</si>
  <si>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</si>
  <si>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</si>
  <si>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</si>
  <si>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</si>
  <si>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</si>
  <si>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</si>
  <si>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</si>
  <si>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</si>
  <si>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</si>
  <si>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</si>
  <si>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</si>
  <si>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</si>
  <si>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</si>
  <si>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</si>
  <si>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</si>
  <si>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</si>
  <si>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</si>
  <si>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</si>
  <si>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</si>
  <si>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</si>
  <si>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</si>
  <si>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</si>
  <si>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</si>
  <si>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</si>
  <si>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</si>
  <si>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</si>
  <si>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</si>
  <si>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</si>
  <si>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</si>
  <si>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</si>
  <si>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</si>
  <si>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</si>
  <si>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</si>
  <si>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</si>
  <si>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</si>
  <si>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</si>
  <si>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</si>
  <si>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</si>
  <si>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</si>
  <si>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</si>
  <si>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</si>
  <si>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</si>
  <si>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</si>
  <si>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</si>
  <si>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</si>
  <si>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</si>
  <si>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</si>
  <si>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</si>
  <si>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</si>
  <si>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</si>
  <si>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</si>
  <si>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</si>
  <si>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</si>
  <si>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</si>
  <si>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</si>
  <si>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</si>
  <si>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</si>
  <si>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</si>
  <si>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</si>
  <si>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</si>
  <si>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</si>
  <si>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</si>
  <si>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</si>
  <si>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</si>
  <si>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</si>
  <si>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</si>
  <si>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</si>
  <si>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</si>
  <si>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</si>
  <si>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</si>
  <si>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</si>
  <si>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</si>
  <si>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</si>
  <si>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</si>
  <si>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</si>
  <si>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</si>
  <si>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</si>
  <si>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</si>
  <si>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</si>
  <si>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</si>
  <si>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</si>
  <si>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</si>
  <si>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</si>
  <si>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</si>
  <si>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</si>
  <si>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</si>
  <si>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</si>
  <si>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</si>
  <si>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</si>
  <si>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</si>
  <si>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</si>
  <si>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</si>
  <si>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</si>
  <si>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</si>
  <si>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</si>
  <si>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</si>
  <si>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</si>
  <si>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</si>
  <si>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</si>
  <si>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</si>
  <si>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</si>
  <si>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</si>
  <si>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</si>
  <si>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</si>
  <si>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</si>
  <si>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</si>
  <si>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</si>
  <si>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</si>
  <si>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</si>
  <si>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</si>
  <si>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</si>
  <si>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</si>
  <si>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</si>
  <si>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</si>
  <si>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</si>
  <si>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</si>
  <si>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</si>
  <si>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</si>
  <si>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</si>
  <si>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</si>
  <si>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</si>
  <si>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</si>
  <si>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</si>
  <si>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</si>
  <si>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</si>
  <si>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</si>
  <si>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</si>
  <si>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</si>
  <si>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</si>
  <si>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</si>
  <si>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</si>
  <si>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</si>
  <si>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</si>
  <si>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</si>
  <si>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</si>
  <si>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</si>
  <si>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</si>
  <si>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</si>
  <si>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</si>
  <si>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</si>
  <si>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</si>
  <si>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</si>
  <si>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</si>
  <si>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</si>
  <si>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</si>
  <si>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</si>
  <si>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</si>
  <si>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</si>
  <si>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</si>
  <si>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</si>
  <si>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</si>
  <si>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</si>
  <si>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</si>
  <si>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</si>
  <si>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</si>
  <si>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</si>
  <si>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</si>
  <si>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</si>
  <si>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</si>
  <si>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</si>
  <si>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</si>
  <si>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</si>
  <si>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</si>
  <si>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</si>
  <si>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</si>
  <si>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</si>
  <si>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</si>
  <si>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</si>
  <si>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</si>
  <si>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</si>
  <si>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</si>
  <si>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</si>
  <si>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</si>
  <si>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</si>
  <si>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</si>
  <si>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</si>
  <si>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</si>
  <si>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</si>
  <si>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</si>
  <si>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</si>
  <si>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</si>
  <si>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</si>
  <si>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</si>
  <si>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</si>
  <si>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</si>
  <si>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</si>
  <si>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</si>
  <si>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</si>
  <si>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</si>
  <si>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</si>
  <si>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</si>
  <si>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</si>
  <si>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</si>
  <si>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</si>
  <si>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</si>
  <si>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</si>
  <si>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</si>
  <si>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</si>
  <si>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</si>
  <si>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</si>
  <si>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</si>
  <si>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</si>
  <si>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</si>
  <si>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</si>
  <si>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</si>
  <si>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</si>
  <si>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</si>
  <si>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</si>
  <si>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</si>
  <si>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</si>
  <si>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</si>
  <si>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</si>
  <si>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</si>
  <si>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</si>
  <si>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</si>
  <si>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</si>
  <si>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</si>
  <si>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</si>
  <si>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</si>
  <si>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</si>
  <si>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</si>
  <si>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</si>
  <si>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</si>
  <si>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</si>
  <si>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</si>
  <si>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</si>
  <si>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</si>
  <si>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</si>
  <si>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</si>
  <si>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</si>
  <si>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</si>
  <si>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</si>
  <si>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</si>
  <si>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</si>
  <si>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</si>
  <si>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</si>
  <si>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</si>
  <si>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</si>
  <si>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</si>
  <si>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</si>
  <si>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</si>
  <si>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</si>
  <si>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</si>
  <si>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</si>
  <si>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</si>
  <si>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</si>
  <si>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</si>
  <si>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</si>
  <si>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</si>
  <si>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</si>
  <si>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</si>
  <si>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</si>
  <si>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</si>
  <si>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</si>
  <si>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</si>
  <si>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</si>
  <si>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</si>
  <si>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</si>
  <si>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</si>
  <si>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</si>
  <si>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</si>
  <si>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</si>
  <si>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</si>
  <si>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</si>
  <si>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</si>
  <si>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</si>
  <si>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</si>
  <si>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</si>
  <si>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</si>
  <si>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</si>
  <si>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</si>
  <si>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</si>
  <si>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Competitive Round</t>
  </si>
  <si>
    <t>Melanie Ferrell</t>
  </si>
  <si>
    <t>Member</t>
  </si>
  <si>
    <t>3548 North Crossing Circle</t>
  </si>
  <si>
    <t>mferrell@invmgt.com</t>
  </si>
  <si>
    <t>Arbor Trace Apartments Phase II</t>
  </si>
  <si>
    <t>In Unincorporated County</t>
  </si>
  <si>
    <t>0114.03</t>
  </si>
  <si>
    <t>Lowndes County</t>
  </si>
  <si>
    <t>Bill Slaughter</t>
  </si>
  <si>
    <t>Chairman, Board of Commissioners</t>
  </si>
  <si>
    <t>bslaughter@lowndescounty.com</t>
  </si>
  <si>
    <t>http://www.lowndescounty.com/</t>
  </si>
  <si>
    <t>PO Box 1349</t>
  </si>
  <si>
    <t>For Profit</t>
  </si>
  <si>
    <t>David A. Brown is President and 100% stockholder of McLain &amp; Brown Construction Co., Inc  and a prinicpal  of the owner entity.   Melanie Ferrell and Houston B. Brown are officers of McLain &amp; Brown Construction  Co., Inc. and principals of the owner entity.</t>
  </si>
  <si>
    <t>There is an identity of interest with the proposed management agent.  David A. Brown is Vice-President and 100% stockholder of Investors Management Company,   Inc., and a principal of the owner and developer.  Melanie Ferrell and Houston Brown are officers and employees  of Investors Management Company and principals of the owner and developer.</t>
  </si>
  <si>
    <t>N/A\</t>
  </si>
  <si>
    <t>David A. Brown and Melanie Ferrell have interest in both the Buyer and Seller entities.</t>
  </si>
  <si>
    <t>Director of Acquisitions</t>
  </si>
  <si>
    <t>Birmingham</t>
  </si>
  <si>
    <t>David A. Brown</t>
  </si>
  <si>
    <t>Managing Member</t>
  </si>
  <si>
    <t>Census Tract</t>
  </si>
  <si>
    <t>dbrown@invmgt.com</t>
  </si>
  <si>
    <t>Arbor Trace II Lake Park, LP</t>
  </si>
  <si>
    <t>Manager</t>
  </si>
  <si>
    <t>Arbor Trace II Lake Park Partners, LLC</t>
  </si>
  <si>
    <t>President</t>
  </si>
  <si>
    <t>invmgt.com</t>
  </si>
  <si>
    <t>DHM Developer, Inc.</t>
  </si>
  <si>
    <t>McLain &amp; Brown Construction Company, Inc.</t>
  </si>
  <si>
    <t>David Brown</t>
  </si>
  <si>
    <t>Investors Management Company of Valdosta, Inc.</t>
  </si>
  <si>
    <t>Becky Watson</t>
  </si>
  <si>
    <t>Chief Financial Officer</t>
  </si>
  <si>
    <t>www.invmgt.com</t>
  </si>
  <si>
    <t>bwatson@invmgt.com</t>
  </si>
  <si>
    <t>Coleman Talley, LLP</t>
  </si>
  <si>
    <t>Thompson Kurrie, Jr</t>
  </si>
  <si>
    <t>910 N Patterson Street</t>
  </si>
  <si>
    <t>Partner</t>
  </si>
  <si>
    <t>www.colemantalley.com</t>
  </si>
  <si>
    <t>tom.kurrie@colemantalley.com</t>
  </si>
  <si>
    <t>Habif Arogeti &amp; Wynne, PC</t>
  </si>
  <si>
    <t>Frank Gudger</t>
  </si>
  <si>
    <t>Five Concourse Parkway, Suite 1000</t>
  </si>
  <si>
    <t>frank.gudger@hawcpa.com</t>
  </si>
  <si>
    <t>Studio 8 Design, LLC</t>
  </si>
  <si>
    <t>Robert Byington, Jr</t>
  </si>
  <si>
    <t>2215 Bemiss Road, Suite E</t>
  </si>
  <si>
    <t>www.s8darchitects.com</t>
  </si>
  <si>
    <t>rbyington@studio8design.biz</t>
  </si>
  <si>
    <t>The project will be financed with proceeds from the sale of the tax credits and the assumption of the USDA loan.  All commitments are included.  The project meets all of DCA's feasibility requirements as stated in the 2015 QAP.  No commitments are under consideration which need final approval.</t>
  </si>
  <si>
    <t>Acquisition/Rehab</t>
  </si>
  <si>
    <t>Electric Heat Pump</t>
  </si>
  <si>
    <t>Total development cost is less than the DCA cost limit for the property.</t>
  </si>
  <si>
    <t>Applicant will operate the property following the Guidelines for Family tenancy.</t>
  </si>
  <si>
    <t>Agree</t>
  </si>
  <si>
    <t>semi-monthly social, holiday, birthday and/or recreational programs overseen by project manager</t>
  </si>
  <si>
    <t xml:space="preserve">Applicant agrees to provide the required services according to the 2015 QAP. </t>
  </si>
  <si>
    <t>none</t>
  </si>
  <si>
    <t>Geotechnical &amp; Enviromental Consultants, Inc.</t>
  </si>
  <si>
    <t>Contract/Option</t>
  </si>
  <si>
    <t>Zoning is in place and all required information submitted with application.    The property is an existing apartment community conforming to Lowndes County's requirements.</t>
  </si>
  <si>
    <t>The site is an existing apartment property that  has access from frontage on a paved road, Rolling Pine Drive.</t>
  </si>
  <si>
    <t>Georgia Power</t>
  </si>
  <si>
    <t>Lowndes County Utilities</t>
  </si>
  <si>
    <t>Lowndes County is currently providing water and sewer to the existing apartments and will continue to provide water and sewer.   Required letter is provided.</t>
  </si>
  <si>
    <t>Georgia Power is currently providing power to the existing apartments and will continue to provide power.  Required letter is provided.  Gas will not be used.</t>
  </si>
  <si>
    <t>Gazebo</t>
  </si>
  <si>
    <t>On-site laundry</t>
  </si>
  <si>
    <t>Applicant will provide more amenities than are required for the family project.</t>
  </si>
  <si>
    <t>Substantial Gut Rehab</t>
  </si>
  <si>
    <t>Rehab will meet all code requirements and DCA requirements according to the QAP and Manuals.</t>
  </si>
  <si>
    <t>Site plan conforms to requirements.</t>
  </si>
  <si>
    <t>Applicant will exceed all threshold sustainability requirements.</t>
  </si>
  <si>
    <t>Applicant will complete  all accessibility requirements and is not eligible for statutory exemptions</t>
  </si>
  <si>
    <t>The required legal opinion for acquistion tax credits is included in the application</t>
  </si>
  <si>
    <t>Applicant agrees to submit required AFFH plan and implement all required AFFH procedures.</t>
  </si>
  <si>
    <t xml:space="preserve">Application is an optimal utilitzation of resources because it meets all the goals and policies set forth in the QAP providing safe, decent and affordable housing that is also viable physically,operationally and economically over time.  Equity prices are good for this project and will be at the high range of the market at award because of it's successful history of operation over the last twenty years.  This rehab  project provides much needed improvements to the existing units creating another 20 years of  safe, affordable housing for the residents of rural Lowndes County where new construction is unlikely to occur.  </t>
  </si>
  <si>
    <t>Application completed and organized according to QAP and instructions from DCA.</t>
  </si>
  <si>
    <t>Applicant has set aside 9 of 42 units at 50% AMI.</t>
  </si>
  <si>
    <t>The apartments are well located in Lowndes County just outside the city limits of Lake Park, Georgia.   There are no undesirable within 1/4 mile of the site and the site will receive the maximum points available for desirable activities.</t>
  </si>
  <si>
    <t>Documentation included for on-call transit service provided by Mids, Incorporated.</t>
  </si>
  <si>
    <t>Site is not a Brownfield</t>
  </si>
  <si>
    <t>Earth Craft House Multifamily</t>
  </si>
  <si>
    <t>N/a</t>
  </si>
  <si>
    <t>Site estimated tract income in less than required by DCA for points.</t>
  </si>
  <si>
    <t>Project does not qualify for points for redevelopment or revitalization plans.</t>
  </si>
  <si>
    <t>Project is in Lowndes County which has not received a tax credit award since 2009.</t>
  </si>
  <si>
    <t>Applicant agrees to forego the cancellation option for a period of at least 5 years after close of Compliance period.</t>
  </si>
  <si>
    <t>Applicant is not a non-profit.</t>
  </si>
  <si>
    <t>No points claimed for rural priority due to project being a rehab.</t>
  </si>
  <si>
    <t>Not a DCA community initiative community so no points claimed.</t>
  </si>
  <si>
    <t>No points claimed for this leveraging.</t>
  </si>
  <si>
    <t>No points claimed for Innovative project concept.</t>
  </si>
  <si>
    <t>Applicants understands the requirements of HUD Section 811 PRA program and agrees to accept the PRA or other DCA offered rental assistance for up to 10% of the units.</t>
  </si>
  <si>
    <t>This is not a historic preservation project.</t>
  </si>
  <si>
    <t>Lowndes High</t>
  </si>
  <si>
    <t>Lake Park Elementary School</t>
  </si>
  <si>
    <t>Lowndes Middle School</t>
  </si>
  <si>
    <t>6,7,8</t>
  </si>
  <si>
    <t>9,10,11,12</t>
  </si>
  <si>
    <t>PK,K,1,2,3,4,5</t>
  </si>
  <si>
    <t>All schools in Arbor Trace's school district exceed state averages.</t>
  </si>
  <si>
    <t>Project does not qualify for workforce housing points.</t>
  </si>
  <si>
    <t>This project team has scored a 10 in previous years determinations.    We have no outstanding non-compliance issues.    Complete performance workbook is included in application.</t>
  </si>
  <si>
    <t>USDA Approved Utility Allowance</t>
  </si>
  <si>
    <t>MF</t>
  </si>
  <si>
    <t>physical needs assessment</t>
  </si>
  <si>
    <t>T&amp;I and Securtiy Deposit acquisition</t>
  </si>
  <si>
    <t>Tax &amp; Insurance Reserve</t>
  </si>
  <si>
    <t>Security Deposit Reserve</t>
  </si>
  <si>
    <t>State Boost</t>
  </si>
  <si>
    <t>Houston Brown</t>
  </si>
  <si>
    <t>Arbor Trace II Rehab</t>
  </si>
  <si>
    <t>93-005</t>
  </si>
  <si>
    <t>GA-93-00501</t>
  </si>
  <si>
    <t>Utility allowance schedules are included in Tab 1.  The RD utility allowance includes all electric as one estimate as entered in the schedule above.</t>
  </si>
  <si>
    <t xml:space="preserve">David A. Brown is President and 100% stockholder of McLain &amp; Brown Construction Co., Inc and stockholder of DHM Developer, Inc..   Melanie Ferrell and Houston B. Brown are officers of McLain &amp; Brown Construction  Co., Inc.and stockholders of DHM Developer, Inc.  </t>
  </si>
  <si>
    <t>Raymond James Tax Credit Funds, Inc.</t>
  </si>
  <si>
    <t>2501 Twentieth Place South, Suite 425</t>
  </si>
  <si>
    <t>John Colvin</t>
  </si>
  <si>
    <t>www.raymondjames.com</t>
  </si>
  <si>
    <t>john.colvin@raymondjames.com</t>
  </si>
  <si>
    <t>acquire USDA 515 loan</t>
  </si>
  <si>
    <t>USDA</t>
  </si>
  <si>
    <t>USDA 515 acquired loan</t>
  </si>
  <si>
    <t>Amortizing</t>
  </si>
  <si>
    <t>USDA Rent Increase to meet DCR</t>
  </si>
  <si>
    <t>David A. Brown and Melanie Ferrell have interests in the buyer and seller entities therefore an appraisal is provided.</t>
  </si>
  <si>
    <t>4/21 - 4/28</t>
  </si>
  <si>
    <t>Valdosta Daily Times,County Website,Posting At County Admin Building</t>
  </si>
  <si>
    <t>Two public meetings were held and the County Commision issued a Resolution of Support.  Please see documentation included in TAB 13.</t>
  </si>
  <si>
    <t>Covered Pavilion with Picnic/barbecue Facilities</t>
  </si>
  <si>
    <t>Dominion</t>
  </si>
  <si>
    <t>We have included our Qualified Without Conditions determination for pre-application 2015PA-079 for informational purposes only.       This application is for the same project team and the same type project - a small rural project.   Our complete performance workbook is  included in this application  for project specific determination.  There have been no changes in the project team from 2015PA-079 pre-application to this application.</t>
  </si>
  <si>
    <t xml:space="preserve">There is an excellent market for this property.  The property has been operating over 20 years and has consistantly maintained an occupancy rate in excess of 95%.  </t>
  </si>
  <si>
    <t>Ed Foskey</t>
  </si>
  <si>
    <t>Certified EarthCraft House Technical Advisor and RESNET Home Energy Rater</t>
  </si>
  <si>
    <t>YMCA</t>
  </si>
  <si>
    <t>Winn Dixie</t>
  </si>
  <si>
    <t xml:space="preserve">Arbor Trace II Lake Park LP is proposing to acquire and rehabilitate Arbor Trace II Apartments located in an USDA designated rural section of Lowndes County near the city of Lake Park, Georgia.  Arbor Trace II Apartments is USDA, Rural Development 515 interest credit loan financed and currently owned by Arbor Trace Apartments Phase II LP.     The interest credit reduces the effective interest rate of the 515 loan to 1%.   The long-term financing for the rehabilitation of the project will be the assumption of the existing debt and the equity from the sale of the tax credits.  
The project meets all of DCA’s underwriting requirements.   A 110% basis boost is requested based on the Georgia 2015 Qualified Allocation Plan.  This project meets DCA’s eligibility requirements for the requested boost because it is a multi-family rural project without DCA HOME as a source.  Applicant is requesting that the basis boost deferred developers fee be waived because of the restrictions of the USDA 515 loan.  
Arbor Trace II consists of forty-two units built 1994.  There is also currently a managers unit but the manager's unit will be converted to community room area .The property received a 1993 allocation of LIHTCs (93-005).  The tax credit compliance period ended in 2009.  The property currently receives seven units of project based rental assistance from USDA, Rural Development.
Arbor Trace II Apartments is adjacent to residential development and surrounded by established development.  The property is located within two miles of many desirable activities.  The Lowndes County Commission is in unanimous support of the renovations.
Arbor Trace II Apartments are in a state of decline due to age and in need of a major renovation.  The rehabilitation will bring the property into compliance with current ADA codes and guidelines.  The interiors and exteriors of all the units will be completely rehabilitated. Energy efficiency codes and guidelines will be exceeded.  Increased energy efficiency will greatly benefit the residents and the environment.
The rehabilitation of Arbor Trace II Apartments will provide the tenants currently living in the community with improved living conditions and expanded amenities including a playground and covered picnic/barbecue area. Proposed supportive services will target the family tenant base and provide a greater sense of community for the residents.  
The improvement of the external appearance of the property will benefit the neighborhood and entire community. The construction will provide jobs to residents of the community as well.  The current residents are excited about the potential rehabilitation and are supportive of the acquisition/rehab proposal.  The environment of our residents will be greatly enhanced by the proposed renovation.
</t>
  </si>
  <si>
    <t>Construction Hard Cost Justification</t>
  </si>
  <si>
    <t>N/A - no pre-app</t>
  </si>
  <si>
    <t>30° 40' 55.20'' N,83° 13' 49.80'' W</t>
  </si>
  <si>
    <t>The Meadows Blairsville</t>
  </si>
  <si>
    <t>Arbor  Trace II was a 1993 LIHTC allocation (93-052).  The compliance period began in 1995 and ended in 2010.</t>
  </si>
  <si>
    <t>USDA letter concerning 125% debt coverage ratio requirement</t>
  </si>
  <si>
    <t>Deferred Developer Fee Waiver Request</t>
  </si>
  <si>
    <t>Section 9 Basis Boost</t>
  </si>
  <si>
    <t>Core app Use of Funds</t>
  </si>
  <si>
    <t>DCA Underwriting Policies Exhibit A</t>
  </si>
  <si>
    <t>5. DCR</t>
  </si>
  <si>
    <t>Raymond James</t>
  </si>
  <si>
    <t>USDA Interest Credit Agreement</t>
  </si>
  <si>
    <t>Part IV</t>
  </si>
  <si>
    <t>Part III &amp; VII</t>
  </si>
  <si>
    <t>Core app Sources of Funds &amp; Proforma</t>
  </si>
  <si>
    <t>USDA interest credit agreement showing debt service amount as $3,154.59 monthly which equals $37,855 yearly is included in TAB 43.
The asset Management Fee is prepaid in development cost  because USDA 515 proejcts are limited on the cash flow due to their regulations.</t>
  </si>
  <si>
    <t>Gill Group</t>
  </si>
  <si>
    <t>The appraisal supports project acquisition price and land value.</t>
  </si>
  <si>
    <t>prepaid asset management fee due to USDA 515 loan</t>
  </si>
  <si>
    <t>Projects meets all DCA's environmental requirements and environmental report is prepared in accordance with DCA guidelines. Noise Attenuation Plan is included in Environmental Report that brings the project down to the HUD standard of 45 dB interior sound and 65 dB exterior sound levels.</t>
  </si>
  <si>
    <t>We did not submit a pre-application for this project. However, we submitted a pre-application for 2015PA-079.  This application is for the same project team and the same type project - a small rural project.   Our complete performance workbook with compliance history is included in this application  for project specific certification.  There have been no changes in the project team from 2015PA-079 pre-application to this application.  Multi-state release is not required because we have no projects being monitered by  other housing agencies.</t>
  </si>
  <si>
    <t>Cracker Barrel</t>
  </si>
  <si>
    <t>Applicant commits to obtaining sustainable building certification and Design Review Charrette.</t>
  </si>
  <si>
    <t>Building Permit cost</t>
  </si>
  <si>
    <t>4700 Rolling Pine Drive</t>
  </si>
  <si>
    <t>Applicant will request DCA written approval prior to displacing any tenant. Because this property is under an extended use agreement, any over-income tenants at acquisition will still be eligible to live at the property as long as they were qualified when they orginally moved in.  The only potential displacement we will have is the site manager who currently lives in a common space unit.  The common space unit will be eliminated for the rehab.  If the site manager income qualifies for the rehabbed unit, she will be offered a unit.  If she does not income qualify at the time, we will ask DCA's permission to displace her with all rights and benefits allowable.  Rents will not be raised on rent burdened tenants.</t>
  </si>
  <si>
    <t>*The utility allowances used are the USDA approved allowances effective 1/1/15.  Because we are using 2015 utility allowance, we've also used the 2015 maximum rents.     
***  The  proposed gross rents used in this budget are  the current (2015) USDA approved rents (except for the 1 1BR-50% unit which is lower to meet tax credit rent limits).                                                                                                                                                                                                                                                                           *** The USDA Rent Increase budgeted amount above represents the annual rent increase approved by USDA to offset the increase in expenses and meet the required 1.25 debt coverage ratio.    USDA has agreed to adjust the rents annually by a sufficient amount to offset any increase in actual expenses and maintain a debt service coverage ratio of 1.25 on all debt.  Confirmation is included in TAB  01 .   This budget is prepared with DCA's required operating expenses of $3500/unit when the property has been operating with actual operating expenses of $3135/unit for the past 3 years so the actual amounts needed in the USDA Rent Increase colum would be less.                                                                                         
  **** Property taxes are calculated by using the actual 2014 property taxes and then increasing by 9% (3% per year) to reach an estimate for 2017 taxes.                                                                                                                                                                                                                      ***** Insurance premiums are calculated by using the actual 2015 insurance cost per unit and increasing that cost by 6% (3% per year).                                                                                                                                                                                                                                                                ******Operating Budget based on similiar properties managed by agent in the same area.
*******Wiavers are being  requested for unit square footages with less that 10% differential from required included in TAB 15.
********There is 1 one bedroom handicapped unit with a square footage of 637.  We included it under the 50% limit but it could be a 50% or 60% unit.</t>
  </si>
  <si>
    <t>major road, civil airport</t>
  </si>
  <si>
    <t>GA-93-00506</t>
  </si>
  <si>
    <t xml:space="preserve">IOI between General Partner, Contractor, Developer, Management Agent. </t>
  </si>
  <si>
    <t xml:space="preserve">      The principals of the general partner entity and developer entity are David A. Brown, Melanie Ferrell and Houston M. Brown.  David A. Brown and Houston M. Brown are related as father and son.    
       Arbor Trace II Lake Park, LP is a newly formed entity with Arbor Trace II Lake Park Partners LLC as its General Partner.    There are identities of interest between the general partner, developer, contractor, management company and land buyer/seller.
       The General Partner, Arbor Trace II Lake Park Partners LLC is a newly formed  single member LLC.   The single member is BFB General Partners, LLC.  David A. Brown is managing member of BFB General Partners, LLC with 80% interest.  Melanie Ferrell is a   member of BFB General Partners, LLC with 10% interest.  Houston Brown is a member of   BFB General Partners, LLC with 10% interest.  
       David A Brown is the President and 60% stockholder of DHM Developer, Inc., the developer.   Melanie Ferrell is 20% stockholder of DHM Developer, Inc.   Houston Brown is 20% stockholder of DHM Developer, Inc.    
       David A. Brown is Vice-President and 100% stockholder of Investors Management Company,   Inc., the management agent.  Melanie Ferrell and Houston Brown are officers and employees of Investors Management Company.
       David A. Brown is President and 100% stockholder of McLain &amp; Brown Construction Co., Inc.   Melanie Ferrell and Houston B. Brown are officers of McLain &amp; Brown Construction Co., Inc.
       There is an identity of interest between the land seller and the Buyer/Owner.  David A. Brown and Melanie Ferrell are members of the Buyer and Seller entity’s partners.
</t>
  </si>
  <si>
    <t>trans at acquistion</t>
  </si>
  <si>
    <t xml:space="preserve">   The existing USDA Rural Development 515 loan will be assumed by the applicant.  The principal amount above is the estimated balance on the loan on estimated transfer date of April 1, 2016.  The loan balance as of application date is 1,343,218.
   No construction loan will be needed because equity will be contributed to cover construction as it progresses.
   Applicant is requesting that the state deisignated basis boost deferred developers fee requirement be waived due to the restrictions of the RD 515 loan.  A narrative is included in TAB 43.
   USDA interest credit agreement showing debt service amount as $3,154.59 monthly which equals $37,855 yearly is included in TAB 43.
     </t>
  </si>
  <si>
    <t>loan transfer at acquisition</t>
  </si>
  <si>
    <t xml:space="preserve">   Reserves transferred at acquisition are shown as both a source of funds on tab III and a use of funds under START-UP AND RESERVES.
    Asset Management Fee is prepaid because USDA 515 proejcts are limited on the cash flow due to their regulations.
    USDA 515 credit compliance monitering fee $400/unit.
   Construction Hard Cost estimated by McLain &amp; Brown Construction based on previous experience with similiar projects and estimator reference books and software.  
    Please see TAB 43 of application binder for backup documentation on hard cost and building permit fees.
   The $50,000 budgeted syndicator legal fees is based on previously closed deals with Raymond James Tax Credit Funds.
    A 110 % state designated basis boost is requested with a narrative included in TAB 00.
    Equity pricing reflects equity coming in during construction in lieu of a construction loan.
</t>
  </si>
  <si>
    <t>0 mo. - will be fully occupied upon completion</t>
  </si>
  <si>
    <t>There has been no LIHTC projects awarded in Lowndes County in over 5 years.  Market Survey meets all of DCA's threshold requirements. The subject maintains a stabilized occupancy rate and does not need to absorb any additional units.  Due to phasing of the rehab, stablized occcupancy should be achieved at construction completion.</t>
  </si>
  <si>
    <t>2015-026</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</si>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</sst>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b/>
      <u/>
      <sz val="9"/>
      <color indexed="1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239">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6" fillId="0" borderId="0" xfId="0" applyFont="1" applyFill="1" applyBorder="1" applyAlignment="1" applyProtection="1">
      <alignment horizontal="left"/>
    </xf>
    <xf numFmtId="0" fontId="13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8" fillId="0" borderId="0" xfId="0" applyFont="1" applyFill="1" applyBorder="1" applyAlignment="1" applyProtection="1"/>
    <xf numFmtId="0" fontId="138"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3"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7"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2" fillId="0" borderId="0" xfId="0" applyFont="1" applyFill="1" applyBorder="1" applyProtection="1"/>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52" fillId="0" borderId="0" xfId="0" applyNumberFormat="1" applyFont="1" applyFill="1" applyAlignment="1" applyProtection="1">
      <alignment horizontal="center"/>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4"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29" fillId="8" borderId="0" xfId="0" applyFont="1" applyFill="1" applyBorder="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0"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16"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16"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7"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2" fillId="0" borderId="0" xfId="0" applyFont="1" applyFill="1" applyAlignment="1" applyProtection="1">
      <alignment horizontal="left" vertical="top" wrapText="1"/>
    </xf>
    <xf numFmtId="0" fontId="102"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2" fillId="0" borderId="0" xfId="0" applyFont="1" applyFill="1" applyAlignment="1" applyProtection="1">
      <alignment horizontal="center" vertical="center" wrapText="1"/>
    </xf>
    <xf numFmtId="0" fontId="106"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9" fillId="13" borderId="37" xfId="0" applyFont="1" applyFill="1" applyBorder="1" applyAlignment="1" applyProtection="1">
      <alignment horizontal="center"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9" fillId="0" borderId="0" xfId="0" applyFont="1" applyFill="1" applyAlignment="1" applyProtection="1">
      <alignment horizontal="center" vertical="center"/>
    </xf>
    <xf numFmtId="0" fontId="13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0" fontId="109" fillId="0" borderId="0" xfId="0" applyFont="1" applyFill="1" applyAlignment="1" applyProtection="1">
      <alignment horizontal="left" vertical="center" wrapText="1"/>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2" fillId="0" borderId="0" xfId="13" applyFont="1" applyAlignment="1" applyProtection="1">
      <alignment horizontal="justify" vertical="top" wrapText="1"/>
    </xf>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6"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41" fillId="0"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3" fillId="0" borderId="40" xfId="13" applyFont="1" applyBorder="1" applyAlignment="1" applyProtection="1">
      <alignment horizontal="right"/>
    </xf>
    <xf numFmtId="0" fontId="153" fillId="0" borderId="0" xfId="13" applyFont="1" applyAlignment="1" applyProtection="1">
      <alignment horizontal="righ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3" fontId="142" fillId="0" borderId="0" xfId="13" applyNumberFormat="1" applyFont="1" applyFill="1" applyAlignment="1" applyProtection="1">
      <alignment horizontal="left"/>
    </xf>
    <xf numFmtId="0" fontId="142"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49" fontId="121" fillId="0" borderId="93" xfId="12" quotePrefix="1" applyNumberFormat="1" applyFont="1" applyBorder="1" applyAlignment="1" applyProtection="1">
      <alignment horizontal="center" vertical="top"/>
    </xf>
    <xf numFmtId="0" fontId="121" fillId="0" borderId="0" xfId="12" applyFont="1" applyAlignment="1" applyProtection="1">
      <alignment horizontal="left" vertical="top"/>
    </xf>
    <xf numFmtId="0" fontId="121" fillId="10" borderId="87" xfId="12" applyFont="1" applyFill="1" applyBorder="1" applyAlignment="1" applyProtection="1">
      <alignmen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5"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0" fontId="52" fillId="5" borderId="81" xfId="0" applyFont="1" applyFill="1" applyBorder="1" applyAlignment="1" applyProtection="1">
      <alignment horizontal="center"/>
    </xf>
    <xf numFmtId="0" fontId="52" fillId="5" borderId="82" xfId="0" applyFont="1" applyFill="1" applyBorder="1" applyAlignment="1" applyProtection="1">
      <alignment horizontal="center"/>
    </xf>
    <xf numFmtId="0" fontId="52" fillId="5" borderId="82"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14" xfId="0" applyFont="1" applyBorder="1" applyProtection="1"/>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0" fontId="52" fillId="5" borderId="37" xfId="0" applyFont="1" applyFill="1" applyBorder="1" applyAlignment="1" applyProtection="1">
      <alignment horizontal="center"/>
    </xf>
    <xf numFmtId="0" fontId="52" fillId="0" borderId="88" xfId="0" applyFont="1" applyFill="1" applyBorder="1" applyAlignment="1" applyProtection="1">
      <alignment horizontal="center" vertical="center"/>
    </xf>
    <xf numFmtId="167" fontId="52" fillId="0" borderId="85"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vertical="top"/>
    </xf>
    <xf numFmtId="0" fontId="52" fillId="5" borderId="16" xfId="0" applyFont="1" applyFill="1" applyBorder="1" applyAlignment="1" applyProtection="1">
      <alignment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vertical="top"/>
    </xf>
    <xf numFmtId="0" fontId="52" fillId="5" borderId="17" xfId="0" applyFont="1" applyFill="1" applyBorder="1" applyAlignment="1" applyProtection="1">
      <alignment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vertical="top"/>
    </xf>
    <xf numFmtId="0" fontId="52" fillId="5" borderId="18" xfId="0" applyFont="1" applyFill="1" applyBorder="1" applyAlignment="1" applyProtection="1">
      <alignment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164" fontId="52" fillId="5" borderId="81" xfId="1" applyNumberFormat="1" applyFont="1" applyFill="1" applyBorder="1" applyAlignment="1" applyProtection="1">
      <alignment horizontal="right" vertical="center"/>
    </xf>
    <xf numFmtId="164" fontId="52" fillId="5" borderId="82" xfId="1" applyNumberFormat="1" applyFont="1" applyFill="1" applyBorder="1" applyAlignment="1" applyProtection="1">
      <alignment horizontal="right" vertical="center"/>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5" borderId="81" xfId="0" applyFont="1" applyFill="1" applyBorder="1" applyAlignment="1" applyProtection="1">
      <alignment horizontal="left" vertical="top" wrapText="1"/>
    </xf>
    <xf numFmtId="0" fontId="48" fillId="5" borderId="85" xfId="0" applyFont="1" applyFill="1" applyBorder="1" applyAlignment="1" applyProtection="1">
      <alignment horizontal="left" vertical="top" wrapText="1"/>
    </xf>
    <xf numFmtId="0" fontId="48" fillId="5" borderId="82" xfId="0" applyFont="1" applyFill="1" applyBorder="1" applyAlignment="1" applyProtection="1">
      <alignment horizontal="left" vertical="top" wrapText="1"/>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7"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7" fillId="0" borderId="0" xfId="0" applyFont="1" applyFill="1" applyBorder="1" applyProtection="1"/>
    <xf numFmtId="0" fontId="93" fillId="0" borderId="0" xfId="0" applyFont="1" applyFill="1" applyBorder="1" applyAlignment="1" applyProtection="1">
      <alignment horizontal="left"/>
    </xf>
    <xf numFmtId="0" fontId="197"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8"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8"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3"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wrapText="1"/>
    </xf>
    <xf numFmtId="0" fontId="210"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2"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2"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2"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xf>
    <xf numFmtId="0" fontId="212"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2"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xf>
    <xf numFmtId="0" fontId="212" fillId="0" borderId="0" xfId="0" applyFont="1" applyFill="1" applyBorder="1" applyAlignment="1" applyProtection="1">
      <alignment horizontal="left"/>
    </xf>
    <xf numFmtId="0" fontId="215" fillId="0" borderId="0" xfId="0" applyFont="1" applyFill="1" applyBorder="1" applyAlignment="1" applyProtection="1">
      <alignment horizontal="center"/>
    </xf>
    <xf numFmtId="0" fontId="217"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6"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9"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9" fillId="0" borderId="0" xfId="0" applyFont="1" applyFill="1" applyBorder="1" applyAlignment="1" applyProtection="1">
      <alignment horizontal="left" vertical="center"/>
    </xf>
    <xf numFmtId="0" fontId="210" fillId="0" borderId="0" xfId="0" applyFont="1" applyFill="1" applyBorder="1" applyProtection="1"/>
    <xf numFmtId="0" fontId="220"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2"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2" fillId="0" borderId="0" xfId="0" applyNumberFormat="1" applyFont="1" applyFill="1" applyBorder="1" applyAlignment="1" applyProtection="1">
      <alignment horizontal="center" vertical="center" wrapText="1"/>
    </xf>
    <xf numFmtId="0" fontId="222" fillId="0" borderId="0" xfId="0" applyFont="1" applyFill="1" applyBorder="1" applyAlignment="1" applyProtection="1">
      <alignment horizontal="right" vertical="center"/>
    </xf>
    <xf numFmtId="3" fontId="2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7"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3"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20"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2"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2"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5"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6" fillId="0" borderId="0" xfId="0" quotePrefix="1" applyFont="1" applyFill="1" applyBorder="1" applyAlignment="1" applyProtection="1">
      <alignment vertical="center"/>
    </xf>
    <xf numFmtId="0" fontId="216"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228" fillId="0" borderId="0" xfId="0" applyFont="1" applyFill="1" applyBorder="1" applyProtection="1"/>
    <xf numFmtId="0" fontId="210" fillId="0" borderId="0" xfId="0" applyFont="1" applyFill="1" applyBorder="1" applyAlignment="1" applyProtection="1">
      <alignment vertical="center"/>
    </xf>
    <xf numFmtId="0" fontId="216" fillId="0" borderId="0" xfId="0" quotePrefix="1" applyFont="1" applyFill="1" applyBorder="1" applyAlignment="1" applyProtection="1"/>
    <xf numFmtId="0" fontId="216" fillId="0" borderId="0" xfId="0" applyFont="1" applyFill="1" applyBorder="1" applyAlignment="1" applyProtection="1"/>
    <xf numFmtId="0" fontId="115" fillId="0" borderId="0" xfId="0" applyFont="1" applyFill="1" applyBorder="1" applyAlignment="1" applyProtection="1">
      <alignment vertical="center"/>
    </xf>
    <xf numFmtId="0" fontId="212"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8"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9"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30" fillId="0" borderId="0" xfId="0" applyFont="1" applyFill="1" applyBorder="1" applyProtection="1"/>
    <xf numFmtId="0" fontId="231" fillId="0" borderId="0" xfId="0" applyFont="1" applyFill="1" applyBorder="1" applyAlignment="1" applyProtection="1">
      <alignment vertical="center"/>
    </xf>
    <xf numFmtId="0" fontId="212"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9"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9" fillId="0" borderId="0" xfId="0" applyFont="1" applyFill="1" applyBorder="1" applyAlignment="1" applyProtection="1">
      <alignment horizontal="center" vertical="center"/>
    </xf>
    <xf numFmtId="0" fontId="228" fillId="0" borderId="0" xfId="0" applyFont="1" applyFill="1" applyBorder="1" applyAlignment="1" applyProtection="1">
      <alignment vertical="center"/>
    </xf>
    <xf numFmtId="0" fontId="232" fillId="0" borderId="0" xfId="0" applyFont="1" applyFill="1" applyBorder="1" applyAlignment="1" applyProtection="1">
      <alignment horizontal="right"/>
    </xf>
    <xf numFmtId="0" fontId="216"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9" fillId="0" borderId="0" xfId="0" applyFont="1" applyFill="1" applyProtection="1"/>
    <xf numFmtId="0" fontId="228" fillId="0" borderId="0" xfId="0" applyFont="1" applyFill="1" applyProtection="1"/>
    <xf numFmtId="0" fontId="93" fillId="0" borderId="0" xfId="0" applyFont="1" applyFill="1" applyAlignment="1" applyProtection="1">
      <alignment horizontal="center" vertical="center"/>
    </xf>
    <xf numFmtId="0" fontId="212"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2"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6"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6" fillId="0" borderId="0" xfId="0" quotePrefix="1" applyFont="1" applyFill="1" applyBorder="1" applyAlignment="1" applyProtection="1">
      <alignment horizontal="left" vertical="center"/>
    </xf>
    <xf numFmtId="0" fontId="232" fillId="0" borderId="0" xfId="0" applyFont="1" applyFill="1" applyBorder="1" applyProtection="1"/>
    <xf numFmtId="0" fontId="212"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233"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7"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217"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2" fillId="0" borderId="0" xfId="0" applyFont="1" applyFill="1" applyBorder="1" applyAlignment="1" applyProtection="1"/>
    <xf numFmtId="0" fontId="105" fillId="0" borderId="0" xfId="0" applyFont="1" applyFill="1" applyBorder="1" applyAlignment="1" applyProtection="1">
      <alignment horizontal="right" wrapText="1"/>
    </xf>
    <xf numFmtId="0" fontId="228"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2" fillId="0" borderId="0" xfId="0" quotePrefix="1" applyFont="1" applyFill="1" applyBorder="1" applyAlignment="1" applyProtection="1">
      <alignment horizontal="right" vertical="top"/>
    </xf>
    <xf numFmtId="3" fontId="212" fillId="0" borderId="0" xfId="0" applyNumberFormat="1" applyFont="1" applyFill="1" applyBorder="1" applyAlignment="1" applyProtection="1">
      <alignment horizontal="center" vertical="center"/>
    </xf>
    <xf numFmtId="10" fontId="212"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2" fillId="0" borderId="0" xfId="0" applyFont="1" applyFill="1" applyBorder="1" applyAlignment="1" applyProtection="1">
      <alignment horizontal="center"/>
    </xf>
    <xf numFmtId="38" fontId="229"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9" fillId="0" borderId="0" xfId="0" applyFont="1" applyFill="1" applyBorder="1" applyAlignment="1" applyProtection="1">
      <alignment vertical="top"/>
    </xf>
    <xf numFmtId="0" fontId="216"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3"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38" fontId="212"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30" fillId="0" borderId="0" xfId="0" applyFont="1" applyFill="1" applyBorder="1" applyAlignment="1" applyProtection="1">
      <alignment horizontal="center"/>
    </xf>
    <xf numFmtId="0" fontId="234"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zoomScaleNormal="100" workbookViewId="0">
      <selection sqref="A1:XFD1048576"/>
    </sheetView>
  </sheetViews>
  <sheetFormatPr defaultRowHeight="11.25"/>
  <cols>
    <col min="1" max="1" width="3.28515625" style="2017" customWidth="1"/>
    <col min="2" max="2" width="10.140625" style="2194" customWidth="1"/>
    <col min="3" max="3" width="4.85546875" style="2194" customWidth="1"/>
    <col min="4" max="4" width="8.5703125" style="2194" customWidth="1"/>
    <col min="5" max="5" width="4.28515625" style="2195" customWidth="1"/>
    <col min="6" max="8" width="33.85546875" style="2017" customWidth="1"/>
    <col min="9" max="9" width="4" style="2193" hidden="1" customWidth="1"/>
    <col min="10" max="10" width="6.42578125" style="2017" hidden="1" customWidth="1"/>
    <col min="11" max="11" width="9.7109375" style="2017" hidden="1" customWidth="1"/>
    <col min="12" max="12" width="3.42578125" style="2017" customWidth="1"/>
    <col min="13" max="16384" width="9.140625" style="2017"/>
  </cols>
  <sheetData>
    <row r="1" spans="1:12" s="2015" customFormat="1" ht="15.75">
      <c r="A1" s="2012" t="str">
        <f>CONCATENATE("2015 Application Tabs Checklist for:  ",'Part I-Project Information'!F24, ",  ",'Part I-Project Information'!F28, ",  ",'Part I-Project Information'!J29, " County")</f>
        <v>2015 Application Tabs Checklist for:  Arbor Trace Apartments Phase II,  Lake Park,  Lowndes County</v>
      </c>
      <c r="B1" s="2013"/>
      <c r="C1" s="2013"/>
      <c r="D1" s="2013"/>
      <c r="E1" s="2013"/>
      <c r="F1" s="2013"/>
      <c r="G1" s="2013"/>
      <c r="H1" s="2013"/>
      <c r="I1" s="2013"/>
      <c r="J1" s="2013"/>
      <c r="K1" s="2013"/>
      <c r="L1" s="2014"/>
    </row>
    <row r="2" spans="1:12" ht="26.25" customHeight="1">
      <c r="A2" s="2016" t="s">
        <v>3041</v>
      </c>
      <c r="B2" s="2016"/>
      <c r="C2" s="2016"/>
      <c r="D2" s="2016"/>
      <c r="E2" s="2016"/>
      <c r="F2" s="2016"/>
      <c r="G2" s="2016"/>
      <c r="H2" s="2016"/>
      <c r="I2" s="2016"/>
      <c r="J2" s="2016"/>
      <c r="K2" s="2016"/>
      <c r="L2" s="2016"/>
    </row>
    <row r="3" spans="1:12" s="2025" customFormat="1" ht="12" customHeight="1">
      <c r="A3" s="2018" t="s">
        <v>2937</v>
      </c>
      <c r="B3" s="2019" t="s">
        <v>4383</v>
      </c>
      <c r="C3" s="2020"/>
      <c r="D3" s="2021"/>
      <c r="E3" s="2022" t="s">
        <v>2938</v>
      </c>
      <c r="F3" s="2023"/>
      <c r="G3" s="2023"/>
      <c r="H3" s="2023"/>
      <c r="I3" s="2024"/>
      <c r="J3" s="2023"/>
      <c r="K3" s="2023"/>
      <c r="L3" s="2022" t="s">
        <v>2939</v>
      </c>
    </row>
    <row r="4" spans="1:12" s="2025" customFormat="1" ht="12.75" thickBot="1">
      <c r="A4" s="2026"/>
      <c r="B4" s="2027" t="s">
        <v>2940</v>
      </c>
      <c r="C4" s="2027"/>
      <c r="D4" s="2027"/>
      <c r="E4" s="2028"/>
      <c r="F4" s="2027" t="s">
        <v>3048</v>
      </c>
      <c r="G4" s="2029"/>
      <c r="H4" s="2029"/>
      <c r="I4" s="2027" t="s">
        <v>2941</v>
      </c>
      <c r="J4" s="2029"/>
      <c r="K4" s="2029"/>
      <c r="L4" s="2028"/>
    </row>
    <row r="5" spans="1:12" s="2033" customFormat="1" ht="10.5" customHeight="1">
      <c r="A5" s="2030"/>
      <c r="B5" s="2031"/>
      <c r="C5" s="2031"/>
      <c r="D5" s="2031"/>
      <c r="E5" s="2032"/>
      <c r="F5" s="2033" t="s">
        <v>2942</v>
      </c>
      <c r="I5" s="2034"/>
      <c r="L5" s="2035" t="s">
        <v>3421</v>
      </c>
    </row>
    <row r="6" spans="1:12" s="2033" customFormat="1" ht="10.5" customHeight="1">
      <c r="A6" s="2036" t="s">
        <v>2943</v>
      </c>
      <c r="B6" s="2037" t="s">
        <v>1494</v>
      </c>
      <c r="C6" s="2037"/>
      <c r="D6" s="2031"/>
      <c r="E6" s="2038" t="s">
        <v>2943</v>
      </c>
      <c r="F6" s="2033" t="s">
        <v>3038</v>
      </c>
      <c r="I6" s="2034"/>
      <c r="L6" s="2039" t="s">
        <v>3421</v>
      </c>
    </row>
    <row r="7" spans="1:12" s="2033" customFormat="1" ht="10.5" customHeight="1">
      <c r="A7" s="2030"/>
      <c r="B7" s="2037"/>
      <c r="C7" s="2037"/>
      <c r="D7" s="2031"/>
      <c r="E7" s="2040" t="s">
        <v>2866</v>
      </c>
      <c r="F7" s="2033" t="s">
        <v>2944</v>
      </c>
      <c r="I7" s="2034"/>
      <c r="L7" s="2039" t="s">
        <v>3421</v>
      </c>
    </row>
    <row r="8" spans="1:12" s="2033" customFormat="1" ht="10.5" customHeight="1">
      <c r="A8" s="2030"/>
      <c r="B8" s="2031"/>
      <c r="C8" s="2031"/>
      <c r="D8" s="2031"/>
      <c r="E8" s="2040" t="s">
        <v>2864</v>
      </c>
      <c r="F8" s="2033" t="s">
        <v>447</v>
      </c>
      <c r="I8" s="2034"/>
      <c r="L8" s="2039" t="s">
        <v>3424</v>
      </c>
    </row>
    <row r="9" spans="1:12" s="2033" customFormat="1" ht="10.5" customHeight="1">
      <c r="A9" s="2030"/>
      <c r="B9" s="2031"/>
      <c r="C9" s="2031"/>
      <c r="D9" s="2031"/>
      <c r="E9" s="2040" t="s">
        <v>2865</v>
      </c>
      <c r="F9" s="2033" t="s">
        <v>2841</v>
      </c>
      <c r="I9" s="2034"/>
      <c r="L9" s="2039" t="s">
        <v>3421</v>
      </c>
    </row>
    <row r="10" spans="1:12" s="2033" customFormat="1" ht="10.5" customHeight="1">
      <c r="A10" s="2030"/>
      <c r="B10" s="2031"/>
      <c r="C10" s="2031"/>
      <c r="D10" s="2031"/>
      <c r="E10" s="2040" t="s">
        <v>2867</v>
      </c>
      <c r="F10" s="2033" t="s">
        <v>2854</v>
      </c>
      <c r="I10" s="2034"/>
      <c r="J10" s="2041"/>
      <c r="L10" s="2039" t="s">
        <v>3421</v>
      </c>
    </row>
    <row r="11" spans="1:12" s="2033" customFormat="1" ht="10.5" customHeight="1">
      <c r="A11" s="2030"/>
      <c r="B11" s="2031"/>
      <c r="C11" s="2031"/>
      <c r="D11" s="2031"/>
      <c r="E11" s="2040" t="s">
        <v>2868</v>
      </c>
      <c r="F11" s="2033" t="s">
        <v>2945</v>
      </c>
      <c r="I11" s="2034"/>
      <c r="J11" s="2041"/>
      <c r="L11" s="2042" t="s">
        <v>3421</v>
      </c>
    </row>
    <row r="12" spans="1:12" s="2033" customFormat="1" ht="10.5" customHeight="1">
      <c r="A12" s="2030"/>
      <c r="B12" s="2031"/>
      <c r="C12" s="2031"/>
      <c r="D12" s="2031"/>
      <c r="E12" s="2040" t="s">
        <v>2869</v>
      </c>
      <c r="F12" s="2033" t="s">
        <v>4163</v>
      </c>
      <c r="I12" s="2034"/>
      <c r="J12" s="2041"/>
      <c r="L12" s="2042" t="s">
        <v>3421</v>
      </c>
    </row>
    <row r="13" spans="1:12" s="2033" customFormat="1" ht="10.5" customHeight="1">
      <c r="A13" s="2030"/>
      <c r="B13" s="2031"/>
      <c r="C13" s="2031"/>
      <c r="D13" s="2031"/>
      <c r="E13" s="2043" t="s">
        <v>2869</v>
      </c>
      <c r="F13" s="2033" t="s">
        <v>3039</v>
      </c>
      <c r="I13" s="2034"/>
      <c r="J13" s="2041"/>
      <c r="L13" s="2042" t="s">
        <v>3424</v>
      </c>
    </row>
    <row r="14" spans="1:12" s="2033" customFormat="1" ht="10.5" customHeight="1">
      <c r="A14" s="2044" t="s">
        <v>2946</v>
      </c>
      <c r="B14" s="2044"/>
      <c r="C14" s="2044"/>
      <c r="D14" s="2044"/>
      <c r="E14" s="2044"/>
      <c r="F14" s="2044"/>
      <c r="G14" s="2044"/>
      <c r="H14" s="2044"/>
      <c r="I14" s="2044"/>
      <c r="J14" s="2044"/>
      <c r="K14" s="2044"/>
      <c r="L14" s="2044"/>
    </row>
    <row r="15" spans="1:12" s="2033" customFormat="1" ht="10.5" customHeight="1">
      <c r="A15" s="2045" t="s">
        <v>2866</v>
      </c>
      <c r="B15" s="2046" t="s">
        <v>3049</v>
      </c>
      <c r="C15" s="2047"/>
      <c r="D15" s="2048" t="s">
        <v>2947</v>
      </c>
      <c r="E15" s="2049" t="s">
        <v>2866</v>
      </c>
      <c r="F15" s="2050" t="s">
        <v>3834</v>
      </c>
      <c r="G15" s="2050"/>
      <c r="H15" s="2051"/>
      <c r="I15" s="2034"/>
      <c r="J15" s="2041"/>
      <c r="L15" s="2039" t="s">
        <v>3421</v>
      </c>
    </row>
    <row r="16" spans="1:12" s="2033" customFormat="1" ht="10.5" customHeight="1">
      <c r="A16" s="2052"/>
      <c r="B16" s="2053"/>
      <c r="C16" s="2054"/>
      <c r="D16" s="2055"/>
      <c r="E16" s="2040"/>
      <c r="F16" s="2056" t="s">
        <v>4246</v>
      </c>
      <c r="G16" s="2057"/>
      <c r="H16" s="2058"/>
      <c r="I16" s="2034"/>
      <c r="J16" s="2041"/>
      <c r="L16" s="2039" t="s">
        <v>3424</v>
      </c>
    </row>
    <row r="17" spans="1:12" s="2033" customFormat="1" ht="10.5" customHeight="1">
      <c r="A17" s="2054"/>
      <c r="B17" s="2059"/>
      <c r="C17" s="2060"/>
      <c r="D17" s="2055" t="s">
        <v>2948</v>
      </c>
      <c r="E17" s="2040" t="s">
        <v>2864</v>
      </c>
      <c r="F17" s="2061" t="s">
        <v>4202</v>
      </c>
      <c r="G17" s="2061"/>
      <c r="H17" s="2062"/>
      <c r="I17" s="2063" t="s">
        <v>3014</v>
      </c>
      <c r="J17" s="2064" t="s">
        <v>3015</v>
      </c>
      <c r="K17" s="2064" t="s">
        <v>3016</v>
      </c>
      <c r="L17" s="2039" t="s">
        <v>3424</v>
      </c>
    </row>
    <row r="18" spans="1:12" s="2033" customFormat="1" ht="10.5" customHeight="1">
      <c r="A18" s="2054"/>
      <c r="B18" s="2059"/>
      <c r="C18" s="2060"/>
      <c r="D18" s="2055"/>
      <c r="E18" s="2040"/>
      <c r="F18" s="2065" t="s">
        <v>3833</v>
      </c>
      <c r="G18" s="2065"/>
      <c r="H18" s="2066"/>
      <c r="I18" s="2063"/>
      <c r="J18" s="2064"/>
      <c r="K18" s="2064"/>
      <c r="L18" s="2039" t="s">
        <v>3424</v>
      </c>
    </row>
    <row r="19" spans="1:12" s="2033" customFormat="1" ht="10.5" customHeight="1">
      <c r="A19" s="2054"/>
      <c r="B19" s="2059"/>
      <c r="C19" s="2060"/>
      <c r="D19" s="2055" t="s">
        <v>2949</v>
      </c>
      <c r="E19" s="2040" t="s">
        <v>2865</v>
      </c>
      <c r="F19" s="2059" t="s">
        <v>4056</v>
      </c>
      <c r="G19" s="2065"/>
      <c r="H19" s="2066"/>
      <c r="I19" s="2063"/>
      <c r="J19" s="2064"/>
      <c r="K19" s="2067"/>
      <c r="L19" s="2039" t="s">
        <v>3421</v>
      </c>
    </row>
    <row r="20" spans="1:12" s="2033" customFormat="1" ht="10.5" customHeight="1">
      <c r="A20" s="2054"/>
      <c r="B20" s="2059"/>
      <c r="C20" s="2060"/>
      <c r="D20" s="2055" t="s">
        <v>2950</v>
      </c>
      <c r="E20" s="2040" t="s">
        <v>2867</v>
      </c>
      <c r="F20" s="2059" t="s">
        <v>3044</v>
      </c>
      <c r="G20" s="2059"/>
      <c r="H20" s="2068"/>
      <c r="I20" s="2063" t="s">
        <v>3316</v>
      </c>
      <c r="J20" s="2064" t="s">
        <v>2953</v>
      </c>
      <c r="K20" s="2064" t="s">
        <v>2954</v>
      </c>
      <c r="L20" s="2039" t="s">
        <v>3421</v>
      </c>
    </row>
    <row r="21" spans="1:12" s="2033" customFormat="1" ht="10.5" customHeight="1">
      <c r="A21" s="2054"/>
      <c r="B21" s="2059"/>
      <c r="C21" s="2060"/>
      <c r="D21" s="2055"/>
      <c r="E21" s="2069"/>
      <c r="F21" s="2059" t="s">
        <v>4247</v>
      </c>
      <c r="G21" s="2059"/>
      <c r="H21" s="2068"/>
      <c r="L21" s="2039" t="s">
        <v>3424</v>
      </c>
    </row>
    <row r="22" spans="1:12" s="2033" customFormat="1" ht="10.5" customHeight="1">
      <c r="A22" s="2054"/>
      <c r="B22" s="2059"/>
      <c r="C22" s="2060"/>
      <c r="D22" s="2055"/>
      <c r="E22" s="2069"/>
      <c r="F22" s="2059" t="s">
        <v>3045</v>
      </c>
      <c r="G22" s="2059"/>
      <c r="H22" s="2068"/>
      <c r="I22" s="2034"/>
      <c r="J22" s="2041"/>
      <c r="L22" s="2039" t="s">
        <v>3424</v>
      </c>
    </row>
    <row r="23" spans="1:12" s="2033" customFormat="1" ht="10.5" customHeight="1">
      <c r="A23" s="2054"/>
      <c r="B23" s="2059"/>
      <c r="C23" s="2060"/>
      <c r="D23" s="2055"/>
      <c r="E23" s="2069"/>
      <c r="F23" s="2059" t="s">
        <v>3046</v>
      </c>
      <c r="G23" s="2059"/>
      <c r="H23" s="2068"/>
      <c r="I23" s="2034"/>
      <c r="J23" s="2041"/>
      <c r="L23" s="2039" t="s">
        <v>3424</v>
      </c>
    </row>
    <row r="24" spans="1:12" s="2033" customFormat="1" ht="10.5" customHeight="1">
      <c r="A24" s="2054"/>
      <c r="B24" s="2059"/>
      <c r="C24" s="2060"/>
      <c r="D24" s="2055"/>
      <c r="E24" s="2069"/>
      <c r="F24" s="2059" t="s">
        <v>3315</v>
      </c>
      <c r="G24" s="2059"/>
      <c r="H24" s="2068"/>
      <c r="I24" s="2034"/>
      <c r="J24" s="2041"/>
      <c r="L24" s="2039" t="s">
        <v>3424</v>
      </c>
    </row>
    <row r="25" spans="1:12" s="2033" customFormat="1" ht="10.5" customHeight="1">
      <c r="A25" s="2054"/>
      <c r="B25" s="2059"/>
      <c r="C25" s="2060"/>
      <c r="D25" s="2055" t="s">
        <v>3832</v>
      </c>
      <c r="E25" s="2040" t="s">
        <v>2868</v>
      </c>
      <c r="F25" s="2059" t="s">
        <v>4249</v>
      </c>
      <c r="G25" s="2059"/>
      <c r="H25" s="2068"/>
      <c r="I25" s="2034"/>
      <c r="J25" s="2041"/>
      <c r="L25" s="2039" t="s">
        <v>3421</v>
      </c>
    </row>
    <row r="26" spans="1:12" s="2033" customFormat="1" ht="10.5" customHeight="1">
      <c r="A26" s="2054"/>
      <c r="B26" s="2070"/>
      <c r="C26" s="2071" t="s">
        <v>4248</v>
      </c>
      <c r="D26" s="2072"/>
      <c r="E26" s="2069"/>
      <c r="F26" s="2059" t="s">
        <v>3189</v>
      </c>
      <c r="G26" s="2059"/>
      <c r="H26" s="2068"/>
      <c r="I26" s="2034"/>
      <c r="J26" s="2041"/>
      <c r="L26" s="2039" t="s">
        <v>3421</v>
      </c>
    </row>
    <row r="27" spans="1:12" s="2033" customFormat="1" ht="10.5" customHeight="1">
      <c r="A27" s="2054"/>
      <c r="B27" s="2070"/>
      <c r="C27" s="2071"/>
      <c r="D27" s="2072"/>
      <c r="E27" s="2069"/>
      <c r="F27" s="2059" t="s">
        <v>3190</v>
      </c>
      <c r="G27" s="2059"/>
      <c r="H27" s="2068"/>
      <c r="I27" s="2034"/>
      <c r="J27" s="2041"/>
      <c r="L27" s="2039" t="s">
        <v>3421</v>
      </c>
    </row>
    <row r="28" spans="1:12" s="2033" customFormat="1" ht="10.5" customHeight="1">
      <c r="A28" s="2054"/>
      <c r="B28" s="2070"/>
      <c r="C28" s="2071"/>
      <c r="D28" s="2072"/>
      <c r="E28" s="2069"/>
      <c r="F28" s="2059" t="s">
        <v>3191</v>
      </c>
      <c r="G28" s="2059"/>
      <c r="H28" s="2068"/>
      <c r="I28" s="2034"/>
      <c r="J28" s="2041"/>
      <c r="L28" s="2039" t="s">
        <v>3421</v>
      </c>
    </row>
    <row r="29" spans="1:12" s="2033" customFormat="1" ht="10.5" customHeight="1">
      <c r="A29" s="2054"/>
      <c r="B29" s="2070"/>
      <c r="C29" s="2070"/>
      <c r="D29" s="2070"/>
      <c r="E29" s="2040" t="s">
        <v>2869</v>
      </c>
      <c r="F29" s="2059" t="s">
        <v>2951</v>
      </c>
      <c r="G29" s="2059"/>
      <c r="H29" s="2068"/>
      <c r="I29" s="2034"/>
      <c r="J29" s="2041"/>
      <c r="L29" s="2039" t="s">
        <v>3421</v>
      </c>
    </row>
    <row r="30" spans="1:12" s="2033" customFormat="1" ht="10.5" customHeight="1">
      <c r="A30" s="2054"/>
      <c r="B30" s="2070"/>
      <c r="C30" s="2070"/>
      <c r="D30" s="2070"/>
      <c r="E30" s="2040" t="s">
        <v>2870</v>
      </c>
      <c r="F30" s="2059" t="s">
        <v>3328</v>
      </c>
      <c r="G30" s="2059"/>
      <c r="H30" s="2068"/>
      <c r="I30" s="2034"/>
      <c r="J30" s="2041"/>
      <c r="L30" s="2039" t="s">
        <v>3421</v>
      </c>
    </row>
    <row r="31" spans="1:12" s="2033" customFormat="1" ht="10.5" customHeight="1">
      <c r="A31" s="2054"/>
      <c r="B31" s="2070"/>
      <c r="C31" s="2070"/>
      <c r="D31" s="2070"/>
      <c r="E31" s="2040" t="s">
        <v>3023</v>
      </c>
      <c r="F31" s="2059" t="s">
        <v>4250</v>
      </c>
      <c r="G31" s="2059"/>
      <c r="H31" s="2068"/>
      <c r="I31" s="2034"/>
      <c r="J31" s="2041"/>
      <c r="L31" s="2039" t="s">
        <v>3424</v>
      </c>
    </row>
    <row r="32" spans="1:12" s="2033" customFormat="1" ht="10.5" customHeight="1">
      <c r="A32" s="2054"/>
      <c r="B32" s="2070"/>
      <c r="C32" s="2070"/>
      <c r="D32" s="2070"/>
      <c r="E32" s="2040" t="s">
        <v>3024</v>
      </c>
      <c r="F32" s="2059" t="s">
        <v>4164</v>
      </c>
      <c r="G32" s="2059"/>
      <c r="H32" s="2068"/>
      <c r="I32" s="2034"/>
      <c r="J32" s="2041"/>
      <c r="L32" s="2039" t="s">
        <v>3424</v>
      </c>
    </row>
    <row r="33" spans="1:12" s="2033" customFormat="1" ht="10.5" customHeight="1">
      <c r="A33" s="2073" t="s">
        <v>2864</v>
      </c>
      <c r="B33" s="2074" t="s">
        <v>2952</v>
      </c>
      <c r="C33" s="2074"/>
      <c r="D33" s="2074"/>
      <c r="E33" s="2038" t="s">
        <v>2866</v>
      </c>
      <c r="F33" s="2075" t="s">
        <v>2955</v>
      </c>
      <c r="G33" s="2075"/>
      <c r="H33" s="2076"/>
      <c r="I33" s="2077" t="s">
        <v>3316</v>
      </c>
      <c r="J33" s="2078" t="s">
        <v>2953</v>
      </c>
      <c r="K33" s="2079" t="s">
        <v>2954</v>
      </c>
      <c r="L33" s="2039" t="s">
        <v>3424</v>
      </c>
    </row>
    <row r="34" spans="1:12" s="2033" customFormat="1" ht="10.5" customHeight="1">
      <c r="A34" s="2073" t="s">
        <v>2865</v>
      </c>
      <c r="B34" s="2074" t="s">
        <v>4252</v>
      </c>
      <c r="C34" s="2074"/>
      <c r="D34" s="2074" t="s">
        <v>2974</v>
      </c>
      <c r="E34" s="2038" t="s">
        <v>2866</v>
      </c>
      <c r="F34" s="2080" t="s">
        <v>4251</v>
      </c>
      <c r="G34" s="2080"/>
      <c r="H34" s="2079"/>
      <c r="I34" s="2077"/>
      <c r="J34" s="2078"/>
      <c r="K34" s="2079"/>
      <c r="L34" s="2039" t="s">
        <v>3424</v>
      </c>
    </row>
    <row r="35" spans="1:12" s="2033" customFormat="1" ht="10.5" customHeight="1">
      <c r="A35" s="2073" t="s">
        <v>2867</v>
      </c>
      <c r="B35" s="2081" t="s">
        <v>4253</v>
      </c>
      <c r="C35" s="2074"/>
      <c r="D35" s="2074" t="s">
        <v>2972</v>
      </c>
      <c r="E35" s="2038" t="s">
        <v>2866</v>
      </c>
      <c r="F35" s="2080" t="s">
        <v>2956</v>
      </c>
      <c r="G35" s="2080"/>
      <c r="H35" s="2079"/>
      <c r="I35" s="2077"/>
      <c r="J35" s="2078"/>
      <c r="K35" s="2079"/>
      <c r="L35" s="2039" t="s">
        <v>3424</v>
      </c>
    </row>
    <row r="36" spans="1:12" s="2033" customFormat="1" ht="21.75" customHeight="1">
      <c r="A36" s="2052"/>
      <c r="B36" s="2053"/>
      <c r="C36" s="2055"/>
      <c r="D36" s="2055"/>
      <c r="E36" s="2040" t="s">
        <v>2864</v>
      </c>
      <c r="F36" s="2056" t="s">
        <v>3831</v>
      </c>
      <c r="G36" s="2057"/>
      <c r="H36" s="2058"/>
      <c r="I36" s="2082"/>
      <c r="J36" s="2083"/>
      <c r="K36" s="2059"/>
      <c r="L36" s="2039" t="s">
        <v>3424</v>
      </c>
    </row>
    <row r="37" spans="1:12" s="2033" customFormat="1" ht="10.5" customHeight="1">
      <c r="A37" s="2054"/>
      <c r="B37" s="2060"/>
      <c r="C37" s="2060"/>
      <c r="D37" s="2055" t="s">
        <v>2957</v>
      </c>
      <c r="E37" s="2040" t="s">
        <v>2865</v>
      </c>
      <c r="F37" s="2084" t="s">
        <v>4254</v>
      </c>
      <c r="G37" s="2059"/>
      <c r="H37" s="2068"/>
      <c r="I37" s="2034"/>
      <c r="J37" s="2041"/>
      <c r="L37" s="2039" t="s">
        <v>3424</v>
      </c>
    </row>
    <row r="38" spans="1:12" s="2033" customFormat="1" ht="10.5" customHeight="1">
      <c r="A38" s="2073" t="s">
        <v>2868</v>
      </c>
      <c r="B38" s="2074" t="s">
        <v>2958</v>
      </c>
      <c r="C38" s="2074"/>
      <c r="D38" s="2074"/>
      <c r="E38" s="2038" t="s">
        <v>2866</v>
      </c>
      <c r="F38" s="2080" t="s">
        <v>476</v>
      </c>
      <c r="G38" s="2080"/>
      <c r="H38" s="2079"/>
      <c r="I38" s="2077" t="s">
        <v>376</v>
      </c>
      <c r="J38" s="2078"/>
      <c r="K38" s="2079" t="s">
        <v>2959</v>
      </c>
      <c r="L38" s="2039" t="s">
        <v>3421</v>
      </c>
    </row>
    <row r="39" spans="1:12" s="2033" customFormat="1" ht="10.5" customHeight="1">
      <c r="A39" s="2085" t="s">
        <v>2869</v>
      </c>
      <c r="B39" s="2086" t="s">
        <v>3050</v>
      </c>
      <c r="C39" s="2086"/>
      <c r="D39" s="2086" t="s">
        <v>2957</v>
      </c>
      <c r="E39" s="2087" t="s">
        <v>2866</v>
      </c>
      <c r="F39" s="2088" t="s">
        <v>2960</v>
      </c>
      <c r="G39" s="2088"/>
      <c r="H39" s="2089"/>
      <c r="I39" s="2077"/>
      <c r="J39" s="2078"/>
      <c r="K39" s="2079"/>
      <c r="L39" s="2039" t="s">
        <v>3421</v>
      </c>
    </row>
    <row r="40" spans="1:12" s="2033" customFormat="1" ht="10.5" customHeight="1">
      <c r="A40" s="2045" t="s">
        <v>2870</v>
      </c>
      <c r="B40" s="2048" t="s">
        <v>3051</v>
      </c>
      <c r="C40" s="2048"/>
      <c r="D40" s="2048"/>
      <c r="E40" s="2049" t="s">
        <v>2866</v>
      </c>
      <c r="F40" s="2050" t="s">
        <v>4255</v>
      </c>
      <c r="G40" s="2050"/>
      <c r="H40" s="2050"/>
      <c r="I40" s="2090"/>
      <c r="J40" s="2091"/>
      <c r="K40" s="2051"/>
      <c r="L40" s="2039" t="s">
        <v>3421</v>
      </c>
    </row>
    <row r="41" spans="1:12" s="2033" customFormat="1" ht="10.5" customHeight="1">
      <c r="A41" s="2059"/>
      <c r="B41" s="2092" t="s">
        <v>3053</v>
      </c>
      <c r="C41" s="2092"/>
      <c r="D41" s="2093"/>
      <c r="E41" s="2040" t="s">
        <v>2864</v>
      </c>
      <c r="F41" s="2059" t="s">
        <v>2961</v>
      </c>
      <c r="G41" s="2059"/>
      <c r="H41" s="2059"/>
      <c r="I41" s="2082"/>
      <c r="J41" s="2083"/>
      <c r="K41" s="2068"/>
      <c r="L41" s="2039" t="s">
        <v>3424</v>
      </c>
    </row>
    <row r="42" spans="1:12" s="2033" customFormat="1" ht="10.5" customHeight="1">
      <c r="A42" s="2059"/>
      <c r="B42" s="2092"/>
      <c r="C42" s="2092"/>
      <c r="D42" s="2093"/>
      <c r="E42" s="2040" t="s">
        <v>2865</v>
      </c>
      <c r="F42" s="2059" t="s">
        <v>4257</v>
      </c>
      <c r="G42" s="2059"/>
      <c r="H42" s="2059"/>
      <c r="I42" s="2082"/>
      <c r="J42" s="2083"/>
      <c r="K42" s="2068"/>
      <c r="L42" s="2039" t="s">
        <v>3424</v>
      </c>
    </row>
    <row r="43" spans="1:12" s="2033" customFormat="1" ht="10.5" customHeight="1">
      <c r="A43" s="2059"/>
      <c r="B43" s="2092"/>
      <c r="C43" s="2092"/>
      <c r="D43" s="2093"/>
      <c r="E43" s="2040" t="s">
        <v>2867</v>
      </c>
      <c r="F43" s="2059" t="s">
        <v>3042</v>
      </c>
      <c r="G43" s="2059"/>
      <c r="H43" s="2059"/>
      <c r="I43" s="2082"/>
      <c r="J43" s="2083"/>
      <c r="K43" s="2068"/>
      <c r="L43" s="2039" t="s">
        <v>3424</v>
      </c>
    </row>
    <row r="44" spans="1:12" s="2033" customFormat="1" ht="10.5" customHeight="1">
      <c r="A44" s="2054"/>
      <c r="B44" s="2092"/>
      <c r="C44" s="2092"/>
      <c r="D44" s="2055"/>
      <c r="E44" s="2040" t="s">
        <v>2868</v>
      </c>
      <c r="F44" s="2059" t="s">
        <v>2537</v>
      </c>
      <c r="G44" s="2059"/>
      <c r="H44" s="2059"/>
      <c r="I44" s="2077"/>
      <c r="J44" s="2078"/>
      <c r="K44" s="2079"/>
      <c r="L44" s="2039" t="s">
        <v>3424</v>
      </c>
    </row>
    <row r="45" spans="1:12" s="2033" customFormat="1" ht="10.5" customHeight="1">
      <c r="A45" s="2054"/>
      <c r="B45" s="2092"/>
      <c r="C45" s="2092"/>
      <c r="D45" s="2055"/>
      <c r="E45" s="2040" t="s">
        <v>2869</v>
      </c>
      <c r="F45" s="2059" t="s">
        <v>4256</v>
      </c>
      <c r="G45" s="2059"/>
      <c r="H45" s="2059"/>
      <c r="I45" s="2082"/>
      <c r="J45" s="2083"/>
      <c r="K45" s="2068"/>
      <c r="L45" s="2039" t="s">
        <v>3424</v>
      </c>
    </row>
    <row r="46" spans="1:12" s="2033" customFormat="1" ht="10.5" customHeight="1">
      <c r="A46" s="2059"/>
      <c r="B46" s="2055"/>
      <c r="C46" s="2055"/>
      <c r="D46" s="2055"/>
      <c r="E46" s="2040" t="s">
        <v>2870</v>
      </c>
      <c r="F46" s="2059" t="s">
        <v>511</v>
      </c>
      <c r="G46" s="2059"/>
      <c r="H46" s="2059"/>
      <c r="I46" s="2082"/>
      <c r="J46" s="2083"/>
      <c r="K46" s="2068"/>
      <c r="L46" s="2039" t="s">
        <v>3424</v>
      </c>
    </row>
    <row r="47" spans="1:12" s="2033" customFormat="1" ht="10.5" customHeight="1">
      <c r="A47" s="2054"/>
      <c r="B47" s="2055"/>
      <c r="C47" s="2055"/>
      <c r="D47" s="2055"/>
      <c r="E47" s="2040" t="s">
        <v>3023</v>
      </c>
      <c r="F47" s="2059" t="s">
        <v>680</v>
      </c>
      <c r="G47" s="2059"/>
      <c r="H47" s="2059"/>
      <c r="I47" s="2082"/>
      <c r="J47" s="2083"/>
      <c r="K47" s="2068"/>
      <c r="L47" s="2039" t="s">
        <v>3424</v>
      </c>
    </row>
    <row r="48" spans="1:12" s="2033" customFormat="1" ht="10.5" customHeight="1">
      <c r="A48" s="2054"/>
      <c r="B48" s="2055"/>
      <c r="C48" s="2055"/>
      <c r="D48" s="2055"/>
      <c r="E48" s="2040" t="s">
        <v>3024</v>
      </c>
      <c r="F48" s="2059" t="s">
        <v>1614</v>
      </c>
      <c r="G48" s="2059"/>
      <c r="H48" s="2059"/>
      <c r="I48" s="2082"/>
      <c r="J48" s="2083"/>
      <c r="K48" s="2068"/>
      <c r="L48" s="2039" t="s">
        <v>3424</v>
      </c>
    </row>
    <row r="49" spans="1:12" s="2033" customFormat="1" ht="10.5" customHeight="1">
      <c r="A49" s="2059"/>
      <c r="B49" s="2055"/>
      <c r="C49" s="2055"/>
      <c r="D49" s="2055"/>
      <c r="E49" s="2040" t="s">
        <v>3058</v>
      </c>
      <c r="F49" s="2059" t="s">
        <v>3202</v>
      </c>
      <c r="G49" s="2059"/>
      <c r="H49" s="2059"/>
      <c r="I49" s="2082"/>
      <c r="J49" s="2083"/>
      <c r="K49" s="2068"/>
      <c r="L49" s="2039" t="s">
        <v>3424</v>
      </c>
    </row>
    <row r="50" spans="1:12" s="2033" customFormat="1" ht="10.5" customHeight="1">
      <c r="A50" s="2054"/>
      <c r="B50" s="2055"/>
      <c r="C50" s="2055"/>
      <c r="D50" s="2055"/>
      <c r="E50" s="2040" t="s">
        <v>4104</v>
      </c>
      <c r="F50" s="2059" t="s">
        <v>3201</v>
      </c>
      <c r="G50" s="2059"/>
      <c r="H50" s="2059"/>
      <c r="I50" s="2082"/>
      <c r="J50" s="2083"/>
      <c r="K50" s="2068"/>
      <c r="L50" s="2039" t="s">
        <v>3424</v>
      </c>
    </row>
    <row r="51" spans="1:12" s="2033" customFormat="1" ht="10.5" customHeight="1">
      <c r="A51" s="2059"/>
      <c r="B51" s="2094"/>
      <c r="C51" s="2094"/>
      <c r="D51" s="2054"/>
      <c r="E51" s="2095" t="s">
        <v>4105</v>
      </c>
      <c r="F51" s="2096" t="s">
        <v>3040</v>
      </c>
      <c r="G51" s="2096"/>
      <c r="H51" s="2096"/>
      <c r="I51" s="2096"/>
      <c r="J51" s="2096"/>
      <c r="K51" s="2097"/>
      <c r="L51" s="2039" t="s">
        <v>3424</v>
      </c>
    </row>
    <row r="52" spans="1:12" s="2033" customFormat="1" ht="10.5" customHeight="1">
      <c r="A52" s="2073" t="s">
        <v>3023</v>
      </c>
      <c r="B52" s="2098" t="s">
        <v>2962</v>
      </c>
      <c r="C52" s="2098"/>
      <c r="D52" s="2099"/>
      <c r="E52" s="2038" t="s">
        <v>2866</v>
      </c>
      <c r="F52" s="2100" t="s">
        <v>4084</v>
      </c>
      <c r="G52" s="2100"/>
      <c r="H52" s="2100"/>
      <c r="I52" s="2077"/>
      <c r="J52" s="2078"/>
      <c r="K52" s="2079"/>
      <c r="L52" s="2039" t="s">
        <v>3421</v>
      </c>
    </row>
    <row r="53" spans="1:12" s="2033" customFormat="1" ht="10.5" customHeight="1">
      <c r="A53" s="2054"/>
      <c r="B53" s="2101"/>
      <c r="C53" s="2101"/>
      <c r="D53" s="2055"/>
      <c r="E53" s="2040" t="s">
        <v>2864</v>
      </c>
      <c r="F53" s="2059" t="s">
        <v>3192</v>
      </c>
      <c r="G53" s="2059"/>
      <c r="H53" s="2059"/>
      <c r="I53" s="2102" t="s">
        <v>3316</v>
      </c>
      <c r="J53" s="2103" t="s">
        <v>3317</v>
      </c>
      <c r="K53" s="2104" t="s">
        <v>2954</v>
      </c>
      <c r="L53" s="2039" t="s">
        <v>3421</v>
      </c>
    </row>
    <row r="54" spans="1:12" s="2033" customFormat="1" ht="10.5" customHeight="1">
      <c r="A54" s="2105"/>
      <c r="B54" s="2106"/>
      <c r="C54" s="2106"/>
      <c r="D54" s="2106"/>
      <c r="E54" s="2095" t="s">
        <v>2865</v>
      </c>
      <c r="F54" s="2107" t="s">
        <v>3835</v>
      </c>
      <c r="G54" s="2107"/>
      <c r="H54" s="2107"/>
      <c r="I54" s="2082"/>
      <c r="J54" s="2083"/>
      <c r="K54" s="2068"/>
      <c r="L54" s="2039" t="s">
        <v>3424</v>
      </c>
    </row>
    <row r="55" spans="1:12" s="2033" customFormat="1" ht="10.5" customHeight="1">
      <c r="A55" s="2052" t="s">
        <v>3024</v>
      </c>
      <c r="B55" s="2108" t="s">
        <v>2963</v>
      </c>
      <c r="C55" s="2108"/>
      <c r="D55" s="2055"/>
      <c r="E55" s="2040" t="s">
        <v>2866</v>
      </c>
      <c r="F55" s="2059" t="s">
        <v>4085</v>
      </c>
      <c r="G55" s="2059"/>
      <c r="H55" s="2059"/>
      <c r="I55" s="2077"/>
      <c r="J55" s="2078"/>
      <c r="K55" s="2079"/>
      <c r="L55" s="2039" t="s">
        <v>3421</v>
      </c>
    </row>
    <row r="56" spans="1:12" s="2033" customFormat="1" ht="10.5" customHeight="1">
      <c r="A56" s="2052"/>
      <c r="B56" s="2109"/>
      <c r="C56" s="2109"/>
      <c r="D56" s="2055"/>
      <c r="E56" s="2040" t="s">
        <v>2864</v>
      </c>
      <c r="F56" s="2059" t="s">
        <v>3193</v>
      </c>
      <c r="G56" s="2059"/>
      <c r="H56" s="2059"/>
      <c r="I56" s="2082"/>
      <c r="J56" s="2083"/>
      <c r="K56" s="2068"/>
      <c r="L56" s="2039" t="s">
        <v>3424</v>
      </c>
    </row>
    <row r="57" spans="1:12" s="2033" customFormat="1" ht="10.5" customHeight="1">
      <c r="A57" s="2110"/>
      <c r="B57" s="2106"/>
      <c r="C57" s="2106"/>
      <c r="D57" s="2106"/>
      <c r="E57" s="2095" t="s">
        <v>2865</v>
      </c>
      <c r="F57" s="2107" t="s">
        <v>3194</v>
      </c>
      <c r="G57" s="2107"/>
      <c r="H57" s="2107"/>
      <c r="I57" s="2111"/>
      <c r="J57" s="2112"/>
      <c r="K57" s="2113"/>
      <c r="L57" s="2039" t="s">
        <v>3424</v>
      </c>
    </row>
    <row r="58" spans="1:12" s="2033" customFormat="1" ht="10.5" customHeight="1">
      <c r="A58" s="2114">
        <v>10</v>
      </c>
      <c r="B58" s="2081" t="s">
        <v>4086</v>
      </c>
      <c r="C58" s="2081"/>
      <c r="D58" s="2074"/>
      <c r="E58" s="2040" t="s">
        <v>2866</v>
      </c>
      <c r="F58" s="2080" t="s">
        <v>4087</v>
      </c>
      <c r="G58" s="2080"/>
      <c r="H58" s="2080"/>
      <c r="I58" s="2077"/>
      <c r="J58" s="2078"/>
      <c r="K58" s="2079"/>
      <c r="L58" s="2039" t="s">
        <v>3421</v>
      </c>
    </row>
    <row r="59" spans="1:12" s="2033" customFormat="1" ht="10.5" customHeight="1">
      <c r="A59" s="2054"/>
      <c r="B59" s="2053"/>
      <c r="C59" s="2053"/>
      <c r="D59" s="2055"/>
      <c r="E59" s="2040" t="s">
        <v>2864</v>
      </c>
      <c r="F59" s="2059" t="s">
        <v>3195</v>
      </c>
      <c r="G59" s="2059"/>
      <c r="H59" s="2059"/>
      <c r="I59" s="2082"/>
      <c r="J59" s="2083"/>
      <c r="K59" s="2068"/>
      <c r="L59" s="2039" t="s">
        <v>3421</v>
      </c>
    </row>
    <row r="60" spans="1:12" s="2033" customFormat="1" ht="10.5" customHeight="1">
      <c r="A60" s="2054"/>
      <c r="B60" s="2055"/>
      <c r="C60" s="2055"/>
      <c r="D60" s="2055"/>
      <c r="E60" s="2040" t="s">
        <v>2865</v>
      </c>
      <c r="F60" s="2059" t="s">
        <v>3196</v>
      </c>
      <c r="G60" s="2059"/>
      <c r="H60" s="2059"/>
      <c r="I60" s="2082"/>
      <c r="J60" s="2083"/>
      <c r="K60" s="2068"/>
      <c r="L60" s="2039" t="s">
        <v>3424</v>
      </c>
    </row>
    <row r="61" spans="1:12" s="2033" customFormat="1" ht="10.5" customHeight="1">
      <c r="A61" s="2054"/>
      <c r="B61" s="2055"/>
      <c r="C61" s="2055"/>
      <c r="D61" s="2055"/>
      <c r="E61" s="2040" t="s">
        <v>2867</v>
      </c>
      <c r="F61" s="2059" t="s">
        <v>2964</v>
      </c>
      <c r="G61" s="2059"/>
      <c r="H61" s="2059"/>
      <c r="I61" s="2082"/>
      <c r="J61" s="2083"/>
      <c r="K61" s="2068"/>
      <c r="L61" s="2039" t="s">
        <v>3421</v>
      </c>
    </row>
    <row r="62" spans="1:12" s="2033" customFormat="1" ht="21.75" customHeight="1">
      <c r="A62" s="2114">
        <v>11</v>
      </c>
      <c r="B62" s="2081" t="s">
        <v>4088</v>
      </c>
      <c r="C62" s="2081"/>
      <c r="D62" s="2074"/>
      <c r="E62" s="2038" t="s">
        <v>2866</v>
      </c>
      <c r="F62" s="2115" t="s">
        <v>4089</v>
      </c>
      <c r="G62" s="2075"/>
      <c r="H62" s="2075"/>
      <c r="I62" s="2077"/>
      <c r="J62" s="2078"/>
      <c r="K62" s="2079"/>
      <c r="L62" s="2039" t="s">
        <v>3421</v>
      </c>
    </row>
    <row r="63" spans="1:12" s="2033" customFormat="1" ht="10.5" customHeight="1">
      <c r="A63" s="2054"/>
      <c r="B63" s="2053"/>
      <c r="C63" s="2053"/>
      <c r="D63" s="2055"/>
      <c r="E63" s="2040" t="s">
        <v>2864</v>
      </c>
      <c r="F63" s="2059" t="s">
        <v>2967</v>
      </c>
      <c r="G63" s="2059"/>
      <c r="H63" s="2059"/>
      <c r="I63" s="2082"/>
      <c r="J63" s="2083"/>
      <c r="K63" s="2068"/>
      <c r="L63" s="2039" t="s">
        <v>3424</v>
      </c>
    </row>
    <row r="64" spans="1:12" s="2033" customFormat="1" ht="10.5" customHeight="1">
      <c r="A64" s="2054"/>
      <c r="B64" s="2055"/>
      <c r="C64" s="2055"/>
      <c r="D64" s="2055"/>
      <c r="E64" s="2040" t="s">
        <v>2865</v>
      </c>
      <c r="F64" s="2059" t="s">
        <v>2968</v>
      </c>
      <c r="G64" s="2059"/>
      <c r="H64" s="2059"/>
      <c r="I64" s="2082"/>
      <c r="J64" s="2083"/>
      <c r="K64" s="2068"/>
      <c r="L64" s="2039" t="s">
        <v>3424</v>
      </c>
    </row>
    <row r="65" spans="1:12" s="2033" customFormat="1" ht="10.5" customHeight="1">
      <c r="A65" s="2114">
        <v>12</v>
      </c>
      <c r="B65" s="2081" t="s">
        <v>2965</v>
      </c>
      <c r="C65" s="2081"/>
      <c r="D65" s="2074"/>
      <c r="E65" s="2038" t="s">
        <v>2866</v>
      </c>
      <c r="F65" s="2080" t="s">
        <v>2966</v>
      </c>
      <c r="G65" s="2080"/>
      <c r="H65" s="2080"/>
      <c r="I65" s="2077"/>
      <c r="J65" s="2078"/>
      <c r="K65" s="2079"/>
      <c r="L65" s="2039" t="s">
        <v>3421</v>
      </c>
    </row>
    <row r="66" spans="1:12" s="2033" customFormat="1" ht="10.5" customHeight="1">
      <c r="A66" s="2054"/>
      <c r="B66" s="2053"/>
      <c r="C66" s="2053"/>
      <c r="D66" s="2055"/>
      <c r="E66" s="2040" t="s">
        <v>2864</v>
      </c>
      <c r="F66" s="2059" t="s">
        <v>2967</v>
      </c>
      <c r="G66" s="2059"/>
      <c r="H66" s="2059"/>
      <c r="I66" s="2082"/>
      <c r="J66" s="2083"/>
      <c r="K66" s="2068"/>
      <c r="L66" s="2039" t="s">
        <v>3424</v>
      </c>
    </row>
    <row r="67" spans="1:12" s="2033" customFormat="1" ht="10.5" customHeight="1">
      <c r="A67" s="2054"/>
      <c r="B67" s="2055"/>
      <c r="C67" s="2055"/>
      <c r="D67" s="2055"/>
      <c r="E67" s="2040" t="s">
        <v>2865</v>
      </c>
      <c r="F67" s="2059" t="s">
        <v>2968</v>
      </c>
      <c r="G67" s="2059"/>
      <c r="H67" s="2059"/>
      <c r="I67" s="2082"/>
      <c r="J67" s="2083"/>
      <c r="K67" s="2068"/>
      <c r="L67" s="2039" t="s">
        <v>3424</v>
      </c>
    </row>
    <row r="68" spans="1:12" s="2033" customFormat="1" ht="10.5" customHeight="1">
      <c r="A68" s="2114">
        <v>13</v>
      </c>
      <c r="B68" s="2081" t="s">
        <v>4378</v>
      </c>
      <c r="C68" s="2081"/>
      <c r="D68" s="2116"/>
      <c r="E68" s="2038" t="s">
        <v>2866</v>
      </c>
      <c r="F68" s="2080" t="s">
        <v>3197</v>
      </c>
      <c r="G68" s="2080"/>
      <c r="H68" s="2080"/>
      <c r="I68" s="2077"/>
      <c r="J68" s="2078"/>
      <c r="K68" s="2079"/>
      <c r="L68" s="2039" t="s">
        <v>3421</v>
      </c>
    </row>
    <row r="69" spans="1:12" s="2033" customFormat="1" ht="10.5" customHeight="1">
      <c r="A69" s="2054"/>
      <c r="B69" s="2053"/>
      <c r="C69" s="2053"/>
      <c r="D69" s="2117"/>
      <c r="E69" s="2040" t="s">
        <v>2864</v>
      </c>
      <c r="F69" s="2059" t="s">
        <v>4258</v>
      </c>
      <c r="G69" s="2059"/>
      <c r="H69" s="2059"/>
      <c r="I69" s="2082"/>
      <c r="J69" s="2083"/>
      <c r="K69" s="2068"/>
      <c r="L69" s="2039" t="s">
        <v>3421</v>
      </c>
    </row>
    <row r="70" spans="1:12" s="2033" customFormat="1" ht="10.5" customHeight="1">
      <c r="A70" s="2054"/>
      <c r="B70" s="2055"/>
      <c r="C70" s="2055"/>
      <c r="D70" s="2055"/>
      <c r="E70" s="2040" t="s">
        <v>2865</v>
      </c>
      <c r="F70" s="2059" t="s">
        <v>4090</v>
      </c>
      <c r="G70" s="2059"/>
      <c r="H70" s="2059"/>
      <c r="I70" s="2082"/>
      <c r="J70" s="2083"/>
      <c r="K70" s="2068"/>
      <c r="L70" s="2039" t="s">
        <v>3421</v>
      </c>
    </row>
    <row r="71" spans="1:12" s="2033" customFormat="1" ht="10.5" customHeight="1">
      <c r="A71" s="2054"/>
      <c r="B71" s="2055"/>
      <c r="C71" s="2055"/>
      <c r="D71" s="2055"/>
      <c r="E71" s="2040" t="s">
        <v>2867</v>
      </c>
      <c r="F71" s="2059" t="s">
        <v>2969</v>
      </c>
      <c r="G71" s="2059"/>
      <c r="H71" s="2059"/>
      <c r="I71" s="2082"/>
      <c r="J71" s="2083"/>
      <c r="K71" s="2068"/>
      <c r="L71" s="2039" t="s">
        <v>3421</v>
      </c>
    </row>
    <row r="72" spans="1:12" s="2033" customFormat="1" ht="10.5" customHeight="1">
      <c r="A72" s="2114">
        <v>14</v>
      </c>
      <c r="B72" s="2074" t="s">
        <v>4092</v>
      </c>
      <c r="C72" s="2074"/>
      <c r="D72" s="2074"/>
      <c r="E72" s="2038" t="s">
        <v>2866</v>
      </c>
      <c r="F72" s="2080" t="s">
        <v>2970</v>
      </c>
      <c r="G72" s="2080"/>
      <c r="H72" s="2080"/>
      <c r="I72" s="2077"/>
      <c r="J72" s="2078"/>
      <c r="K72" s="2079"/>
      <c r="L72" s="2039" t="s">
        <v>3424</v>
      </c>
    </row>
    <row r="73" spans="1:12" s="2033" customFormat="1" ht="10.5" customHeight="1">
      <c r="A73" s="2105"/>
      <c r="B73" s="2106"/>
      <c r="C73" s="2106"/>
      <c r="D73" s="2106"/>
      <c r="E73" s="2095" t="s">
        <v>2864</v>
      </c>
      <c r="F73" s="2107" t="s">
        <v>4093</v>
      </c>
      <c r="G73" s="2107"/>
      <c r="H73" s="2107"/>
      <c r="I73" s="2077"/>
      <c r="J73" s="2078"/>
      <c r="K73" s="2079"/>
      <c r="L73" s="2039" t="s">
        <v>3424</v>
      </c>
    </row>
    <row r="74" spans="1:12" s="2033" customFormat="1" ht="10.5" customHeight="1">
      <c r="A74" s="2114">
        <v>15</v>
      </c>
      <c r="B74" s="2081" t="s">
        <v>2971</v>
      </c>
      <c r="C74" s="2081"/>
      <c r="D74" s="2074" t="s">
        <v>2972</v>
      </c>
      <c r="E74" s="2038" t="s">
        <v>2866</v>
      </c>
      <c r="F74" s="2080" t="s">
        <v>2973</v>
      </c>
      <c r="G74" s="2080"/>
      <c r="H74" s="2080"/>
      <c r="I74" s="2077"/>
      <c r="J74" s="2078"/>
      <c r="K74" s="2079"/>
      <c r="L74" s="2039" t="s">
        <v>3421</v>
      </c>
    </row>
    <row r="75" spans="1:12" s="2033" customFormat="1" ht="10.5" customHeight="1">
      <c r="A75" s="2054"/>
      <c r="B75" s="2053"/>
      <c r="C75" s="2053"/>
      <c r="D75" s="2055" t="s">
        <v>2957</v>
      </c>
      <c r="E75" s="2040" t="s">
        <v>2864</v>
      </c>
      <c r="F75" s="2059" t="s">
        <v>4203</v>
      </c>
      <c r="G75" s="2059"/>
      <c r="H75" s="2059"/>
      <c r="I75" s="2082"/>
      <c r="J75" s="2083"/>
      <c r="K75" s="2068"/>
      <c r="L75" s="2039" t="s">
        <v>3421</v>
      </c>
    </row>
    <row r="76" spans="1:12" s="2033" customFormat="1" ht="10.5" customHeight="1">
      <c r="A76" s="2054"/>
      <c r="B76" s="2118"/>
      <c r="C76" s="2118"/>
      <c r="D76" s="2055" t="s">
        <v>2974</v>
      </c>
      <c r="E76" s="2040" t="s">
        <v>2865</v>
      </c>
      <c r="F76" s="2059" t="s">
        <v>4204</v>
      </c>
      <c r="G76" s="2059"/>
      <c r="H76" s="2059"/>
      <c r="I76" s="2082"/>
      <c r="J76" s="2083"/>
      <c r="K76" s="2068"/>
      <c r="L76" s="2039" t="s">
        <v>3421</v>
      </c>
    </row>
    <row r="77" spans="1:12" s="2033" customFormat="1" ht="10.5" customHeight="1">
      <c r="A77" s="2114">
        <v>16</v>
      </c>
      <c r="B77" s="2081" t="s">
        <v>2975</v>
      </c>
      <c r="C77" s="2081"/>
      <c r="D77" s="2074"/>
      <c r="E77" s="2038" t="s">
        <v>2866</v>
      </c>
      <c r="F77" s="2080" t="s">
        <v>2976</v>
      </c>
      <c r="G77" s="2080"/>
      <c r="H77" s="2080"/>
      <c r="I77" s="2077"/>
      <c r="J77" s="2078"/>
      <c r="K77" s="2079"/>
      <c r="L77" s="2039" t="s">
        <v>3421</v>
      </c>
    </row>
    <row r="78" spans="1:12" s="2033" customFormat="1" ht="10.5" customHeight="1">
      <c r="A78" s="2054"/>
      <c r="B78" s="2053"/>
      <c r="C78" s="2053"/>
      <c r="D78" s="2055"/>
      <c r="E78" s="2040" t="s">
        <v>2864</v>
      </c>
      <c r="F78" s="2059" t="s">
        <v>2977</v>
      </c>
      <c r="G78" s="2059"/>
      <c r="H78" s="2059"/>
      <c r="I78" s="2082"/>
      <c r="J78" s="2083"/>
      <c r="K78" s="2068"/>
      <c r="L78" s="2039" t="s">
        <v>3421</v>
      </c>
    </row>
    <row r="79" spans="1:12" s="2033" customFormat="1" ht="10.5" customHeight="1">
      <c r="A79" s="2054"/>
      <c r="B79" s="2053"/>
      <c r="C79" s="2053"/>
      <c r="D79" s="2055"/>
      <c r="E79" s="2040" t="s">
        <v>2865</v>
      </c>
      <c r="F79" s="2059" t="s">
        <v>2978</v>
      </c>
      <c r="G79" s="2059"/>
      <c r="H79" s="2059"/>
      <c r="I79" s="2082"/>
      <c r="J79" s="2083"/>
      <c r="K79" s="2068"/>
      <c r="L79" s="2039" t="s">
        <v>3421</v>
      </c>
    </row>
    <row r="80" spans="1:12" s="2033" customFormat="1" ht="10.5" customHeight="1">
      <c r="A80" s="2054"/>
      <c r="B80" s="2055"/>
      <c r="C80" s="2055"/>
      <c r="D80" s="2055"/>
      <c r="E80" s="2040" t="s">
        <v>2867</v>
      </c>
      <c r="F80" s="2059" t="s">
        <v>2979</v>
      </c>
      <c r="G80" s="2059"/>
      <c r="H80" s="2059"/>
      <c r="I80" s="2082"/>
      <c r="J80" s="2083"/>
      <c r="K80" s="2068"/>
      <c r="L80" s="2039" t="s">
        <v>3421</v>
      </c>
    </row>
    <row r="81" spans="1:12" s="2033" customFormat="1" ht="21.75" customHeight="1">
      <c r="A81" s="2119" t="s">
        <v>3025</v>
      </c>
      <c r="B81" s="2120" t="s">
        <v>4094</v>
      </c>
      <c r="C81" s="2120"/>
      <c r="D81" s="2086"/>
      <c r="E81" s="2087" t="s">
        <v>2866</v>
      </c>
      <c r="F81" s="2121" t="s">
        <v>4259</v>
      </c>
      <c r="G81" s="2122"/>
      <c r="H81" s="2088"/>
      <c r="I81" s="2123"/>
      <c r="J81" s="2124"/>
      <c r="K81" s="2089"/>
      <c r="L81" s="2039" t="s">
        <v>3424</v>
      </c>
    </row>
    <row r="82" spans="1:12" s="2033" customFormat="1" ht="10.5" customHeight="1">
      <c r="A82" s="2047" t="s">
        <v>3026</v>
      </c>
      <c r="B82" s="2046" t="s">
        <v>4095</v>
      </c>
      <c r="C82" s="2046"/>
      <c r="D82" s="2048" t="s">
        <v>2972</v>
      </c>
      <c r="E82" s="2125" t="s">
        <v>2866</v>
      </c>
      <c r="F82" s="2050" t="s">
        <v>4078</v>
      </c>
      <c r="G82" s="2050"/>
      <c r="H82" s="2050"/>
      <c r="I82" s="2090"/>
      <c r="J82" s="2091"/>
      <c r="K82" s="2051"/>
      <c r="L82" s="2039" t="s">
        <v>3424</v>
      </c>
    </row>
    <row r="83" spans="1:12" s="2033" customFormat="1" ht="10.5" customHeight="1">
      <c r="A83" s="2054"/>
      <c r="B83" s="2053"/>
      <c r="C83" s="2053"/>
      <c r="D83" s="2055" t="s">
        <v>2957</v>
      </c>
      <c r="E83" s="2040" t="s">
        <v>2864</v>
      </c>
      <c r="F83" s="2059" t="s">
        <v>4096</v>
      </c>
      <c r="G83" s="2059"/>
      <c r="H83" s="2059"/>
      <c r="I83" s="2082"/>
      <c r="J83" s="2083"/>
      <c r="K83" s="2068"/>
      <c r="L83" s="2039" t="s">
        <v>3424</v>
      </c>
    </row>
    <row r="84" spans="1:12" s="2033" customFormat="1" ht="10.5" customHeight="1">
      <c r="A84" s="2114" t="s">
        <v>4097</v>
      </c>
      <c r="B84" s="2081" t="s">
        <v>4098</v>
      </c>
      <c r="C84" s="2081"/>
      <c r="D84" s="2074" t="s">
        <v>3052</v>
      </c>
      <c r="E84" s="2038" t="s">
        <v>2866</v>
      </c>
      <c r="F84" s="2126" t="s">
        <v>2980</v>
      </c>
      <c r="G84" s="2127"/>
      <c r="H84" s="2080"/>
      <c r="I84" s="2077"/>
      <c r="J84" s="2078"/>
      <c r="K84" s="2079"/>
      <c r="L84" s="2039" t="s">
        <v>3421</v>
      </c>
    </row>
    <row r="85" spans="1:12" s="2033" customFormat="1" ht="10.5" customHeight="1">
      <c r="A85" s="2054"/>
      <c r="B85" s="2118"/>
      <c r="C85" s="2118"/>
      <c r="D85" s="2055"/>
      <c r="E85" s="2069" t="s">
        <v>2864</v>
      </c>
      <c r="F85" s="2059" t="s">
        <v>4099</v>
      </c>
      <c r="G85" s="2059"/>
      <c r="H85" s="2059"/>
      <c r="I85" s="2082"/>
      <c r="J85" s="2083"/>
      <c r="K85" s="2068"/>
      <c r="L85" s="2039" t="s">
        <v>3424</v>
      </c>
    </row>
    <row r="86" spans="1:12" s="2033" customFormat="1" ht="10.5" customHeight="1">
      <c r="A86" s="2114" t="s">
        <v>4100</v>
      </c>
      <c r="B86" s="2081" t="s">
        <v>3063</v>
      </c>
      <c r="C86" s="2081"/>
      <c r="D86" s="2074" t="s">
        <v>3990</v>
      </c>
      <c r="E86" s="2038" t="s">
        <v>2866</v>
      </c>
      <c r="F86" s="2080" t="s">
        <v>3013</v>
      </c>
      <c r="G86" s="2080"/>
      <c r="H86" s="2080"/>
      <c r="I86" s="2077"/>
      <c r="J86" s="2078"/>
      <c r="K86" s="2079"/>
      <c r="L86" s="2039" t="s">
        <v>3421</v>
      </c>
    </row>
    <row r="87" spans="1:12" s="2033" customFormat="1" ht="10.5" customHeight="1">
      <c r="A87" s="2054"/>
      <c r="B87" s="2053"/>
      <c r="C87" s="2053"/>
      <c r="D87" s="2055"/>
      <c r="E87" s="2040" t="s">
        <v>2864</v>
      </c>
      <c r="F87" s="2059" t="s">
        <v>2982</v>
      </c>
      <c r="G87" s="2059"/>
      <c r="H87" s="2059"/>
      <c r="I87" s="2082"/>
      <c r="J87" s="2059"/>
      <c r="K87" s="2068"/>
      <c r="L87" s="2039" t="s">
        <v>3421</v>
      </c>
    </row>
    <row r="88" spans="1:12" s="2033" customFormat="1" ht="10.5" customHeight="1">
      <c r="A88" s="2054"/>
      <c r="B88" s="2055" t="s">
        <v>3064</v>
      </c>
      <c r="C88" s="2055"/>
      <c r="D88" s="2055"/>
      <c r="E88" s="2040" t="s">
        <v>2865</v>
      </c>
      <c r="F88" s="2059" t="s">
        <v>2983</v>
      </c>
      <c r="G88" s="2059"/>
      <c r="H88" s="2059"/>
      <c r="I88" s="2082"/>
      <c r="J88" s="2059"/>
      <c r="K88" s="2068"/>
      <c r="L88" s="2039" t="s">
        <v>3421</v>
      </c>
    </row>
    <row r="89" spans="1:12" s="2033" customFormat="1" ht="21.75" customHeight="1">
      <c r="A89" s="2054"/>
      <c r="B89" s="2055"/>
      <c r="C89" s="2055"/>
      <c r="D89" s="2055"/>
      <c r="E89" s="2040" t="s">
        <v>2867</v>
      </c>
      <c r="F89" s="2056" t="s">
        <v>4109</v>
      </c>
      <c r="G89" s="2057"/>
      <c r="H89" s="2057"/>
      <c r="I89" s="2082"/>
      <c r="J89" s="2059"/>
      <c r="K89" s="2068"/>
      <c r="L89" s="2039" t="s">
        <v>3421</v>
      </c>
    </row>
    <row r="90" spans="1:12" s="2033" customFormat="1" ht="10.5" customHeight="1">
      <c r="A90" s="2054"/>
      <c r="B90" s="2055"/>
      <c r="C90" s="2055"/>
      <c r="D90" s="2055" t="s">
        <v>4101</v>
      </c>
      <c r="E90" s="2040" t="s">
        <v>2868</v>
      </c>
      <c r="F90" s="2059" t="s">
        <v>4102</v>
      </c>
      <c r="G90" s="2059"/>
      <c r="H90" s="2059"/>
      <c r="I90" s="2082"/>
      <c r="J90" s="2059"/>
      <c r="K90" s="2068"/>
      <c r="L90" s="2039" t="s">
        <v>3421</v>
      </c>
    </row>
    <row r="91" spans="1:12" s="2033" customFormat="1" ht="10.5" customHeight="1">
      <c r="A91" s="2054"/>
      <c r="B91" s="2055"/>
      <c r="C91" s="2055"/>
      <c r="D91" s="2055"/>
      <c r="E91" s="2040" t="s">
        <v>2869</v>
      </c>
      <c r="F91" s="2056" t="s">
        <v>4289</v>
      </c>
      <c r="G91" s="2057"/>
      <c r="H91" s="2057"/>
      <c r="I91" s="2082"/>
      <c r="J91" s="2059"/>
      <c r="K91" s="2068"/>
      <c r="L91" s="2039" t="s">
        <v>3424</v>
      </c>
    </row>
    <row r="92" spans="1:12" s="2033" customFormat="1" ht="21.75" customHeight="1">
      <c r="A92" s="2054"/>
      <c r="B92" s="2055"/>
      <c r="C92" s="2055"/>
      <c r="D92" s="2055"/>
      <c r="E92" s="2040" t="s">
        <v>2870</v>
      </c>
      <c r="F92" s="2056" t="s">
        <v>4112</v>
      </c>
      <c r="G92" s="2057"/>
      <c r="H92" s="2057"/>
      <c r="I92" s="2082"/>
      <c r="J92" s="2059"/>
      <c r="K92" s="2068"/>
      <c r="L92" s="2039" t="s">
        <v>3421</v>
      </c>
    </row>
    <row r="93" spans="1:12" s="2033" customFormat="1" ht="21.75" customHeight="1">
      <c r="A93" s="2054"/>
      <c r="B93" s="2055"/>
      <c r="C93" s="2055"/>
      <c r="D93" s="2055"/>
      <c r="E93" s="2040" t="s">
        <v>3023</v>
      </c>
      <c r="F93" s="2056" t="s">
        <v>4103</v>
      </c>
      <c r="G93" s="2057"/>
      <c r="H93" s="2057"/>
      <c r="I93" s="2082"/>
      <c r="J93" s="2059"/>
      <c r="K93" s="2068"/>
      <c r="L93" s="2039" t="s">
        <v>3421</v>
      </c>
    </row>
    <row r="94" spans="1:12" s="2033" customFormat="1" ht="10.5" customHeight="1">
      <c r="A94" s="2054"/>
      <c r="B94" s="2055"/>
      <c r="C94" s="2055"/>
      <c r="D94" s="2055"/>
      <c r="E94" s="2040" t="s">
        <v>3024</v>
      </c>
      <c r="F94" s="2059" t="s">
        <v>4107</v>
      </c>
      <c r="G94" s="2059"/>
      <c r="H94" s="2059"/>
      <c r="I94" s="2082"/>
      <c r="J94" s="2059"/>
      <c r="K94" s="2068"/>
      <c r="L94" s="2039" t="s">
        <v>3424</v>
      </c>
    </row>
    <row r="95" spans="1:12" s="2033" customFormat="1" ht="10.5" customHeight="1">
      <c r="A95" s="2054"/>
      <c r="B95" s="2055"/>
      <c r="C95" s="2055"/>
      <c r="D95" s="2055"/>
      <c r="E95" s="2040" t="s">
        <v>3058</v>
      </c>
      <c r="F95" s="2059" t="s">
        <v>4108</v>
      </c>
      <c r="G95" s="2059"/>
      <c r="H95" s="2059"/>
      <c r="I95" s="2082"/>
      <c r="J95" s="2059"/>
      <c r="K95" s="2068"/>
      <c r="L95" s="2039" t="s">
        <v>3424</v>
      </c>
    </row>
    <row r="96" spans="1:12" s="2033" customFormat="1" ht="10.5" customHeight="1">
      <c r="A96" s="2054"/>
      <c r="B96" s="2055"/>
      <c r="C96" s="2055"/>
      <c r="D96" s="2055"/>
      <c r="E96" s="2040" t="s">
        <v>4104</v>
      </c>
      <c r="F96" s="2059" t="s">
        <v>4110</v>
      </c>
      <c r="G96" s="2059"/>
      <c r="H96" s="2059"/>
      <c r="I96" s="2082"/>
      <c r="J96" s="2059"/>
      <c r="K96" s="2068"/>
      <c r="L96" s="2039" t="s">
        <v>3424</v>
      </c>
    </row>
    <row r="97" spans="1:12" s="2033" customFormat="1" ht="22.5" customHeight="1">
      <c r="A97" s="2054"/>
      <c r="B97" s="2055"/>
      <c r="C97" s="2055"/>
      <c r="D97" s="2055"/>
      <c r="E97" s="2040" t="s">
        <v>4105</v>
      </c>
      <c r="F97" s="2056" t="s">
        <v>4111</v>
      </c>
      <c r="G97" s="2057"/>
      <c r="H97" s="2057"/>
      <c r="I97" s="2082"/>
      <c r="J97" s="2059"/>
      <c r="K97" s="2068"/>
      <c r="L97" s="2039" t="s">
        <v>3424</v>
      </c>
    </row>
    <row r="98" spans="1:12" s="2033" customFormat="1" ht="10.5" customHeight="1">
      <c r="A98" s="2054"/>
      <c r="B98" s="2055"/>
      <c r="C98" s="2055"/>
      <c r="D98" s="2055" t="s">
        <v>4113</v>
      </c>
      <c r="E98" s="2040" t="s">
        <v>4106</v>
      </c>
      <c r="F98" s="2059" t="s">
        <v>4114</v>
      </c>
      <c r="G98" s="2059"/>
      <c r="H98" s="2059"/>
      <c r="I98" s="2082"/>
      <c r="J98" s="2059"/>
      <c r="K98" s="2068"/>
      <c r="L98" s="2039" t="s">
        <v>3424</v>
      </c>
    </row>
    <row r="99" spans="1:12" s="2033" customFormat="1" ht="10.5" customHeight="1">
      <c r="A99" s="2054"/>
      <c r="B99" s="2128" t="s">
        <v>3318</v>
      </c>
      <c r="C99" s="2060"/>
      <c r="D99" s="2055" t="s">
        <v>2972</v>
      </c>
      <c r="E99" s="2040" t="s">
        <v>4213</v>
      </c>
      <c r="F99" s="2057" t="s">
        <v>3319</v>
      </c>
      <c r="G99" s="2057"/>
      <c r="H99" s="2057"/>
      <c r="I99" s="2082"/>
      <c r="J99" s="2083"/>
      <c r="K99" s="2068"/>
      <c r="L99" s="2039" t="s">
        <v>3421</v>
      </c>
    </row>
    <row r="100" spans="1:12" s="2033" customFormat="1" ht="10.5" customHeight="1">
      <c r="A100" s="2054"/>
      <c r="B100" s="2128"/>
      <c r="C100" s="2060"/>
      <c r="D100" s="2055" t="s">
        <v>2957</v>
      </c>
      <c r="E100" s="2040" t="s">
        <v>4214</v>
      </c>
      <c r="F100" s="2059" t="s">
        <v>3320</v>
      </c>
      <c r="G100" s="2059"/>
      <c r="H100" s="2059"/>
      <c r="I100" s="2082"/>
      <c r="J100" s="2083"/>
      <c r="K100" s="2068"/>
      <c r="L100" s="2039" t="s">
        <v>3421</v>
      </c>
    </row>
    <row r="101" spans="1:12" s="2033" customFormat="1" ht="10.5" customHeight="1">
      <c r="A101" s="2054"/>
      <c r="B101" s="2128"/>
      <c r="C101" s="2055"/>
      <c r="D101" s="2055"/>
      <c r="E101" s="2040" t="s">
        <v>4215</v>
      </c>
      <c r="F101" s="2059" t="s">
        <v>3321</v>
      </c>
      <c r="G101" s="2059"/>
      <c r="H101" s="2059"/>
      <c r="I101" s="2082"/>
      <c r="J101" s="2083"/>
      <c r="K101" s="2068"/>
      <c r="L101" s="2039" t="s">
        <v>3424</v>
      </c>
    </row>
    <row r="102" spans="1:12" s="2033" customFormat="1" ht="10.5" customHeight="1">
      <c r="A102" s="2054"/>
      <c r="B102" s="2128"/>
      <c r="C102" s="2055"/>
      <c r="D102" s="2055"/>
      <c r="E102" s="2040" t="s">
        <v>3025</v>
      </c>
      <c r="F102" s="2057" t="s">
        <v>3322</v>
      </c>
      <c r="G102" s="2057"/>
      <c r="H102" s="2057"/>
      <c r="I102" s="2082"/>
      <c r="J102" s="2083"/>
      <c r="K102" s="2068"/>
      <c r="L102" s="2039" t="s">
        <v>3424</v>
      </c>
    </row>
    <row r="103" spans="1:12" s="2033" customFormat="1" ht="10.5" customHeight="1">
      <c r="A103" s="2054"/>
      <c r="B103" s="2055"/>
      <c r="C103" s="2055"/>
      <c r="D103" s="2055"/>
      <c r="E103" s="2040" t="s">
        <v>3026</v>
      </c>
      <c r="F103" s="2057" t="s">
        <v>3323</v>
      </c>
      <c r="G103" s="2057"/>
      <c r="H103" s="2057"/>
      <c r="I103" s="2082"/>
      <c r="J103" s="2083"/>
      <c r="K103" s="2068"/>
      <c r="L103" s="2039" t="s">
        <v>3421</v>
      </c>
    </row>
    <row r="104" spans="1:12" s="2033" customFormat="1" ht="10.5" customHeight="1">
      <c r="A104" s="2054"/>
      <c r="B104" s="2055"/>
      <c r="C104" s="2055"/>
      <c r="D104" s="2055"/>
      <c r="E104" s="2040" t="s">
        <v>4097</v>
      </c>
      <c r="F104" s="2096"/>
      <c r="G104" s="2096"/>
      <c r="H104" s="2096"/>
      <c r="I104" s="2096"/>
      <c r="J104" s="2096"/>
      <c r="K104" s="2097"/>
      <c r="L104" s="2039" t="s">
        <v>3424</v>
      </c>
    </row>
    <row r="105" spans="1:12" s="2033" customFormat="1" ht="10.5" customHeight="1">
      <c r="A105" s="2114">
        <v>21</v>
      </c>
      <c r="B105" s="2074" t="s">
        <v>3054</v>
      </c>
      <c r="C105" s="2074"/>
      <c r="D105" s="2074"/>
      <c r="E105" s="2038" t="s">
        <v>2866</v>
      </c>
      <c r="F105" s="2080" t="s">
        <v>2984</v>
      </c>
      <c r="G105" s="2080"/>
      <c r="H105" s="2080"/>
      <c r="I105" s="2077"/>
      <c r="J105" s="2078"/>
      <c r="K105" s="2079"/>
      <c r="L105" s="2039" t="s">
        <v>3424</v>
      </c>
    </row>
    <row r="106" spans="1:12" s="2033" customFormat="1" ht="10.5" customHeight="1">
      <c r="A106" s="2054"/>
      <c r="B106" s="2055"/>
      <c r="C106" s="2055"/>
      <c r="D106" s="2055"/>
      <c r="E106" s="2040" t="s">
        <v>2864</v>
      </c>
      <c r="F106" s="2059" t="s">
        <v>4115</v>
      </c>
      <c r="G106" s="2059"/>
      <c r="H106" s="2059"/>
      <c r="I106" s="2082"/>
      <c r="J106" s="2083"/>
      <c r="K106" s="2068"/>
      <c r="L106" s="2039" t="s">
        <v>3424</v>
      </c>
    </row>
    <row r="107" spans="1:12" s="2033" customFormat="1" ht="10.5" customHeight="1">
      <c r="A107" s="2054"/>
      <c r="B107" s="2055"/>
      <c r="C107" s="2055"/>
      <c r="D107" s="2055"/>
      <c r="E107" s="2040" t="s">
        <v>2865</v>
      </c>
      <c r="F107" s="2059" t="s">
        <v>2986</v>
      </c>
      <c r="G107" s="2059"/>
      <c r="H107" s="2059"/>
      <c r="I107" s="2082"/>
      <c r="J107" s="2083"/>
      <c r="K107" s="2068"/>
      <c r="L107" s="2039" t="s">
        <v>3424</v>
      </c>
    </row>
    <row r="108" spans="1:12" s="2033" customFormat="1" ht="22.5" customHeight="1">
      <c r="A108" s="2054"/>
      <c r="B108" s="2059"/>
      <c r="C108" s="2060"/>
      <c r="D108" s="2055"/>
      <c r="E108" s="2040" t="s">
        <v>2867</v>
      </c>
      <c r="F108" s="2057" t="s">
        <v>3198</v>
      </c>
      <c r="G108" s="2057"/>
      <c r="H108" s="2057"/>
      <c r="I108" s="2057"/>
      <c r="J108" s="2057"/>
      <c r="K108" s="2058"/>
      <c r="L108" s="2039" t="s">
        <v>3424</v>
      </c>
    </row>
    <row r="109" spans="1:12" s="2033" customFormat="1" ht="10.5" customHeight="1">
      <c r="A109" s="2129">
        <v>22</v>
      </c>
      <c r="B109" s="2074" t="s">
        <v>3200</v>
      </c>
      <c r="C109" s="2074"/>
      <c r="D109" s="2074"/>
      <c r="E109" s="2038" t="s">
        <v>2866</v>
      </c>
      <c r="F109" s="2080" t="s">
        <v>4116</v>
      </c>
      <c r="G109" s="2080"/>
      <c r="H109" s="2080"/>
      <c r="I109" s="2082"/>
      <c r="J109" s="2083"/>
      <c r="K109" s="2068"/>
      <c r="L109" s="2039" t="s">
        <v>3424</v>
      </c>
    </row>
    <row r="110" spans="1:12" s="2033" customFormat="1" ht="10.5" customHeight="1">
      <c r="A110" s="2059"/>
      <c r="B110" s="2055"/>
      <c r="C110" s="2055"/>
      <c r="D110" s="2055"/>
      <c r="E110" s="2040" t="s">
        <v>2864</v>
      </c>
      <c r="F110" s="2059" t="s">
        <v>3199</v>
      </c>
      <c r="G110" s="2059"/>
      <c r="H110" s="2059"/>
      <c r="I110" s="2082"/>
      <c r="J110" s="2083"/>
      <c r="K110" s="2068"/>
      <c r="L110" s="2039" t="s">
        <v>3424</v>
      </c>
    </row>
    <row r="111" spans="1:12" s="2033" customFormat="1" ht="10.5" customHeight="1">
      <c r="A111" s="2105"/>
      <c r="B111" s="2106"/>
      <c r="C111" s="2106"/>
      <c r="D111" s="2106"/>
      <c r="E111" s="2095" t="s">
        <v>2865</v>
      </c>
      <c r="F111" s="2107" t="s">
        <v>2987</v>
      </c>
      <c r="G111" s="2107"/>
      <c r="H111" s="2107"/>
      <c r="I111" s="2082"/>
      <c r="J111" s="2083"/>
      <c r="K111" s="2068"/>
      <c r="L111" s="2039" t="s">
        <v>3424</v>
      </c>
    </row>
    <row r="112" spans="1:12" s="2033" customFormat="1" ht="10.5" customHeight="1">
      <c r="A112" s="2114">
        <v>23</v>
      </c>
      <c r="B112" s="2081" t="s">
        <v>4377</v>
      </c>
      <c r="C112" s="2081"/>
      <c r="D112" s="2074" t="s">
        <v>2972</v>
      </c>
      <c r="E112" s="2038" t="s">
        <v>2866</v>
      </c>
      <c r="F112" s="2080" t="s">
        <v>3325</v>
      </c>
      <c r="G112" s="2080"/>
      <c r="H112" s="2080"/>
      <c r="I112" s="2077"/>
      <c r="J112" s="2078"/>
      <c r="K112" s="2079"/>
      <c r="L112" s="2039" t="s">
        <v>3421</v>
      </c>
    </row>
    <row r="113" spans="1:12" s="2033" customFormat="1" ht="10.5" customHeight="1">
      <c r="A113" s="2054"/>
      <c r="B113" s="2053"/>
      <c r="C113" s="2053"/>
      <c r="D113" s="2055" t="s">
        <v>2957</v>
      </c>
      <c r="E113" s="2040" t="s">
        <v>2864</v>
      </c>
      <c r="F113" s="2059" t="s">
        <v>2988</v>
      </c>
      <c r="G113" s="2059"/>
      <c r="H113" s="2059"/>
      <c r="I113" s="2082"/>
      <c r="J113" s="2083"/>
      <c r="K113" s="2068"/>
      <c r="L113" s="2039" t="s">
        <v>3424</v>
      </c>
    </row>
    <row r="114" spans="1:12" s="2033" customFormat="1" ht="10.5" customHeight="1">
      <c r="A114" s="2059"/>
      <c r="B114" s="2053"/>
      <c r="C114" s="2053"/>
      <c r="D114" s="2055" t="s">
        <v>2974</v>
      </c>
      <c r="E114" s="2040" t="s">
        <v>2865</v>
      </c>
      <c r="F114" s="2059" t="s">
        <v>2989</v>
      </c>
      <c r="G114" s="2059"/>
      <c r="H114" s="2059"/>
      <c r="I114" s="2082"/>
      <c r="J114" s="2083"/>
      <c r="K114" s="2068"/>
      <c r="L114" s="2039" t="s">
        <v>3424</v>
      </c>
    </row>
    <row r="115" spans="1:12" s="2033" customFormat="1" ht="10.5" customHeight="1">
      <c r="A115" s="2130"/>
      <c r="B115" s="2131"/>
      <c r="C115" s="2132"/>
      <c r="D115" s="2133" t="s">
        <v>2981</v>
      </c>
      <c r="E115" s="2043" t="s">
        <v>2867</v>
      </c>
      <c r="F115" s="2131" t="s">
        <v>2990</v>
      </c>
      <c r="G115" s="2131"/>
      <c r="H115" s="2131"/>
      <c r="I115" s="2134"/>
      <c r="J115" s="2135"/>
      <c r="K115" s="2136"/>
      <c r="L115" s="2039" t="s">
        <v>3424</v>
      </c>
    </row>
    <row r="116" spans="1:12" s="2033" customFormat="1" ht="10.5" customHeight="1">
      <c r="A116" s="2137" t="s">
        <v>4117</v>
      </c>
      <c r="B116" s="2128" t="s">
        <v>4265</v>
      </c>
      <c r="C116" s="2128"/>
      <c r="D116" s="2138"/>
      <c r="E116" s="2040" t="s">
        <v>2866</v>
      </c>
      <c r="F116" s="2084" t="s">
        <v>2991</v>
      </c>
      <c r="G116" s="2084"/>
      <c r="H116" s="2139"/>
      <c r="I116" s="2082"/>
      <c r="J116" s="2083"/>
      <c r="K116" s="2059"/>
      <c r="L116" s="2039" t="s">
        <v>3421</v>
      </c>
    </row>
    <row r="117" spans="1:12" s="2033" customFormat="1" ht="10.5" customHeight="1">
      <c r="A117" s="2137"/>
      <c r="B117" s="2128"/>
      <c r="C117" s="2128"/>
      <c r="D117" s="2140"/>
      <c r="E117" s="2040" t="s">
        <v>2864</v>
      </c>
      <c r="F117" s="2084" t="s">
        <v>1540</v>
      </c>
      <c r="G117" s="2084"/>
      <c r="H117" s="2139"/>
      <c r="I117" s="2034"/>
      <c r="J117" s="2041"/>
      <c r="L117" s="2039" t="s">
        <v>3421</v>
      </c>
    </row>
    <row r="118" spans="1:12" s="2033" customFormat="1" ht="10.5" customHeight="1">
      <c r="A118" s="2137"/>
      <c r="B118" s="2128"/>
      <c r="C118" s="2128"/>
      <c r="D118" s="2138"/>
      <c r="E118" s="2040" t="s">
        <v>2865</v>
      </c>
      <c r="F118" s="2084" t="s">
        <v>4261</v>
      </c>
      <c r="G118" s="2084"/>
      <c r="H118" s="2139"/>
      <c r="I118" s="2034"/>
      <c r="J118" s="2041"/>
      <c r="L118" s="2039" t="s">
        <v>3421</v>
      </c>
    </row>
    <row r="119" spans="1:12" s="2033" customFormat="1" ht="10.5" customHeight="1">
      <c r="A119" s="2059"/>
      <c r="B119" s="2128"/>
      <c r="C119" s="2128"/>
      <c r="D119" s="2138"/>
      <c r="E119" s="2040" t="s">
        <v>2867</v>
      </c>
      <c r="F119" s="2084" t="s">
        <v>4263</v>
      </c>
      <c r="G119" s="2084"/>
      <c r="H119" s="2139"/>
      <c r="I119" s="2034"/>
      <c r="J119" s="2041"/>
      <c r="L119" s="2039" t="s">
        <v>3424</v>
      </c>
    </row>
    <row r="120" spans="1:12" s="2033" customFormat="1" ht="10.5" customHeight="1">
      <c r="A120" s="2059"/>
      <c r="B120" s="2128"/>
      <c r="C120" s="2128"/>
      <c r="D120" s="2138"/>
      <c r="E120" s="2040" t="s">
        <v>2868</v>
      </c>
      <c r="F120" s="2084" t="s">
        <v>2325</v>
      </c>
      <c r="G120" s="2084"/>
      <c r="H120" s="2139"/>
      <c r="I120" s="2034"/>
      <c r="J120" s="2041"/>
      <c r="L120" s="2039" t="s">
        <v>3421</v>
      </c>
    </row>
    <row r="121" spans="1:12" s="2033" customFormat="1" ht="10.5" customHeight="1">
      <c r="A121" s="2137"/>
      <c r="B121" s="2128"/>
      <c r="C121" s="2128"/>
      <c r="D121" s="2138"/>
      <c r="E121" s="2040" t="s">
        <v>2869</v>
      </c>
      <c r="F121" s="2084" t="s">
        <v>4262</v>
      </c>
      <c r="G121" s="2084"/>
      <c r="H121" s="2139"/>
      <c r="I121" s="2034"/>
      <c r="J121" s="2041"/>
      <c r="L121" s="2039" t="s">
        <v>3421</v>
      </c>
    </row>
    <row r="122" spans="1:12" s="2033" customFormat="1" ht="10.5" customHeight="1">
      <c r="A122" s="2059"/>
      <c r="B122" s="2128"/>
      <c r="C122" s="2128"/>
      <c r="D122" s="2138"/>
      <c r="E122" s="2040" t="s">
        <v>2870</v>
      </c>
      <c r="F122" s="2084" t="s">
        <v>4264</v>
      </c>
      <c r="G122" s="2084"/>
      <c r="H122" s="2139"/>
      <c r="I122" s="2034"/>
      <c r="J122" s="2041"/>
      <c r="L122" s="2039" t="s">
        <v>3424</v>
      </c>
    </row>
    <row r="123" spans="1:12" s="2033" customFormat="1" ht="10.5" customHeight="1">
      <c r="A123" s="2137"/>
      <c r="B123" s="2138"/>
      <c r="C123" s="2138"/>
      <c r="D123" s="2138"/>
      <c r="E123" s="2040" t="s">
        <v>3023</v>
      </c>
      <c r="F123" s="2084" t="s">
        <v>2992</v>
      </c>
      <c r="G123" s="2084"/>
      <c r="H123" s="2139"/>
      <c r="I123" s="2034"/>
      <c r="J123" s="2041"/>
      <c r="L123" s="2039" t="s">
        <v>3421</v>
      </c>
    </row>
    <row r="124" spans="1:12" s="2033" customFormat="1" ht="10.5" customHeight="1">
      <c r="A124" s="2137"/>
      <c r="B124" s="2137"/>
      <c r="C124" s="2137"/>
      <c r="D124" s="2137"/>
      <c r="E124" s="2040" t="s">
        <v>3024</v>
      </c>
      <c r="F124" s="2084" t="s">
        <v>4260</v>
      </c>
      <c r="G124" s="2084"/>
      <c r="H124" s="2139"/>
      <c r="I124" s="2034"/>
      <c r="J124" s="2041"/>
      <c r="L124" s="2039" t="s">
        <v>3421</v>
      </c>
    </row>
    <row r="125" spans="1:12" s="2033" customFormat="1" ht="10.5" customHeight="1">
      <c r="A125" s="2137"/>
      <c r="B125" s="2137"/>
      <c r="C125" s="2137"/>
      <c r="D125" s="2137"/>
      <c r="E125" s="2040" t="s">
        <v>3058</v>
      </c>
      <c r="F125" s="2084" t="s">
        <v>2993</v>
      </c>
      <c r="G125" s="2084"/>
      <c r="H125" s="2139"/>
      <c r="I125" s="2034"/>
      <c r="J125" s="2041"/>
      <c r="L125" s="2042" t="s">
        <v>3424</v>
      </c>
    </row>
    <row r="126" spans="1:12" s="2033" customFormat="1" ht="10.5" customHeight="1">
      <c r="A126" s="2141"/>
      <c r="B126" s="2141"/>
      <c r="C126" s="2141"/>
      <c r="D126" s="2141"/>
      <c r="E126" s="2043" t="s">
        <v>4104</v>
      </c>
      <c r="F126" s="2142" t="s">
        <v>3043</v>
      </c>
      <c r="G126" s="2142"/>
      <c r="H126" s="2143"/>
      <c r="I126" s="2034"/>
      <c r="J126" s="2041"/>
      <c r="L126" s="2042" t="s">
        <v>3424</v>
      </c>
    </row>
    <row r="127" spans="1:12" s="2059" customFormat="1" ht="10.5" customHeight="1">
      <c r="A127" s="2044" t="s">
        <v>2994</v>
      </c>
      <c r="B127" s="2044"/>
      <c r="C127" s="2044"/>
      <c r="D127" s="2044"/>
      <c r="E127" s="2044"/>
      <c r="F127" s="2044"/>
      <c r="G127" s="2044"/>
      <c r="H127" s="2044"/>
      <c r="I127" s="2044"/>
      <c r="J127" s="2044"/>
      <c r="K127" s="2044"/>
      <c r="L127" s="2044"/>
    </row>
    <row r="128" spans="1:12" s="2033" customFormat="1" ht="10.5" customHeight="1">
      <c r="A128" s="2047" t="s">
        <v>4118</v>
      </c>
      <c r="B128" s="2046" t="s">
        <v>3055</v>
      </c>
      <c r="C128" s="2046"/>
      <c r="D128" s="2144"/>
      <c r="E128" s="2049" t="s">
        <v>2866</v>
      </c>
      <c r="F128" s="2145" t="s">
        <v>2995</v>
      </c>
      <c r="G128" s="2050"/>
      <c r="H128" s="2050"/>
      <c r="I128" s="2090"/>
      <c r="J128" s="2091"/>
      <c r="K128" s="2051"/>
      <c r="L128" s="2039" t="s">
        <v>3421</v>
      </c>
    </row>
    <row r="129" spans="1:12" s="2033" customFormat="1" ht="10.5" customHeight="1">
      <c r="A129" s="2054"/>
      <c r="B129" s="2053"/>
      <c r="C129" s="2053"/>
      <c r="D129" s="2146"/>
      <c r="E129" s="2040" t="s">
        <v>2864</v>
      </c>
      <c r="F129" s="2059" t="s">
        <v>3324</v>
      </c>
      <c r="G129" s="2059"/>
      <c r="H129" s="2059"/>
      <c r="I129" s="2082"/>
      <c r="J129" s="2083"/>
      <c r="K129" s="2068"/>
      <c r="L129" s="2039" t="s">
        <v>3421</v>
      </c>
    </row>
    <row r="130" spans="1:12" s="2033" customFormat="1" ht="10.5" customHeight="1">
      <c r="A130" s="2054"/>
      <c r="B130" s="2053"/>
      <c r="C130" s="2053"/>
      <c r="D130" s="2055"/>
      <c r="E130" s="2040" t="s">
        <v>2865</v>
      </c>
      <c r="F130" s="2059" t="s">
        <v>2996</v>
      </c>
      <c r="G130" s="2059"/>
      <c r="H130" s="2059"/>
      <c r="I130" s="2082"/>
      <c r="J130" s="2083"/>
      <c r="K130" s="2068"/>
      <c r="L130" s="2039" t="s">
        <v>3421</v>
      </c>
    </row>
    <row r="131" spans="1:12" s="2033" customFormat="1" ht="10.5" customHeight="1">
      <c r="A131" s="2059"/>
      <c r="B131" s="2055"/>
      <c r="C131" s="2055"/>
      <c r="D131" s="2055"/>
      <c r="E131" s="2040" t="s">
        <v>2867</v>
      </c>
      <c r="F131" s="2057" t="s">
        <v>2997</v>
      </c>
      <c r="G131" s="2057"/>
      <c r="H131" s="2057"/>
      <c r="I131" s="2057"/>
      <c r="J131" s="2057"/>
      <c r="K131" s="2058"/>
      <c r="L131" s="2039" t="s">
        <v>3424</v>
      </c>
    </row>
    <row r="132" spans="1:12" s="2033" customFormat="1" ht="10.5" customHeight="1">
      <c r="A132" s="2054"/>
      <c r="B132" s="2055"/>
      <c r="C132" s="2055"/>
      <c r="D132" s="2055"/>
      <c r="E132" s="2040" t="s">
        <v>2868</v>
      </c>
      <c r="F132" s="2059" t="s">
        <v>4191</v>
      </c>
      <c r="G132" s="2059"/>
      <c r="H132" s="2059"/>
      <c r="I132" s="2082"/>
      <c r="J132" s="2083"/>
      <c r="K132" s="2068"/>
      <c r="L132" s="2039" t="s">
        <v>3424</v>
      </c>
    </row>
    <row r="133" spans="1:12" s="2033" customFormat="1" ht="21.75" customHeight="1">
      <c r="A133" s="2105"/>
      <c r="B133" s="2106"/>
      <c r="C133" s="2106"/>
      <c r="D133" s="2106"/>
      <c r="E133" s="2095" t="s">
        <v>2869</v>
      </c>
      <c r="F133" s="2147" t="s">
        <v>4192</v>
      </c>
      <c r="G133" s="2148"/>
      <c r="H133" s="2148"/>
      <c r="I133" s="2082"/>
      <c r="J133" s="2083"/>
      <c r="K133" s="2068"/>
      <c r="L133" s="2039" t="s">
        <v>3424</v>
      </c>
    </row>
    <row r="134" spans="1:12" s="2033" customFormat="1" ht="10.5" customHeight="1">
      <c r="A134" s="2114">
        <v>26</v>
      </c>
      <c r="B134" s="2055" t="s">
        <v>2998</v>
      </c>
      <c r="C134" s="2055"/>
      <c r="D134" s="2055" t="s">
        <v>2972</v>
      </c>
      <c r="E134" s="2040" t="s">
        <v>2866</v>
      </c>
      <c r="F134" s="2059" t="s">
        <v>3209</v>
      </c>
      <c r="G134" s="2059"/>
      <c r="H134" s="2059"/>
      <c r="I134" s="2077"/>
      <c r="J134" s="2078"/>
      <c r="K134" s="2079"/>
      <c r="L134" s="2039" t="s">
        <v>3424</v>
      </c>
    </row>
    <row r="135" spans="1:12" s="2033" customFormat="1" ht="10.5" customHeight="1">
      <c r="A135" s="2054"/>
      <c r="B135" s="2055"/>
      <c r="C135" s="2055"/>
      <c r="D135" s="2146"/>
      <c r="E135" s="2040"/>
      <c r="F135" s="2059" t="s">
        <v>3210</v>
      </c>
      <c r="G135" s="2059"/>
      <c r="H135" s="2059"/>
      <c r="I135" s="2082"/>
      <c r="J135" s="2083"/>
      <c r="K135" s="2068"/>
      <c r="L135" s="2039" t="s">
        <v>3424</v>
      </c>
    </row>
    <row r="136" spans="1:12" s="2033" customFormat="1" ht="10.5" customHeight="1">
      <c r="A136" s="2054"/>
      <c r="B136" s="2055"/>
      <c r="C136" s="2055"/>
      <c r="D136" s="2149" t="s">
        <v>4206</v>
      </c>
      <c r="E136" s="2040" t="s">
        <v>2864</v>
      </c>
      <c r="F136" s="2059" t="s">
        <v>4208</v>
      </c>
      <c r="G136" s="2059"/>
      <c r="H136" s="2059"/>
      <c r="I136" s="2082"/>
      <c r="J136" s="2083"/>
      <c r="K136" s="2068"/>
      <c r="L136" s="2039" t="s">
        <v>3424</v>
      </c>
    </row>
    <row r="137" spans="1:12" s="2033" customFormat="1" ht="10.5" customHeight="1">
      <c r="A137" s="2059"/>
      <c r="B137" s="2055"/>
      <c r="C137" s="2055"/>
      <c r="D137" s="2149"/>
      <c r="E137" s="2040"/>
      <c r="F137" s="2150" t="s">
        <v>3211</v>
      </c>
      <c r="G137" s="2059"/>
      <c r="H137" s="2059"/>
      <c r="I137" s="2059"/>
      <c r="J137" s="2059"/>
      <c r="K137" s="2068"/>
      <c r="L137" s="2039" t="s">
        <v>3424</v>
      </c>
    </row>
    <row r="138" spans="1:12" s="2033" customFormat="1" ht="10.5" customHeight="1">
      <c r="A138" s="2059"/>
      <c r="B138" s="2055"/>
      <c r="C138" s="2055"/>
      <c r="D138" s="2149" t="s">
        <v>4207</v>
      </c>
      <c r="E138" s="2040"/>
      <c r="F138" s="2059" t="s">
        <v>4382</v>
      </c>
      <c r="G138" s="2059"/>
      <c r="H138" s="2059"/>
      <c r="I138" s="2059"/>
      <c r="J138" s="2059"/>
      <c r="K138" s="2068"/>
      <c r="L138" s="2039" t="s">
        <v>3424</v>
      </c>
    </row>
    <row r="139" spans="1:12" s="2033" customFormat="1" ht="10.5" customHeight="1">
      <c r="A139" s="2059"/>
      <c r="B139" s="2055"/>
      <c r="C139" s="2055"/>
      <c r="D139" s="2149"/>
      <c r="E139" s="2040"/>
      <c r="F139" s="2059" t="s">
        <v>4120</v>
      </c>
      <c r="G139" s="2059"/>
      <c r="H139" s="2059"/>
      <c r="I139" s="2059"/>
      <c r="J139" s="2059"/>
      <c r="K139" s="2068"/>
      <c r="L139" s="2039" t="s">
        <v>3424</v>
      </c>
    </row>
    <row r="140" spans="1:12" s="2033" customFormat="1" ht="10.5" customHeight="1">
      <c r="A140" s="2059"/>
      <c r="B140" s="2055"/>
      <c r="C140" s="2055"/>
      <c r="D140" s="2149" t="s">
        <v>4205</v>
      </c>
      <c r="E140" s="2040" t="s">
        <v>2865</v>
      </c>
      <c r="F140" s="2059" t="s">
        <v>4121</v>
      </c>
      <c r="G140" s="2059"/>
      <c r="H140" s="2059"/>
      <c r="I140" s="2059"/>
      <c r="J140" s="2059"/>
      <c r="K140" s="2068"/>
      <c r="L140" s="2039" t="s">
        <v>3421</v>
      </c>
    </row>
    <row r="141" spans="1:12" s="2033" customFormat="1" ht="10.5" customHeight="1">
      <c r="A141" s="2059"/>
      <c r="B141" s="2055"/>
      <c r="C141" s="2055"/>
      <c r="D141" s="2149" t="s">
        <v>2985</v>
      </c>
      <c r="E141" s="2040" t="s">
        <v>2867</v>
      </c>
      <c r="F141" s="2059" t="s">
        <v>4209</v>
      </c>
      <c r="G141" s="2059"/>
      <c r="H141" s="2059"/>
      <c r="I141" s="2059"/>
      <c r="J141" s="2059"/>
      <c r="K141" s="2068"/>
      <c r="L141" s="2039" t="s">
        <v>3421</v>
      </c>
    </row>
    <row r="142" spans="1:12" s="2033" customFormat="1" ht="10.5" customHeight="1">
      <c r="A142" s="2129">
        <v>27</v>
      </c>
      <c r="B142" s="2074" t="s">
        <v>2999</v>
      </c>
      <c r="C142" s="2074"/>
      <c r="D142" s="2074"/>
      <c r="E142" s="2038" t="s">
        <v>2866</v>
      </c>
      <c r="F142" s="2080" t="s">
        <v>488</v>
      </c>
      <c r="G142" s="2080"/>
      <c r="H142" s="2080"/>
      <c r="I142" s="2077"/>
      <c r="J142" s="2078"/>
      <c r="K142" s="2079"/>
      <c r="L142" s="2039" t="s">
        <v>3424</v>
      </c>
    </row>
    <row r="143" spans="1:12" s="2033" customFormat="1" ht="21.75" customHeight="1">
      <c r="A143" s="2054"/>
      <c r="B143" s="2055"/>
      <c r="C143" s="2055"/>
      <c r="D143" s="2055"/>
      <c r="E143" s="2040" t="s">
        <v>2864</v>
      </c>
      <c r="F143" s="2057" t="s">
        <v>3000</v>
      </c>
      <c r="G143" s="2057"/>
      <c r="H143" s="2057"/>
      <c r="I143" s="2057"/>
      <c r="J143" s="2057"/>
      <c r="K143" s="2058"/>
      <c r="L143" s="2039" t="s">
        <v>3424</v>
      </c>
    </row>
    <row r="144" spans="1:12" s="2033" customFormat="1" ht="10.5" customHeight="1">
      <c r="A144" s="2054"/>
      <c r="B144" s="2055"/>
      <c r="C144" s="2055"/>
      <c r="D144" s="2055"/>
      <c r="E144" s="2040" t="s">
        <v>2865</v>
      </c>
      <c r="F144" s="2151" t="s">
        <v>4122</v>
      </c>
      <c r="G144" s="2151"/>
      <c r="H144" s="2151"/>
      <c r="I144" s="2151"/>
      <c r="J144" s="2151"/>
      <c r="K144" s="2152"/>
      <c r="L144" s="2039" t="s">
        <v>3424</v>
      </c>
    </row>
    <row r="145" spans="1:12" s="2033" customFormat="1" ht="10.5" customHeight="1">
      <c r="A145" s="2054"/>
      <c r="B145" s="2055"/>
      <c r="C145" s="2055"/>
      <c r="D145" s="2055"/>
      <c r="E145" s="2040" t="s">
        <v>2867</v>
      </c>
      <c r="F145" s="2059" t="s">
        <v>3001</v>
      </c>
      <c r="G145" s="2059"/>
      <c r="H145" s="2059"/>
      <c r="I145" s="2082"/>
      <c r="J145" s="2083"/>
      <c r="K145" s="2068"/>
      <c r="L145" s="2039" t="s">
        <v>3424</v>
      </c>
    </row>
    <row r="146" spans="1:12" s="2033" customFormat="1" ht="10.5" customHeight="1">
      <c r="A146" s="2059"/>
      <c r="B146" s="2055"/>
      <c r="C146" s="2055"/>
      <c r="D146" s="2055"/>
      <c r="E146" s="2040" t="s">
        <v>2868</v>
      </c>
      <c r="F146" s="2059" t="s">
        <v>3002</v>
      </c>
      <c r="G146" s="2059"/>
      <c r="H146" s="2059"/>
      <c r="I146" s="2082"/>
      <c r="J146" s="2083"/>
      <c r="K146" s="2068"/>
      <c r="L146" s="2039" t="s">
        <v>3424</v>
      </c>
    </row>
    <row r="147" spans="1:12" s="2033" customFormat="1" ht="10.5" customHeight="1">
      <c r="A147" s="2105"/>
      <c r="B147" s="2106"/>
      <c r="C147" s="2106"/>
      <c r="D147" s="2106"/>
      <c r="E147" s="2095" t="s">
        <v>2869</v>
      </c>
      <c r="F147" s="2107" t="s">
        <v>3003</v>
      </c>
      <c r="G147" s="2107"/>
      <c r="H147" s="2107"/>
      <c r="I147" s="2082"/>
      <c r="J147" s="2083"/>
      <c r="K147" s="2068"/>
      <c r="L147" s="2039" t="s">
        <v>3424</v>
      </c>
    </row>
    <row r="148" spans="1:12" s="2033" customFormat="1" ht="10.5" customHeight="1">
      <c r="A148" s="2114">
        <v>28</v>
      </c>
      <c r="B148" s="2081" t="s">
        <v>3004</v>
      </c>
      <c r="C148" s="2081"/>
      <c r="D148" s="2074" t="s">
        <v>3059</v>
      </c>
      <c r="E148" s="2038" t="s">
        <v>2866</v>
      </c>
      <c r="F148" s="2080" t="s">
        <v>4123</v>
      </c>
      <c r="G148" s="2080"/>
      <c r="H148" s="2080"/>
      <c r="I148" s="2077"/>
      <c r="J148" s="2078"/>
      <c r="K148" s="2079"/>
      <c r="L148" s="2039" t="s">
        <v>3424</v>
      </c>
    </row>
    <row r="149" spans="1:12" s="2033" customFormat="1" ht="21.75" customHeight="1">
      <c r="A149" s="2054"/>
      <c r="B149" s="2053"/>
      <c r="C149" s="2053"/>
      <c r="D149" s="2055"/>
      <c r="E149" s="2040"/>
      <c r="F149" s="2056" t="s">
        <v>4124</v>
      </c>
      <c r="G149" s="2057"/>
      <c r="H149" s="2057"/>
      <c r="I149" s="2082"/>
      <c r="J149" s="2083"/>
      <c r="K149" s="2068"/>
      <c r="L149" s="2039" t="s">
        <v>3424</v>
      </c>
    </row>
    <row r="150" spans="1:12" s="2033" customFormat="1" ht="21.75" customHeight="1">
      <c r="A150" s="2054"/>
      <c r="B150" s="2059"/>
      <c r="C150" s="2060"/>
      <c r="D150" s="2055" t="s">
        <v>3057</v>
      </c>
      <c r="E150" s="2040" t="s">
        <v>2864</v>
      </c>
      <c r="F150" s="2056" t="s">
        <v>4125</v>
      </c>
      <c r="G150" s="2057"/>
      <c r="H150" s="2057"/>
      <c r="I150" s="2082"/>
      <c r="J150" s="2083"/>
      <c r="K150" s="2068"/>
      <c r="L150" s="2039" t="s">
        <v>3424</v>
      </c>
    </row>
    <row r="151" spans="1:12" s="2033" customFormat="1" ht="10.5" customHeight="1">
      <c r="A151" s="2059"/>
      <c r="B151" s="2059"/>
      <c r="C151" s="2059"/>
      <c r="D151" s="2055"/>
      <c r="E151" s="2069"/>
      <c r="F151" s="2059" t="s">
        <v>3047</v>
      </c>
      <c r="G151" s="2059"/>
      <c r="H151" s="2059"/>
      <c r="I151" s="2082"/>
      <c r="J151" s="2083"/>
      <c r="K151" s="2068"/>
      <c r="L151" s="2039" t="s">
        <v>3424</v>
      </c>
    </row>
    <row r="152" spans="1:12" s="2033" customFormat="1" ht="21.75" customHeight="1">
      <c r="A152" s="2059"/>
      <c r="B152" s="2059"/>
      <c r="C152" s="2059"/>
      <c r="D152" s="2055"/>
      <c r="E152" s="2069"/>
      <c r="F152" s="2153" t="s">
        <v>4126</v>
      </c>
      <c r="G152" s="2154"/>
      <c r="H152" s="2154"/>
      <c r="I152" s="2082"/>
      <c r="J152" s="2083"/>
      <c r="K152" s="2068"/>
      <c r="L152" s="2039" t="s">
        <v>3424</v>
      </c>
    </row>
    <row r="153" spans="1:12" s="2033" customFormat="1" ht="10.5" customHeight="1">
      <c r="A153" s="2131"/>
      <c r="B153" s="2131"/>
      <c r="C153" s="2132"/>
      <c r="D153" s="2133" t="s">
        <v>2957</v>
      </c>
      <c r="E153" s="2043" t="s">
        <v>2865</v>
      </c>
      <c r="F153" s="2131" t="s">
        <v>4127</v>
      </c>
      <c r="G153" s="2131"/>
      <c r="H153" s="2131"/>
      <c r="I153" s="2134"/>
      <c r="J153" s="2135"/>
      <c r="K153" s="2136"/>
      <c r="L153" s="2039" t="s">
        <v>3421</v>
      </c>
    </row>
    <row r="154" spans="1:12" s="2033" customFormat="1" ht="10.5" customHeight="1">
      <c r="A154" s="2047">
        <v>29</v>
      </c>
      <c r="B154" s="2046" t="s">
        <v>3056</v>
      </c>
      <c r="C154" s="2046"/>
      <c r="D154" s="2155"/>
      <c r="E154" s="2049" t="s">
        <v>2866</v>
      </c>
      <c r="F154" s="2050" t="s">
        <v>3005</v>
      </c>
      <c r="G154" s="2050"/>
      <c r="H154" s="2050"/>
      <c r="I154" s="2090"/>
      <c r="J154" s="2091"/>
      <c r="K154" s="2051"/>
      <c r="L154" s="2039" t="s">
        <v>3424</v>
      </c>
    </row>
    <row r="155" spans="1:12" s="2033" customFormat="1" ht="10.5" customHeight="1">
      <c r="A155" s="2054"/>
      <c r="B155" s="2053"/>
      <c r="C155" s="2053"/>
      <c r="D155" s="2055"/>
      <c r="E155" s="2040" t="s">
        <v>2864</v>
      </c>
      <c r="F155" s="2059" t="s">
        <v>3203</v>
      </c>
      <c r="G155" s="2059"/>
      <c r="H155" s="2059"/>
      <c r="I155" s="2082"/>
      <c r="J155" s="2083"/>
      <c r="K155" s="2068"/>
      <c r="L155" s="2039" t="s">
        <v>3424</v>
      </c>
    </row>
    <row r="156" spans="1:12" s="2033" customFormat="1" ht="10.5" customHeight="1">
      <c r="A156" s="2114">
        <v>30</v>
      </c>
      <c r="B156" s="2081" t="s">
        <v>4128</v>
      </c>
      <c r="C156" s="2081"/>
      <c r="D156" s="2074" t="s">
        <v>2972</v>
      </c>
      <c r="E156" s="2038" t="s">
        <v>2866</v>
      </c>
      <c r="F156" s="2156" t="s">
        <v>4267</v>
      </c>
      <c r="G156" s="2080"/>
      <c r="H156" s="2080"/>
      <c r="I156" s="2077"/>
      <c r="J156" s="2078"/>
      <c r="K156" s="2079"/>
      <c r="L156" s="2039" t="s">
        <v>3424</v>
      </c>
    </row>
    <row r="157" spans="1:12" s="2033" customFormat="1" ht="10.5" customHeight="1">
      <c r="A157" s="2054"/>
      <c r="B157" s="2053"/>
      <c r="C157" s="2053"/>
      <c r="D157" s="2117" t="s">
        <v>4132</v>
      </c>
      <c r="E157" s="2040" t="s">
        <v>2864</v>
      </c>
      <c r="F157" s="2150" t="s">
        <v>4266</v>
      </c>
      <c r="G157" s="2059"/>
      <c r="H157" s="2059"/>
      <c r="I157" s="2082"/>
      <c r="J157" s="2083"/>
      <c r="K157" s="2068"/>
      <c r="L157" s="2039" t="s">
        <v>3424</v>
      </c>
    </row>
    <row r="158" spans="1:12" s="2033" customFormat="1" ht="10.5" customHeight="1">
      <c r="A158" s="2054"/>
      <c r="B158" s="2053"/>
      <c r="C158" s="2053"/>
      <c r="D158" s="2117"/>
      <c r="E158" s="2069"/>
      <c r="F158" s="2059" t="s">
        <v>3204</v>
      </c>
      <c r="G158" s="2059"/>
      <c r="H158" s="2059"/>
      <c r="I158" s="2082"/>
      <c r="J158" s="2083"/>
      <c r="K158" s="2068"/>
      <c r="L158" s="2039" t="s">
        <v>3424</v>
      </c>
    </row>
    <row r="159" spans="1:12" s="2033" customFormat="1" ht="10.5" customHeight="1">
      <c r="A159" s="2054"/>
      <c r="B159" s="2053"/>
      <c r="C159" s="2053"/>
      <c r="D159" s="2059"/>
      <c r="E159" s="2069"/>
      <c r="F159" s="2059" t="s">
        <v>3205</v>
      </c>
      <c r="G159" s="2059"/>
      <c r="H159" s="2059"/>
      <c r="I159" s="2082"/>
      <c r="J159" s="2083"/>
      <c r="K159" s="2068"/>
      <c r="L159" s="2039" t="s">
        <v>3424</v>
      </c>
    </row>
    <row r="160" spans="1:12" s="2033" customFormat="1" ht="10.5" customHeight="1">
      <c r="A160" s="2054"/>
      <c r="B160" s="2157"/>
      <c r="C160" s="2059"/>
      <c r="D160" s="2059"/>
      <c r="E160" s="2069"/>
      <c r="F160" s="2059" t="s">
        <v>4129</v>
      </c>
      <c r="G160" s="2059"/>
      <c r="H160" s="2059"/>
      <c r="I160" s="2082"/>
      <c r="J160" s="2083"/>
      <c r="K160" s="2068"/>
      <c r="L160" s="2039" t="s">
        <v>3424</v>
      </c>
    </row>
    <row r="161" spans="1:12" s="2033" customFormat="1" ht="10.5" customHeight="1">
      <c r="A161" s="2054"/>
      <c r="B161" s="2157"/>
      <c r="C161" s="2055"/>
      <c r="D161" s="2054"/>
      <c r="E161" s="2069"/>
      <c r="F161" s="2059" t="s">
        <v>4130</v>
      </c>
      <c r="G161" s="2059"/>
      <c r="H161" s="2059"/>
      <c r="I161" s="2082"/>
      <c r="J161" s="2083"/>
      <c r="K161" s="2068"/>
      <c r="L161" s="2039" t="s">
        <v>3424</v>
      </c>
    </row>
    <row r="162" spans="1:12" s="2033" customFormat="1" ht="10.5" customHeight="1">
      <c r="A162" s="2054"/>
      <c r="B162" s="2059"/>
      <c r="C162" s="2060"/>
      <c r="D162" s="2059"/>
      <c r="E162" s="2069"/>
      <c r="F162" s="2059" t="s">
        <v>4131</v>
      </c>
      <c r="G162" s="2059"/>
      <c r="H162" s="2059"/>
      <c r="I162" s="2082"/>
      <c r="J162" s="2083"/>
      <c r="K162" s="2068"/>
      <c r="L162" s="2039" t="s">
        <v>3424</v>
      </c>
    </row>
    <row r="163" spans="1:12" s="2033" customFormat="1" ht="10.5" customHeight="1">
      <c r="A163" s="2054"/>
      <c r="B163" s="2059"/>
      <c r="C163" s="2055"/>
      <c r="D163" s="2054" t="s">
        <v>2974</v>
      </c>
      <c r="E163" s="2040" t="s">
        <v>2865</v>
      </c>
      <c r="F163" s="2059" t="s">
        <v>3206</v>
      </c>
      <c r="G163" s="2059"/>
      <c r="H163" s="2059"/>
      <c r="I163" s="2082"/>
      <c r="J163" s="2083"/>
      <c r="K163" s="2068"/>
      <c r="L163" s="2039" t="s">
        <v>3424</v>
      </c>
    </row>
    <row r="164" spans="1:12" s="2033" customFormat="1" ht="10.5" customHeight="1">
      <c r="A164" s="2054"/>
      <c r="B164" s="2059"/>
      <c r="C164" s="2059"/>
      <c r="D164" s="2055"/>
      <c r="E164" s="2069"/>
      <c r="F164" s="2059" t="s">
        <v>3207</v>
      </c>
      <c r="G164" s="2059"/>
      <c r="H164" s="2059"/>
      <c r="I164" s="2082"/>
      <c r="J164" s="2083"/>
      <c r="K164" s="2068"/>
      <c r="L164" s="2039" t="s">
        <v>3424</v>
      </c>
    </row>
    <row r="165" spans="1:12" s="2033" customFormat="1" ht="10.5" customHeight="1">
      <c r="A165" s="2054"/>
      <c r="B165" s="2055"/>
      <c r="C165" s="2055"/>
      <c r="D165" s="2054" t="s">
        <v>2981</v>
      </c>
      <c r="E165" s="2040" t="s">
        <v>2867</v>
      </c>
      <c r="F165" s="2059" t="s">
        <v>4268</v>
      </c>
      <c r="G165" s="2059"/>
      <c r="H165" s="2059"/>
      <c r="I165" s="2082"/>
      <c r="J165" s="2083"/>
      <c r="K165" s="2068"/>
      <c r="L165" s="2039" t="s">
        <v>3424</v>
      </c>
    </row>
    <row r="166" spans="1:12" s="2033" customFormat="1" ht="10.5" customHeight="1">
      <c r="A166" s="2114">
        <v>31</v>
      </c>
      <c r="B166" s="2081" t="s">
        <v>3214</v>
      </c>
      <c r="C166" s="2081"/>
      <c r="D166" s="2074" t="s">
        <v>2972</v>
      </c>
      <c r="E166" s="2038" t="s">
        <v>2866</v>
      </c>
      <c r="F166" s="2080" t="s">
        <v>3212</v>
      </c>
      <c r="G166" s="2080"/>
      <c r="H166" s="2080"/>
      <c r="I166" s="2077"/>
      <c r="J166" s="2078"/>
      <c r="K166" s="2079"/>
      <c r="L166" s="2039" t="s">
        <v>3424</v>
      </c>
    </row>
    <row r="167" spans="1:12" s="2033" customFormat="1" ht="10.5" customHeight="1">
      <c r="A167" s="2054"/>
      <c r="B167" s="2053"/>
      <c r="C167" s="2053"/>
      <c r="D167" s="2055"/>
      <c r="E167" s="2040"/>
      <c r="F167" s="2057" t="s">
        <v>3213</v>
      </c>
      <c r="G167" s="2057"/>
      <c r="H167" s="2057"/>
      <c r="I167" s="2057"/>
      <c r="J167" s="2057"/>
      <c r="K167" s="2058"/>
      <c r="L167" s="2039" t="s">
        <v>3424</v>
      </c>
    </row>
    <row r="168" spans="1:12" s="2033" customFormat="1" ht="10.5" customHeight="1">
      <c r="A168" s="2114">
        <v>32</v>
      </c>
      <c r="B168" s="2074" t="s">
        <v>3217</v>
      </c>
      <c r="C168" s="2074"/>
      <c r="D168" s="2074"/>
      <c r="E168" s="2038" t="s">
        <v>2866</v>
      </c>
      <c r="F168" s="2080" t="s">
        <v>4269</v>
      </c>
      <c r="G168" s="2080"/>
      <c r="H168" s="2080"/>
      <c r="I168" s="2077"/>
      <c r="J168" s="2078"/>
      <c r="K168" s="2079"/>
      <c r="L168" s="2039" t="s">
        <v>3424</v>
      </c>
    </row>
    <row r="169" spans="1:12" s="2033" customFormat="1" ht="10.5" customHeight="1">
      <c r="A169" s="2114">
        <v>33</v>
      </c>
      <c r="B169" s="2081" t="s">
        <v>4133</v>
      </c>
      <c r="C169" s="2081"/>
      <c r="D169" s="2074"/>
      <c r="E169" s="2038" t="s">
        <v>2866</v>
      </c>
      <c r="F169" s="2080" t="s">
        <v>3006</v>
      </c>
      <c r="G169" s="2080"/>
      <c r="H169" s="2080"/>
      <c r="I169" s="2077"/>
      <c r="J169" s="2078"/>
      <c r="K169" s="2079"/>
      <c r="L169" s="2039" t="s">
        <v>3424</v>
      </c>
    </row>
    <row r="170" spans="1:12" s="2033" customFormat="1" ht="10.5" customHeight="1">
      <c r="A170" s="2054"/>
      <c r="B170" s="2053"/>
      <c r="C170" s="2053"/>
      <c r="D170" s="2055"/>
      <c r="E170" s="2040" t="s">
        <v>2864</v>
      </c>
      <c r="F170" s="2059" t="s">
        <v>4272</v>
      </c>
      <c r="G170" s="2059"/>
      <c r="H170" s="2059"/>
      <c r="I170" s="2082"/>
      <c r="J170" s="2083"/>
      <c r="K170" s="2068"/>
      <c r="L170" s="2039" t="s">
        <v>3424</v>
      </c>
    </row>
    <row r="171" spans="1:12" s="2033" customFormat="1" ht="10.5" customHeight="1">
      <c r="A171" s="2054"/>
      <c r="B171" s="2053"/>
      <c r="C171" s="2053"/>
      <c r="D171" s="2055"/>
      <c r="E171" s="2040" t="s">
        <v>2865</v>
      </c>
      <c r="F171" s="2059" t="s">
        <v>4210</v>
      </c>
      <c r="G171" s="2059"/>
      <c r="H171" s="2059"/>
      <c r="I171" s="2082"/>
      <c r="J171" s="2083"/>
      <c r="K171" s="2068"/>
      <c r="L171" s="2039" t="s">
        <v>3424</v>
      </c>
    </row>
    <row r="172" spans="1:12" s="2033" customFormat="1" ht="10.5" customHeight="1">
      <c r="A172" s="2054"/>
      <c r="B172" s="2055"/>
      <c r="C172" s="2055"/>
      <c r="D172" s="2055"/>
      <c r="E172" s="2040" t="s">
        <v>2867</v>
      </c>
      <c r="F172" s="2059" t="s">
        <v>3215</v>
      </c>
      <c r="G172" s="2059"/>
      <c r="H172" s="2059"/>
      <c r="I172" s="2082"/>
      <c r="J172" s="2083"/>
      <c r="K172" s="2068"/>
      <c r="L172" s="2039" t="s">
        <v>3424</v>
      </c>
    </row>
    <row r="173" spans="1:12" s="2033" customFormat="1" ht="10.5" customHeight="1">
      <c r="A173" s="2105"/>
      <c r="B173" s="2106"/>
      <c r="C173" s="2106"/>
      <c r="D173" s="2106"/>
      <c r="E173" s="2095" t="s">
        <v>2868</v>
      </c>
      <c r="F173" s="2107" t="s">
        <v>3216</v>
      </c>
      <c r="G173" s="2107"/>
      <c r="H173" s="2107"/>
      <c r="I173" s="2082"/>
      <c r="J173" s="2083"/>
      <c r="K173" s="2068"/>
      <c r="L173" s="2039" t="s">
        <v>3424</v>
      </c>
    </row>
    <row r="174" spans="1:12" s="2033" customFormat="1" ht="10.5" customHeight="1">
      <c r="A174" s="2114">
        <v>34</v>
      </c>
      <c r="B174" s="2081" t="s">
        <v>3218</v>
      </c>
      <c r="C174" s="2081"/>
      <c r="D174" s="2055"/>
      <c r="E174" s="2040" t="s">
        <v>2866</v>
      </c>
      <c r="F174" s="2150" t="s">
        <v>4211</v>
      </c>
      <c r="G174" s="2059"/>
      <c r="H174" s="2059"/>
      <c r="I174" s="2077"/>
      <c r="J174" s="2078"/>
      <c r="K174" s="2079"/>
      <c r="L174" s="2039" t="s">
        <v>3424</v>
      </c>
    </row>
    <row r="175" spans="1:12" s="2033" customFormat="1" ht="10.5" customHeight="1">
      <c r="A175" s="2054"/>
      <c r="B175" s="2053"/>
      <c r="C175" s="2053"/>
      <c r="D175" s="2055"/>
      <c r="E175" s="2040" t="s">
        <v>2864</v>
      </c>
      <c r="F175" s="2059" t="s">
        <v>4134</v>
      </c>
      <c r="G175" s="2059"/>
      <c r="H175" s="2059"/>
      <c r="I175" s="2077"/>
      <c r="J175" s="2078"/>
      <c r="K175" s="2079"/>
      <c r="L175" s="2039" t="s">
        <v>3424</v>
      </c>
    </row>
    <row r="176" spans="1:12" s="2033" customFormat="1" ht="10.5" customHeight="1">
      <c r="A176" s="2054"/>
      <c r="B176" s="2053"/>
      <c r="C176" s="2053"/>
      <c r="D176" s="2055"/>
      <c r="E176" s="2040" t="s">
        <v>2865</v>
      </c>
      <c r="F176" s="2059" t="s">
        <v>4135</v>
      </c>
      <c r="G176" s="2059"/>
      <c r="H176" s="2059"/>
      <c r="I176" s="2077"/>
      <c r="J176" s="2078"/>
      <c r="K176" s="2079"/>
      <c r="L176" s="2039" t="s">
        <v>3424</v>
      </c>
    </row>
    <row r="177" spans="1:12" s="2033" customFormat="1" ht="10.5" customHeight="1">
      <c r="A177" s="2105"/>
      <c r="B177" s="2106"/>
      <c r="C177" s="2106"/>
      <c r="D177" s="2106"/>
      <c r="E177" s="2095" t="s">
        <v>2867</v>
      </c>
      <c r="F177" s="2107" t="s">
        <v>4136</v>
      </c>
      <c r="G177" s="2107"/>
      <c r="H177" s="2107"/>
      <c r="I177" s="2077"/>
      <c r="J177" s="2078"/>
      <c r="K177" s="2079"/>
      <c r="L177" s="2039" t="s">
        <v>3424</v>
      </c>
    </row>
    <row r="178" spans="1:12" s="2033" customFormat="1" ht="10.5" customHeight="1">
      <c r="A178" s="2054">
        <v>35</v>
      </c>
      <c r="B178" s="2081" t="s">
        <v>3219</v>
      </c>
      <c r="C178" s="2081"/>
      <c r="D178" s="2055" t="s">
        <v>2972</v>
      </c>
      <c r="E178" s="2040" t="s">
        <v>2866</v>
      </c>
      <c r="F178" s="2059" t="s">
        <v>4138</v>
      </c>
      <c r="G178" s="2059"/>
      <c r="H178" s="2059"/>
      <c r="I178" s="2077"/>
      <c r="J178" s="2078"/>
      <c r="K178" s="2079"/>
      <c r="L178" s="2039" t="s">
        <v>3424</v>
      </c>
    </row>
    <row r="179" spans="1:12" s="2033" customFormat="1" ht="10.5" customHeight="1">
      <c r="A179" s="2054"/>
      <c r="B179" s="2053"/>
      <c r="C179" s="2053"/>
      <c r="D179" s="2055"/>
      <c r="E179" s="2040"/>
      <c r="F179" s="2059" t="s">
        <v>4139</v>
      </c>
      <c r="G179" s="2059"/>
      <c r="H179" s="2059"/>
      <c r="I179" s="2082"/>
      <c r="J179" s="2083"/>
      <c r="K179" s="2068"/>
      <c r="L179" s="2039" t="s">
        <v>3424</v>
      </c>
    </row>
    <row r="180" spans="1:12" s="2033" customFormat="1" ht="10.5" customHeight="1">
      <c r="A180" s="2054"/>
      <c r="B180" s="2053"/>
      <c r="C180" s="2053"/>
      <c r="D180" s="2054" t="s">
        <v>2957</v>
      </c>
      <c r="E180" s="2040" t="s">
        <v>2864</v>
      </c>
      <c r="F180" s="2059" t="s">
        <v>4137</v>
      </c>
      <c r="G180" s="2059"/>
      <c r="H180" s="2059"/>
      <c r="I180" s="2082"/>
      <c r="J180" s="2083"/>
      <c r="K180" s="2068"/>
      <c r="L180" s="2039" t="s">
        <v>3424</v>
      </c>
    </row>
    <row r="181" spans="1:12" s="2033" customFormat="1" ht="10.5" customHeight="1">
      <c r="A181" s="2054"/>
      <c r="B181" s="2055"/>
      <c r="C181" s="2055"/>
      <c r="D181" s="2055" t="s">
        <v>2974</v>
      </c>
      <c r="E181" s="2040" t="s">
        <v>2865</v>
      </c>
      <c r="F181" s="2059" t="s">
        <v>4140</v>
      </c>
      <c r="G181" s="2059"/>
      <c r="H181" s="2059"/>
      <c r="I181" s="2082"/>
      <c r="J181" s="2083"/>
      <c r="K181" s="2068"/>
      <c r="L181" s="2039" t="s">
        <v>3424</v>
      </c>
    </row>
    <row r="182" spans="1:12" s="2033" customFormat="1" ht="10.5" customHeight="1">
      <c r="A182" s="2054"/>
      <c r="B182" s="2055"/>
      <c r="C182" s="2055"/>
      <c r="D182" s="2055"/>
      <c r="E182" s="2040"/>
      <c r="F182" s="2059" t="s">
        <v>4141</v>
      </c>
      <c r="G182" s="2059"/>
      <c r="H182" s="2059"/>
      <c r="I182" s="2082"/>
      <c r="J182" s="2083"/>
      <c r="K182" s="2068"/>
      <c r="L182" s="2039" t="s">
        <v>3424</v>
      </c>
    </row>
    <row r="183" spans="1:12" s="2033" customFormat="1" ht="10.5" customHeight="1">
      <c r="A183" s="2054"/>
      <c r="B183" s="2055"/>
      <c r="C183" s="2055"/>
      <c r="D183" s="2055"/>
      <c r="E183" s="2040"/>
      <c r="F183" s="2059" t="s">
        <v>4142</v>
      </c>
      <c r="G183" s="2059"/>
      <c r="H183" s="2059"/>
      <c r="I183" s="2082"/>
      <c r="J183" s="2083"/>
      <c r="K183" s="2068"/>
      <c r="L183" s="2039" t="s">
        <v>3424</v>
      </c>
    </row>
    <row r="184" spans="1:12" s="2033" customFormat="1" ht="10.5" customHeight="1">
      <c r="A184" s="2054"/>
      <c r="B184" s="2055"/>
      <c r="C184" s="2055"/>
      <c r="D184" s="2055"/>
      <c r="E184" s="2040"/>
      <c r="F184" s="2059" t="s">
        <v>4143</v>
      </c>
      <c r="G184" s="2059"/>
      <c r="H184" s="2059"/>
      <c r="I184" s="2082"/>
      <c r="J184" s="2083"/>
      <c r="K184" s="2068"/>
      <c r="L184" s="2039" t="s">
        <v>3424</v>
      </c>
    </row>
    <row r="185" spans="1:12" s="2033" customFormat="1" ht="10.5" customHeight="1">
      <c r="A185" s="2054"/>
      <c r="B185" s="2055"/>
      <c r="C185" s="2055"/>
      <c r="D185" s="2055"/>
      <c r="E185" s="2040"/>
      <c r="F185" s="2059" t="s">
        <v>4144</v>
      </c>
      <c r="G185" s="2059"/>
      <c r="H185" s="2059"/>
      <c r="I185" s="2082"/>
      <c r="J185" s="2083"/>
      <c r="K185" s="2068"/>
      <c r="L185" s="2039" t="s">
        <v>3424</v>
      </c>
    </row>
    <row r="186" spans="1:12" s="2033" customFormat="1" ht="10.5" customHeight="1">
      <c r="A186" s="2105"/>
      <c r="B186" s="2106"/>
      <c r="C186" s="2106"/>
      <c r="D186" s="2107"/>
      <c r="E186" s="2095"/>
      <c r="F186" s="2107" t="s">
        <v>4145</v>
      </c>
      <c r="G186" s="2107"/>
      <c r="H186" s="2107"/>
      <c r="I186" s="2082"/>
      <c r="J186" s="2083"/>
      <c r="K186" s="2068"/>
      <c r="L186" s="2039" t="s">
        <v>3424</v>
      </c>
    </row>
    <row r="187" spans="1:12" s="2033" customFormat="1" ht="10.5" customHeight="1">
      <c r="A187" s="2114">
        <v>36</v>
      </c>
      <c r="B187" s="2081" t="s">
        <v>4146</v>
      </c>
      <c r="C187" s="2081"/>
      <c r="D187" s="2074"/>
      <c r="E187" s="2038" t="s">
        <v>2866</v>
      </c>
      <c r="F187" s="2080" t="s">
        <v>4147</v>
      </c>
      <c r="G187" s="2080"/>
      <c r="H187" s="2080"/>
      <c r="I187" s="2077"/>
      <c r="J187" s="2080"/>
      <c r="K187" s="2079"/>
      <c r="L187" s="2039" t="s">
        <v>3424</v>
      </c>
    </row>
    <row r="188" spans="1:12" s="2033" customFormat="1" ht="21.75" customHeight="1">
      <c r="A188" s="2054"/>
      <c r="B188" s="2053"/>
      <c r="C188" s="2053"/>
      <c r="D188" s="2055"/>
      <c r="E188" s="2040" t="s">
        <v>2864</v>
      </c>
      <c r="F188" s="2056" t="s">
        <v>4148</v>
      </c>
      <c r="G188" s="2057"/>
      <c r="H188" s="2057"/>
      <c r="I188" s="2082"/>
      <c r="J188" s="2083"/>
      <c r="K188" s="2068"/>
      <c r="L188" s="2039" t="s">
        <v>3424</v>
      </c>
    </row>
    <row r="189" spans="1:12" s="2033" customFormat="1" ht="10.5" customHeight="1">
      <c r="A189" s="2054"/>
      <c r="B189" s="2053"/>
      <c r="C189" s="2053"/>
      <c r="D189" s="2055"/>
      <c r="E189" s="2040" t="s">
        <v>2865</v>
      </c>
      <c r="F189" s="2059" t="s">
        <v>4149</v>
      </c>
      <c r="G189" s="2059"/>
      <c r="H189" s="2059"/>
      <c r="I189" s="2082"/>
      <c r="J189" s="2083"/>
      <c r="K189" s="2068"/>
      <c r="L189" s="2039" t="s">
        <v>3424</v>
      </c>
    </row>
    <row r="190" spans="1:12" s="2033" customFormat="1" ht="10.5" customHeight="1">
      <c r="A190" s="2054"/>
      <c r="B190" s="2055"/>
      <c r="C190" s="2055"/>
      <c r="D190" s="2055"/>
      <c r="E190" s="2040" t="s">
        <v>2867</v>
      </c>
      <c r="F190" s="2059" t="s">
        <v>4150</v>
      </c>
      <c r="G190" s="2059"/>
      <c r="H190" s="2059"/>
      <c r="I190" s="2082"/>
      <c r="J190" s="2083"/>
      <c r="K190" s="2068"/>
      <c r="L190" s="2039" t="s">
        <v>3424</v>
      </c>
    </row>
    <row r="191" spans="1:12" s="2033" customFormat="1" ht="10.5" customHeight="1">
      <c r="A191" s="2054"/>
      <c r="B191" s="2055"/>
      <c r="C191" s="2055"/>
      <c r="D191" s="2055"/>
      <c r="E191" s="2040" t="s">
        <v>2868</v>
      </c>
      <c r="F191" s="2059" t="s">
        <v>4151</v>
      </c>
      <c r="G191" s="2059"/>
      <c r="H191" s="2059"/>
      <c r="I191" s="2082"/>
      <c r="J191" s="2083"/>
      <c r="K191" s="2068"/>
      <c r="L191" s="2039" t="s">
        <v>3424</v>
      </c>
    </row>
    <row r="192" spans="1:12" s="2033" customFormat="1" ht="10.5" customHeight="1">
      <c r="A192" s="2054"/>
      <c r="B192" s="2055"/>
      <c r="C192" s="2055"/>
      <c r="D192" s="2055"/>
      <c r="E192" s="2040" t="s">
        <v>2869</v>
      </c>
      <c r="F192" s="2059" t="s">
        <v>4152</v>
      </c>
      <c r="G192" s="2059"/>
      <c r="H192" s="2059"/>
      <c r="I192" s="2082"/>
      <c r="J192" s="2083"/>
      <c r="K192" s="2068"/>
      <c r="L192" s="2039" t="s">
        <v>3424</v>
      </c>
    </row>
    <row r="193" spans="1:12" s="2033" customFormat="1" ht="10.5" customHeight="1">
      <c r="A193" s="2054"/>
      <c r="B193" s="2055"/>
      <c r="C193" s="2055"/>
      <c r="D193" s="2055"/>
      <c r="E193" s="2095" t="s">
        <v>2870</v>
      </c>
      <c r="F193" s="2059" t="s">
        <v>4153</v>
      </c>
      <c r="G193" s="2059"/>
      <c r="H193" s="2059"/>
      <c r="I193" s="2082"/>
      <c r="J193" s="2083"/>
      <c r="K193" s="2068"/>
      <c r="L193" s="2039" t="s">
        <v>3424</v>
      </c>
    </row>
    <row r="194" spans="1:12" s="2033" customFormat="1" ht="21.75" customHeight="1">
      <c r="A194" s="2119">
        <v>37</v>
      </c>
      <c r="B194" s="2120" t="s">
        <v>3220</v>
      </c>
      <c r="C194" s="2120"/>
      <c r="D194" s="2086" t="s">
        <v>2957</v>
      </c>
      <c r="E194" s="2087" t="s">
        <v>2866</v>
      </c>
      <c r="F194" s="2158" t="s">
        <v>4154</v>
      </c>
      <c r="G194" s="2159"/>
      <c r="H194" s="2159"/>
      <c r="I194" s="2159"/>
      <c r="J194" s="2159"/>
      <c r="K194" s="2160"/>
      <c r="L194" s="2039" t="s">
        <v>3424</v>
      </c>
    </row>
    <row r="195" spans="1:12" s="2033" customFormat="1" ht="10.5" customHeight="1">
      <c r="A195" s="2054">
        <v>38</v>
      </c>
      <c r="B195" s="2053" t="s">
        <v>3221</v>
      </c>
      <c r="C195" s="2053"/>
      <c r="D195" s="2055" t="s">
        <v>2972</v>
      </c>
      <c r="E195" s="2040" t="s">
        <v>2866</v>
      </c>
      <c r="F195" s="2059" t="s">
        <v>487</v>
      </c>
      <c r="G195" s="2059"/>
      <c r="H195" s="2068"/>
      <c r="I195" s="2082"/>
      <c r="J195" s="2083"/>
      <c r="K195" s="2068"/>
      <c r="L195" s="2039" t="s">
        <v>3424</v>
      </c>
    </row>
    <row r="196" spans="1:12" s="2033" customFormat="1" ht="10.5" customHeight="1">
      <c r="A196" s="2054"/>
      <c r="B196" s="2053"/>
      <c r="C196" s="2053"/>
      <c r="D196" s="2055"/>
      <c r="E196" s="2040" t="s">
        <v>2864</v>
      </c>
      <c r="F196" s="2059" t="s">
        <v>443</v>
      </c>
      <c r="G196" s="2059"/>
      <c r="H196" s="2068"/>
      <c r="I196" s="2034"/>
      <c r="J196" s="2041"/>
      <c r="L196" s="2039" t="s">
        <v>3424</v>
      </c>
    </row>
    <row r="197" spans="1:12" s="2033" customFormat="1" ht="10.5" customHeight="1">
      <c r="A197" s="2054"/>
      <c r="B197" s="2053"/>
      <c r="C197" s="2053"/>
      <c r="D197" s="2055"/>
      <c r="E197" s="2040" t="s">
        <v>2865</v>
      </c>
      <c r="F197" s="2059" t="s">
        <v>3007</v>
      </c>
      <c r="G197" s="2059"/>
      <c r="H197" s="2068"/>
      <c r="I197" s="2034"/>
      <c r="J197" s="2041"/>
      <c r="L197" s="2039" t="s">
        <v>3424</v>
      </c>
    </row>
    <row r="198" spans="1:12" s="2033" customFormat="1" ht="10.5" customHeight="1">
      <c r="A198" s="2054"/>
      <c r="B198" s="2059"/>
      <c r="C198" s="2060"/>
      <c r="D198" s="2117" t="s">
        <v>4132</v>
      </c>
      <c r="E198" s="2040" t="s">
        <v>2867</v>
      </c>
      <c r="F198" s="2059" t="s">
        <v>3008</v>
      </c>
      <c r="G198" s="2059"/>
      <c r="H198" s="2068"/>
      <c r="I198" s="2034"/>
      <c r="J198" s="2041"/>
      <c r="L198" s="2039" t="s">
        <v>3424</v>
      </c>
    </row>
    <row r="199" spans="1:12" s="2033" customFormat="1" ht="10.5" customHeight="1">
      <c r="A199" s="2054"/>
      <c r="B199" s="2055"/>
      <c r="C199" s="2055"/>
      <c r="D199" s="2161"/>
      <c r="E199" s="2040" t="s">
        <v>2868</v>
      </c>
      <c r="F199" s="2059" t="s">
        <v>3222</v>
      </c>
      <c r="G199" s="2059"/>
      <c r="H199" s="2068"/>
      <c r="I199" s="2034"/>
      <c r="J199" s="2041"/>
      <c r="L199" s="2039" t="s">
        <v>3424</v>
      </c>
    </row>
    <row r="200" spans="1:12" s="2033" customFormat="1" ht="10.5" customHeight="1">
      <c r="A200" s="2114" t="s">
        <v>3226</v>
      </c>
      <c r="B200" s="2074" t="s">
        <v>3223</v>
      </c>
      <c r="C200" s="2074"/>
      <c r="D200" s="2074" t="s">
        <v>2957</v>
      </c>
      <c r="E200" s="2038" t="s">
        <v>2866</v>
      </c>
      <c r="F200" s="2080" t="s">
        <v>3224</v>
      </c>
      <c r="G200" s="2080"/>
      <c r="H200" s="2079"/>
      <c r="I200" s="2077"/>
      <c r="J200" s="2078"/>
      <c r="K200" s="2079"/>
      <c r="L200" s="2039" t="s">
        <v>3421</v>
      </c>
    </row>
    <row r="201" spans="1:12" s="2033" customFormat="1" ht="10.5" customHeight="1">
      <c r="A201" s="2054"/>
      <c r="B201" s="2059"/>
      <c r="C201" s="2060"/>
      <c r="D201" s="2055" t="s">
        <v>3208</v>
      </c>
      <c r="E201" s="2040" t="s">
        <v>2864</v>
      </c>
      <c r="F201" s="2059" t="s">
        <v>3225</v>
      </c>
      <c r="G201" s="2059"/>
      <c r="H201" s="2068"/>
      <c r="I201" s="2034"/>
      <c r="J201" s="2041"/>
      <c r="L201" s="2039" t="s">
        <v>3421</v>
      </c>
    </row>
    <row r="202" spans="1:12" s="2033" customFormat="1" ht="10.5" customHeight="1">
      <c r="A202" s="2054"/>
      <c r="B202" s="2059"/>
      <c r="C202" s="2060"/>
      <c r="D202" s="2055" t="s">
        <v>2985</v>
      </c>
      <c r="E202" s="2040" t="s">
        <v>2865</v>
      </c>
      <c r="F202" s="2059" t="s">
        <v>3326</v>
      </c>
      <c r="G202" s="2059"/>
      <c r="H202" s="2068"/>
      <c r="I202" s="2034"/>
      <c r="J202" s="2041"/>
      <c r="L202" s="2039" t="s">
        <v>3421</v>
      </c>
    </row>
    <row r="203" spans="1:12" s="2033" customFormat="1" ht="10.5" customHeight="1">
      <c r="A203" s="2054"/>
      <c r="B203" s="2059"/>
      <c r="C203" s="2060"/>
      <c r="D203" s="2055" t="s">
        <v>4157</v>
      </c>
      <c r="E203" s="2040" t="s">
        <v>2867</v>
      </c>
      <c r="F203" s="2059" t="s">
        <v>4158</v>
      </c>
      <c r="G203" s="2059"/>
      <c r="H203" s="2068"/>
      <c r="I203" s="2034"/>
      <c r="J203" s="2041"/>
      <c r="L203" s="2039" t="s">
        <v>3424</v>
      </c>
    </row>
    <row r="204" spans="1:12" s="2033" customFormat="1" ht="10.5" customHeight="1">
      <c r="A204" s="2054"/>
      <c r="B204" s="2059"/>
      <c r="C204" s="2060"/>
      <c r="D204" s="2055" t="s">
        <v>4155</v>
      </c>
      <c r="E204" s="2040" t="s">
        <v>2868</v>
      </c>
      <c r="F204" s="2059" t="s">
        <v>4156</v>
      </c>
      <c r="G204" s="2059"/>
      <c r="H204" s="2068"/>
      <c r="I204" s="2034"/>
      <c r="J204" s="2041"/>
      <c r="L204" s="2039" t="s">
        <v>3424</v>
      </c>
    </row>
    <row r="205" spans="1:12" s="2033" customFormat="1" ht="10.5" customHeight="1">
      <c r="A205" s="2114" t="s">
        <v>3227</v>
      </c>
      <c r="B205" s="2074" t="s">
        <v>4159</v>
      </c>
      <c r="C205" s="2074"/>
      <c r="D205" s="2074"/>
      <c r="E205" s="2038" t="s">
        <v>2866</v>
      </c>
      <c r="F205" s="2080" t="s">
        <v>4160</v>
      </c>
      <c r="G205" s="2080"/>
      <c r="H205" s="2079"/>
      <c r="I205" s="2077"/>
      <c r="J205" s="2078"/>
      <c r="K205" s="2079"/>
      <c r="L205" s="2039" t="s">
        <v>3421</v>
      </c>
    </row>
    <row r="206" spans="1:12" s="2033" customFormat="1" ht="10.5" customHeight="1">
      <c r="A206" s="2054"/>
      <c r="B206" s="2055"/>
      <c r="C206" s="2055"/>
      <c r="D206" s="2055"/>
      <c r="E206" s="2040" t="s">
        <v>2864</v>
      </c>
      <c r="F206" s="2059" t="s">
        <v>4161</v>
      </c>
      <c r="G206" s="2059"/>
      <c r="H206" s="2068"/>
      <c r="I206" s="2034"/>
      <c r="J206" s="2041"/>
      <c r="L206" s="2039" t="s">
        <v>3421</v>
      </c>
    </row>
    <row r="207" spans="1:12" s="2033" customFormat="1" ht="10.5" customHeight="1">
      <c r="A207" s="2054"/>
      <c r="B207" s="2055"/>
      <c r="C207" s="2055"/>
      <c r="D207" s="2055"/>
      <c r="E207" s="2040" t="s">
        <v>2865</v>
      </c>
      <c r="F207" s="2059" t="s">
        <v>4270</v>
      </c>
      <c r="G207" s="2059"/>
      <c r="H207" s="2068"/>
      <c r="I207" s="2034"/>
      <c r="L207" s="2039" t="s">
        <v>3421</v>
      </c>
    </row>
    <row r="208" spans="1:12" s="2033" customFormat="1" ht="10.5" customHeight="1">
      <c r="A208" s="2114" t="s">
        <v>3229</v>
      </c>
      <c r="B208" s="2074" t="s">
        <v>3228</v>
      </c>
      <c r="C208" s="2074"/>
      <c r="D208" s="2074"/>
      <c r="E208" s="2162" t="s">
        <v>2866</v>
      </c>
      <c r="F208" s="2080" t="s">
        <v>4271</v>
      </c>
      <c r="G208" s="2080"/>
      <c r="H208" s="2079"/>
      <c r="I208" s="2077"/>
      <c r="J208" s="2078"/>
      <c r="K208" s="2079"/>
      <c r="L208" s="2039" t="s">
        <v>3424</v>
      </c>
    </row>
    <row r="209" spans="1:12" s="2033" customFormat="1" ht="21.75" customHeight="1">
      <c r="A209" s="2119" t="s">
        <v>3231</v>
      </c>
      <c r="B209" s="2086" t="s">
        <v>3230</v>
      </c>
      <c r="C209" s="2086"/>
      <c r="D209" s="2086"/>
      <c r="E209" s="2087" t="s">
        <v>2866</v>
      </c>
      <c r="F209" s="2163" t="s">
        <v>4162</v>
      </c>
      <c r="G209" s="2164"/>
      <c r="H209" s="2165"/>
      <c r="I209" s="2077"/>
      <c r="J209" s="2078"/>
      <c r="K209" s="2079"/>
      <c r="L209" s="2039" t="s">
        <v>3424</v>
      </c>
    </row>
    <row r="210" spans="1:12" s="2033" customFormat="1" ht="10.5" customHeight="1">
      <c r="A210" s="2054" t="s">
        <v>4212</v>
      </c>
      <c r="B210" s="2055" t="s">
        <v>3073</v>
      </c>
      <c r="C210" s="2055"/>
      <c r="D210" s="2055"/>
      <c r="E210" s="2018" t="s">
        <v>2938</v>
      </c>
      <c r="F210" s="2059"/>
      <c r="G210" s="2166" t="s">
        <v>3074</v>
      </c>
      <c r="H210" s="2059"/>
      <c r="I210" s="2050"/>
      <c r="J210" s="2050"/>
      <c r="K210" s="2050"/>
    </row>
    <row r="211" spans="1:12" s="2033" customFormat="1" ht="10.5" customHeight="1">
      <c r="A211" s="2054"/>
      <c r="B211" s="2167" t="s">
        <v>3060</v>
      </c>
      <c r="C211" s="2167"/>
      <c r="D211" s="2168" t="s">
        <v>3061</v>
      </c>
      <c r="E211" s="2169"/>
      <c r="F211" s="2170" t="s">
        <v>3072</v>
      </c>
      <c r="G211" s="2131"/>
      <c r="H211" s="2131"/>
      <c r="I211" s="2131"/>
      <c r="J211" s="2131"/>
      <c r="K211" s="2131"/>
    </row>
    <row r="212" spans="1:12" s="2033" customFormat="1" ht="21.75" customHeight="1">
      <c r="A212" s="2054"/>
      <c r="B212" s="2171" t="s">
        <v>4537</v>
      </c>
      <c r="C212" s="2172"/>
      <c r="D212" s="2173" t="s">
        <v>4538</v>
      </c>
      <c r="E212" s="2174" t="s">
        <v>2866</v>
      </c>
      <c r="F212" s="2175" t="s">
        <v>4533</v>
      </c>
      <c r="G212" s="2175"/>
      <c r="H212" s="2175"/>
      <c r="I212" s="2175"/>
      <c r="J212" s="2175"/>
      <c r="K212" s="2175"/>
      <c r="L212" s="2039" t="s">
        <v>3421</v>
      </c>
    </row>
    <row r="213" spans="1:12" s="2033" customFormat="1" ht="21.75" customHeight="1">
      <c r="A213" s="2030"/>
      <c r="B213" s="2176" t="s">
        <v>4536</v>
      </c>
      <c r="C213" s="2177"/>
      <c r="D213" s="2178"/>
      <c r="E213" s="2179" t="s">
        <v>2864</v>
      </c>
      <c r="F213" s="2180" t="s">
        <v>4528</v>
      </c>
      <c r="G213" s="2180"/>
      <c r="H213" s="2180"/>
      <c r="I213" s="2180"/>
      <c r="J213" s="2180"/>
      <c r="K213" s="2180"/>
      <c r="L213" s="2039" t="s">
        <v>3421</v>
      </c>
    </row>
    <row r="214" spans="1:12" s="2033" customFormat="1" ht="21.75" customHeight="1">
      <c r="A214" s="2030"/>
      <c r="B214" s="2176" t="s">
        <v>4536</v>
      </c>
      <c r="C214" s="2177"/>
      <c r="D214" s="2178" t="s">
        <v>4541</v>
      </c>
      <c r="E214" s="2179" t="s">
        <v>2865</v>
      </c>
      <c r="F214" s="2180" t="s">
        <v>4552</v>
      </c>
      <c r="G214" s="2180"/>
      <c r="H214" s="2180"/>
      <c r="I214" s="2180"/>
      <c r="J214" s="2180"/>
      <c r="K214" s="2180"/>
      <c r="L214" s="2039" t="s">
        <v>3421</v>
      </c>
    </row>
    <row r="215" spans="1:12" s="2033" customFormat="1" ht="21.75" customHeight="1">
      <c r="A215" s="2030"/>
      <c r="B215" s="2176" t="s">
        <v>4535</v>
      </c>
      <c r="C215" s="2177"/>
      <c r="D215" s="2178"/>
      <c r="E215" s="2179" t="s">
        <v>2867</v>
      </c>
      <c r="F215" s="2180" t="s">
        <v>4534</v>
      </c>
      <c r="G215" s="2180"/>
      <c r="H215" s="2180"/>
      <c r="I215" s="2180"/>
      <c r="J215" s="2180"/>
      <c r="K215" s="2180"/>
      <c r="L215" s="2039" t="s">
        <v>3421</v>
      </c>
    </row>
    <row r="216" spans="1:12" s="2033" customFormat="1" ht="21.75" customHeight="1">
      <c r="A216" s="2030"/>
      <c r="B216" s="2176" t="s">
        <v>4543</v>
      </c>
      <c r="C216" s="2177"/>
      <c r="D216" s="2178" t="s">
        <v>4542</v>
      </c>
      <c r="E216" s="2179" t="s">
        <v>2868</v>
      </c>
      <c r="F216" s="2180" t="s">
        <v>4540</v>
      </c>
      <c r="G216" s="2180"/>
      <c r="H216" s="2180"/>
      <c r="I216" s="2180"/>
      <c r="J216" s="2180"/>
      <c r="K216" s="2180"/>
      <c r="L216" s="2039" t="s">
        <v>3421</v>
      </c>
    </row>
    <row r="217" spans="1:12" s="2033" customFormat="1" ht="21.75" customHeight="1">
      <c r="A217" s="2030"/>
      <c r="B217" s="2176"/>
      <c r="C217" s="2177"/>
      <c r="D217" s="2178"/>
      <c r="E217" s="2179" t="s">
        <v>2869</v>
      </c>
      <c r="F217" s="2180"/>
      <c r="G217" s="2180"/>
      <c r="H217" s="2180"/>
      <c r="I217" s="2180"/>
      <c r="J217" s="2180"/>
      <c r="K217" s="2180"/>
      <c r="L217" s="2039"/>
    </row>
    <row r="218" spans="1:12" s="2033" customFormat="1" ht="21.75" customHeight="1">
      <c r="A218" s="2030"/>
      <c r="B218" s="2176"/>
      <c r="C218" s="2177"/>
      <c r="D218" s="2178"/>
      <c r="E218" s="2179" t="s">
        <v>2870</v>
      </c>
      <c r="F218" s="2180"/>
      <c r="G218" s="2180"/>
      <c r="H218" s="2180"/>
      <c r="I218" s="2180"/>
      <c r="J218" s="2180"/>
      <c r="K218" s="2180"/>
      <c r="L218" s="2039"/>
    </row>
    <row r="219" spans="1:12" s="2033" customFormat="1" ht="21.75" customHeight="1">
      <c r="A219" s="2030"/>
      <c r="B219" s="2176"/>
      <c r="C219" s="2177"/>
      <c r="D219" s="2178"/>
      <c r="E219" s="2179" t="s">
        <v>3023</v>
      </c>
      <c r="F219" s="2180"/>
      <c r="G219" s="2180"/>
      <c r="H219" s="2180"/>
      <c r="I219" s="2180"/>
      <c r="J219" s="2180"/>
      <c r="K219" s="2180"/>
      <c r="L219" s="2039"/>
    </row>
    <row r="220" spans="1:12" s="2033" customFormat="1" ht="21.75" customHeight="1">
      <c r="A220" s="2030"/>
      <c r="B220" s="2176"/>
      <c r="C220" s="2177"/>
      <c r="D220" s="2178"/>
      <c r="E220" s="2179" t="s">
        <v>3024</v>
      </c>
      <c r="F220" s="2180"/>
      <c r="G220" s="2180"/>
      <c r="H220" s="2180"/>
      <c r="I220" s="2180"/>
      <c r="J220" s="2180"/>
      <c r="K220" s="2180"/>
      <c r="L220" s="2039"/>
    </row>
    <row r="221" spans="1:12" s="2033" customFormat="1" ht="21.75" customHeight="1">
      <c r="A221" s="2030"/>
      <c r="B221" s="2176"/>
      <c r="C221" s="2177"/>
      <c r="D221" s="2178"/>
      <c r="E221" s="2179" t="s">
        <v>3058</v>
      </c>
      <c r="F221" s="2180"/>
      <c r="G221" s="2180"/>
      <c r="H221" s="2180"/>
      <c r="I221" s="2180"/>
      <c r="J221" s="2180"/>
      <c r="K221" s="2180"/>
      <c r="L221" s="2181"/>
    </row>
    <row r="222" spans="1:12" s="2033" customFormat="1" ht="21.75" customHeight="1">
      <c r="A222" s="2054"/>
      <c r="B222" s="2176"/>
      <c r="C222" s="2177"/>
      <c r="D222" s="2178"/>
      <c r="E222" s="2179" t="s">
        <v>4104</v>
      </c>
      <c r="F222" s="2180"/>
      <c r="G222" s="2180"/>
      <c r="H222" s="2180"/>
      <c r="I222" s="2180"/>
      <c r="J222" s="2180"/>
      <c r="K222" s="2180"/>
      <c r="L222" s="2182"/>
    </row>
    <row r="223" spans="1:12" s="2033" customFormat="1" ht="21.75" customHeight="1">
      <c r="A223" s="2030"/>
      <c r="B223" s="2183"/>
      <c r="C223" s="2184"/>
      <c r="D223" s="2185"/>
      <c r="E223" s="2186" t="s">
        <v>4105</v>
      </c>
      <c r="F223" s="2187"/>
      <c r="G223" s="2187"/>
      <c r="H223" s="2187"/>
      <c r="I223" s="2187"/>
      <c r="J223" s="2187"/>
      <c r="K223" s="2187"/>
      <c r="L223" s="2039"/>
    </row>
    <row r="224" spans="1:12" s="2033" customFormat="1" ht="33.75" customHeight="1">
      <c r="A224" s="2188" t="s">
        <v>3075</v>
      </c>
      <c r="B224" s="2188"/>
      <c r="C224" s="2188"/>
      <c r="D224" s="2188"/>
      <c r="E224" s="2188"/>
      <c r="F224" s="2188"/>
      <c r="G224" s="2188"/>
      <c r="H224" s="2188"/>
      <c r="I224" s="2188"/>
      <c r="J224" s="2188"/>
      <c r="K224" s="2188"/>
      <c r="L224" s="2188"/>
    </row>
    <row r="225" spans="1:9" s="2033" customFormat="1">
      <c r="A225" s="2030"/>
      <c r="B225" s="2031"/>
      <c r="C225" s="2031"/>
      <c r="D225" s="2031"/>
      <c r="E225" s="2189"/>
      <c r="I225" s="2034"/>
    </row>
    <row r="226" spans="1:9" s="2033" customFormat="1">
      <c r="A226" s="2030"/>
      <c r="B226" s="2031"/>
      <c r="C226" s="2031"/>
      <c r="D226" s="2031"/>
      <c r="E226" s="2189"/>
      <c r="I226" s="2034"/>
    </row>
    <row r="227" spans="1:9" s="2033" customFormat="1">
      <c r="A227" s="2030"/>
      <c r="B227" s="2031"/>
      <c r="C227" s="2031"/>
      <c r="D227" s="2031"/>
      <c r="E227" s="2189"/>
      <c r="I227" s="2034"/>
    </row>
    <row r="228" spans="1:9" s="2033" customFormat="1">
      <c r="A228" s="2030"/>
      <c r="B228" s="2031"/>
      <c r="C228" s="2031"/>
      <c r="D228" s="2031"/>
      <c r="E228" s="2189"/>
      <c r="I228" s="2034"/>
    </row>
    <row r="229" spans="1:9" s="2033" customFormat="1">
      <c r="A229" s="2030"/>
      <c r="B229" s="2031"/>
      <c r="C229" s="2031"/>
      <c r="D229" s="2031"/>
      <c r="E229" s="2189"/>
      <c r="I229" s="2034"/>
    </row>
    <row r="230" spans="1:9" s="2033" customFormat="1">
      <c r="A230" s="2030"/>
      <c r="B230" s="2031"/>
      <c r="C230" s="2031"/>
      <c r="D230" s="2031"/>
      <c r="E230" s="2189"/>
      <c r="I230" s="2034"/>
    </row>
    <row r="231" spans="1:9" s="2033" customFormat="1">
      <c r="A231" s="2030"/>
      <c r="B231" s="2031"/>
      <c r="C231" s="2031"/>
      <c r="D231" s="2031"/>
      <c r="E231" s="2189"/>
      <c r="I231" s="2034"/>
    </row>
    <row r="232" spans="1:9" s="2033" customFormat="1">
      <c r="A232" s="2030"/>
      <c r="B232" s="2031"/>
      <c r="C232" s="2031"/>
      <c r="D232" s="2031"/>
      <c r="E232" s="2189"/>
      <c r="I232" s="2034"/>
    </row>
    <row r="233" spans="1:9" s="2033" customFormat="1">
      <c r="A233" s="2030"/>
      <c r="B233" s="2031"/>
      <c r="C233" s="2031"/>
      <c r="D233" s="2031"/>
      <c r="E233" s="2189"/>
      <c r="I233" s="2034"/>
    </row>
    <row r="234" spans="1:9" s="2033" customFormat="1">
      <c r="A234" s="2030"/>
      <c r="B234" s="2031"/>
      <c r="C234" s="2031"/>
      <c r="D234" s="2031"/>
      <c r="E234" s="2189"/>
      <c r="I234" s="2034"/>
    </row>
    <row r="235" spans="1:9" s="2033" customFormat="1">
      <c r="A235" s="2030"/>
      <c r="B235" s="2031"/>
      <c r="C235" s="2031"/>
      <c r="D235" s="2031"/>
      <c r="E235" s="2189"/>
      <c r="I235" s="2034"/>
    </row>
    <row r="236" spans="1:9" s="2033" customFormat="1">
      <c r="A236" s="2030"/>
      <c r="B236" s="2031"/>
      <c r="C236" s="2031"/>
      <c r="D236" s="2031"/>
      <c r="E236" s="2189"/>
      <c r="I236" s="2034"/>
    </row>
    <row r="237" spans="1:9" s="2033" customFormat="1">
      <c r="A237" s="2030"/>
      <c r="B237" s="2031"/>
      <c r="C237" s="2031"/>
      <c r="D237" s="2031"/>
      <c r="E237" s="2189"/>
      <c r="I237" s="2034"/>
    </row>
    <row r="238" spans="1:9" s="2033" customFormat="1">
      <c r="A238" s="2030"/>
      <c r="B238" s="2031"/>
      <c r="C238" s="2031"/>
      <c r="D238" s="2031"/>
      <c r="E238" s="2189"/>
      <c r="I238" s="2034"/>
    </row>
    <row r="239" spans="1:9" s="2033" customFormat="1">
      <c r="A239" s="2030"/>
      <c r="B239" s="2031"/>
      <c r="C239" s="2031"/>
      <c r="D239" s="2031"/>
      <c r="E239" s="2189"/>
      <c r="I239" s="2034"/>
    </row>
    <row r="240" spans="1:9" s="2033" customFormat="1">
      <c r="A240" s="2030"/>
      <c r="B240" s="2031"/>
      <c r="C240" s="2031"/>
      <c r="D240" s="2031"/>
      <c r="E240" s="2189"/>
      <c r="I240" s="2034"/>
    </row>
    <row r="241" spans="1:9" s="2033" customFormat="1">
      <c r="A241" s="2030"/>
      <c r="B241" s="2031"/>
      <c r="C241" s="2031"/>
      <c r="D241" s="2031"/>
      <c r="E241" s="2189"/>
      <c r="I241" s="2034"/>
    </row>
    <row r="242" spans="1:9" s="2033" customFormat="1">
      <c r="A242" s="2030"/>
      <c r="B242" s="2031"/>
      <c r="C242" s="2031"/>
      <c r="D242" s="2031"/>
      <c r="E242" s="2189"/>
      <c r="I242" s="2034"/>
    </row>
    <row r="243" spans="1:9" s="2033" customFormat="1">
      <c r="A243" s="2030"/>
      <c r="B243" s="2031"/>
      <c r="C243" s="2031"/>
      <c r="D243" s="2031"/>
      <c r="E243" s="2189"/>
      <c r="I243" s="2034"/>
    </row>
    <row r="244" spans="1:9" s="2033" customFormat="1">
      <c r="A244" s="2030"/>
      <c r="B244" s="2031"/>
      <c r="C244" s="2031"/>
      <c r="D244" s="2031"/>
      <c r="E244" s="2189"/>
      <c r="I244" s="2034"/>
    </row>
    <row r="245" spans="1:9" s="2033" customFormat="1">
      <c r="A245" s="2030"/>
      <c r="B245" s="2031"/>
      <c r="C245" s="2031"/>
      <c r="D245" s="2031"/>
      <c r="E245" s="2189"/>
      <c r="I245" s="2034"/>
    </row>
    <row r="246" spans="1:9" s="2033" customFormat="1">
      <c r="A246" s="2030"/>
      <c r="B246" s="2031"/>
      <c r="C246" s="2031"/>
      <c r="D246" s="2031"/>
      <c r="E246" s="2189"/>
      <c r="I246" s="2034"/>
    </row>
    <row r="247" spans="1:9" s="2033" customFormat="1">
      <c r="A247" s="2030"/>
      <c r="B247" s="2031"/>
      <c r="C247" s="2031"/>
      <c r="D247" s="2031"/>
      <c r="E247" s="2189"/>
      <c r="I247" s="2034"/>
    </row>
    <row r="248" spans="1:9" s="2033" customFormat="1">
      <c r="A248" s="2030"/>
      <c r="B248" s="2031"/>
      <c r="C248" s="2031"/>
      <c r="D248" s="2031"/>
      <c r="E248" s="2189"/>
      <c r="I248" s="2034"/>
    </row>
    <row r="249" spans="1:9" s="2033" customFormat="1">
      <c r="A249" s="2030"/>
      <c r="B249" s="2031"/>
      <c r="C249" s="2031"/>
      <c r="D249" s="2031"/>
      <c r="E249" s="2189"/>
      <c r="I249" s="2034"/>
    </row>
    <row r="250" spans="1:9" s="2033" customFormat="1">
      <c r="A250" s="2030"/>
      <c r="B250" s="2031"/>
      <c r="C250" s="2031"/>
      <c r="D250" s="2031"/>
      <c r="E250" s="2189"/>
      <c r="I250" s="2034"/>
    </row>
    <row r="251" spans="1:9" s="2033" customFormat="1">
      <c r="A251" s="2030"/>
      <c r="B251" s="2031"/>
      <c r="C251" s="2031"/>
      <c r="D251" s="2031"/>
      <c r="E251" s="2189"/>
      <c r="I251" s="2034"/>
    </row>
    <row r="252" spans="1:9" s="2033" customFormat="1">
      <c r="A252" s="2030"/>
      <c r="B252" s="2031"/>
      <c r="C252" s="2031"/>
      <c r="D252" s="2031"/>
      <c r="E252" s="2189"/>
      <c r="I252" s="2034"/>
    </row>
    <row r="253" spans="1:9" s="2033" customFormat="1">
      <c r="A253" s="2030"/>
      <c r="B253" s="2031"/>
      <c r="C253" s="2031"/>
      <c r="D253" s="2031"/>
      <c r="E253" s="2189"/>
      <c r="I253" s="2034"/>
    </row>
    <row r="254" spans="1:9" s="2033" customFormat="1">
      <c r="A254" s="2030"/>
      <c r="B254" s="2031"/>
      <c r="C254" s="2031"/>
      <c r="D254" s="2031"/>
      <c r="E254" s="2189"/>
      <c r="I254" s="2034"/>
    </row>
    <row r="255" spans="1:9" s="2033" customFormat="1">
      <c r="A255" s="2030"/>
      <c r="B255" s="2031"/>
      <c r="C255" s="2031"/>
      <c r="D255" s="2031"/>
      <c r="E255" s="2189"/>
      <c r="I255" s="2034"/>
    </row>
    <row r="256" spans="1:9" s="2033" customFormat="1">
      <c r="A256" s="2030"/>
      <c r="B256" s="2031"/>
      <c r="C256" s="2031"/>
      <c r="D256" s="2031"/>
      <c r="E256" s="2189"/>
      <c r="I256" s="2034"/>
    </row>
    <row r="257" spans="1:9" s="2033" customFormat="1">
      <c r="A257" s="2030"/>
      <c r="B257" s="2031"/>
      <c r="C257" s="2031"/>
      <c r="D257" s="2031"/>
      <c r="E257" s="2189"/>
      <c r="I257" s="2034"/>
    </row>
    <row r="258" spans="1:9" s="2033" customFormat="1">
      <c r="A258" s="2030"/>
      <c r="B258" s="2031"/>
      <c r="C258" s="2031"/>
      <c r="D258" s="2031"/>
      <c r="E258" s="2189"/>
      <c r="I258" s="2034"/>
    </row>
    <row r="259" spans="1:9" s="2033" customFormat="1">
      <c r="A259" s="2030"/>
      <c r="B259" s="2031"/>
      <c r="C259" s="2031"/>
      <c r="D259" s="2031"/>
      <c r="E259" s="2189"/>
      <c r="I259" s="2034"/>
    </row>
    <row r="260" spans="1:9" s="2033" customFormat="1">
      <c r="A260" s="2030"/>
      <c r="B260" s="2031"/>
      <c r="C260" s="2031"/>
      <c r="D260" s="2031"/>
      <c r="E260" s="2189"/>
      <c r="I260" s="2034"/>
    </row>
    <row r="261" spans="1:9" s="2033" customFormat="1">
      <c r="A261" s="2030"/>
      <c r="B261" s="2031"/>
      <c r="C261" s="2031"/>
      <c r="D261" s="2031"/>
      <c r="E261" s="2189"/>
      <c r="I261" s="2034"/>
    </row>
    <row r="262" spans="1:9" s="2033" customFormat="1">
      <c r="A262" s="2030"/>
      <c r="B262" s="2031"/>
      <c r="C262" s="2031"/>
      <c r="D262" s="2031"/>
      <c r="E262" s="2189"/>
      <c r="I262" s="2034"/>
    </row>
    <row r="263" spans="1:9" s="2033" customFormat="1">
      <c r="A263" s="2030"/>
      <c r="B263" s="2031"/>
      <c r="C263" s="2031"/>
      <c r="D263" s="2031"/>
      <c r="E263" s="2189"/>
      <c r="I263" s="2034"/>
    </row>
    <row r="264" spans="1:9" s="2033" customFormat="1">
      <c r="A264" s="2030"/>
      <c r="B264" s="2031"/>
      <c r="C264" s="2031"/>
      <c r="D264" s="2031"/>
      <c r="E264" s="2189"/>
      <c r="I264" s="2034"/>
    </row>
    <row r="265" spans="1:9" s="2033" customFormat="1">
      <c r="A265" s="2030"/>
      <c r="B265" s="2031"/>
      <c r="C265" s="2031"/>
      <c r="D265" s="2031"/>
      <c r="E265" s="2189"/>
      <c r="I265" s="2034"/>
    </row>
    <row r="266" spans="1:9" s="2033" customFormat="1">
      <c r="A266" s="2030"/>
      <c r="B266" s="2031"/>
      <c r="C266" s="2031"/>
      <c r="D266" s="2031"/>
      <c r="E266" s="2189"/>
      <c r="I266" s="2034"/>
    </row>
    <row r="267" spans="1:9" s="2033" customFormat="1">
      <c r="A267" s="2030"/>
      <c r="B267" s="2031"/>
      <c r="C267" s="2031"/>
      <c r="D267" s="2031"/>
      <c r="E267" s="2189"/>
      <c r="I267" s="2034"/>
    </row>
    <row r="268" spans="1:9" s="2033" customFormat="1">
      <c r="A268" s="2030"/>
      <c r="B268" s="2031"/>
      <c r="C268" s="2031"/>
      <c r="D268" s="2031"/>
      <c r="E268" s="2189"/>
      <c r="I268" s="2034"/>
    </row>
    <row r="269" spans="1:9" s="2033" customFormat="1">
      <c r="A269" s="2030"/>
      <c r="B269" s="2031"/>
      <c r="C269" s="2031"/>
      <c r="D269" s="2031"/>
      <c r="E269" s="2189"/>
      <c r="I269" s="2034"/>
    </row>
    <row r="270" spans="1:9" s="2033" customFormat="1">
      <c r="A270" s="2030"/>
      <c r="B270" s="2031"/>
      <c r="C270" s="2031"/>
      <c r="D270" s="2031"/>
      <c r="E270" s="2189"/>
      <c r="I270" s="2034"/>
    </row>
    <row r="271" spans="1:9" s="2033" customFormat="1">
      <c r="A271" s="2030"/>
      <c r="B271" s="2031"/>
      <c r="C271" s="2031"/>
      <c r="D271" s="2031"/>
      <c r="E271" s="2189"/>
      <c r="I271" s="2034"/>
    </row>
    <row r="272" spans="1:9" s="2033" customFormat="1">
      <c r="A272" s="2030"/>
      <c r="B272" s="2031"/>
      <c r="C272" s="2031"/>
      <c r="D272" s="2031"/>
      <c r="E272" s="2189"/>
      <c r="I272" s="2034"/>
    </row>
    <row r="273" spans="1:9" s="2033" customFormat="1">
      <c r="A273" s="2030"/>
      <c r="B273" s="2031"/>
      <c r="C273" s="2031"/>
      <c r="D273" s="2031"/>
      <c r="E273" s="2189"/>
      <c r="I273" s="2034"/>
    </row>
    <row r="274" spans="1:9" s="2033" customFormat="1">
      <c r="A274" s="2030"/>
      <c r="B274" s="2031"/>
      <c r="C274" s="2031"/>
      <c r="D274" s="2031"/>
      <c r="E274" s="2189"/>
      <c r="I274" s="2034"/>
    </row>
    <row r="275" spans="1:9" s="2033" customFormat="1">
      <c r="A275" s="2030"/>
      <c r="B275" s="2031"/>
      <c r="C275" s="2031"/>
      <c r="D275" s="2031"/>
      <c r="E275" s="2189"/>
      <c r="I275" s="2034"/>
    </row>
    <row r="276" spans="1:9" s="2033" customFormat="1">
      <c r="A276" s="2030"/>
      <c r="B276" s="2031"/>
      <c r="C276" s="2031"/>
      <c r="D276" s="2031"/>
      <c r="E276" s="2189"/>
      <c r="I276" s="2034"/>
    </row>
    <row r="277" spans="1:9" s="2033" customFormat="1">
      <c r="A277" s="2030"/>
      <c r="B277" s="2031"/>
      <c r="C277" s="2031"/>
      <c r="D277" s="2031"/>
      <c r="E277" s="2189"/>
      <c r="I277" s="2034"/>
    </row>
    <row r="278" spans="1:9" s="2033" customFormat="1">
      <c r="A278" s="2030"/>
      <c r="B278" s="2031"/>
      <c r="C278" s="2031"/>
      <c r="D278" s="2031"/>
      <c r="E278" s="2189"/>
      <c r="I278" s="2034"/>
    </row>
    <row r="279" spans="1:9" s="2033" customFormat="1">
      <c r="A279" s="2030"/>
      <c r="B279" s="2031"/>
      <c r="C279" s="2031"/>
      <c r="D279" s="2031"/>
      <c r="E279" s="2189"/>
      <c r="I279" s="2034"/>
    </row>
    <row r="280" spans="1:9" s="2033" customFormat="1">
      <c r="A280" s="2030"/>
      <c r="B280" s="2031"/>
      <c r="C280" s="2031"/>
      <c r="D280" s="2031"/>
      <c r="E280" s="2189"/>
      <c r="I280" s="2034"/>
    </row>
    <row r="281" spans="1:9" s="2033" customFormat="1">
      <c r="A281" s="2030"/>
      <c r="B281" s="2031"/>
      <c r="C281" s="2031"/>
      <c r="D281" s="2031"/>
      <c r="E281" s="2189"/>
      <c r="I281" s="2034"/>
    </row>
    <row r="282" spans="1:9" s="2033" customFormat="1">
      <c r="A282" s="2030"/>
      <c r="B282" s="2031"/>
      <c r="C282" s="2031"/>
      <c r="D282" s="2031"/>
      <c r="E282" s="2189"/>
      <c r="I282" s="2034"/>
    </row>
    <row r="283" spans="1:9">
      <c r="A283" s="2190"/>
      <c r="B283" s="2191"/>
      <c r="C283" s="2191"/>
      <c r="D283" s="2191"/>
      <c r="E283" s="2192"/>
    </row>
    <row r="284" spans="1:9">
      <c r="A284" s="2190"/>
      <c r="B284" s="2191"/>
      <c r="C284" s="2191"/>
      <c r="D284" s="2191"/>
      <c r="E284" s="2192"/>
    </row>
    <row r="285" spans="1:9">
      <c r="A285" s="2190"/>
      <c r="B285" s="2191"/>
      <c r="C285" s="2191"/>
      <c r="D285" s="2191"/>
      <c r="E285" s="2192"/>
    </row>
    <row r="286" spans="1:9">
      <c r="A286" s="2190"/>
      <c r="B286" s="2191"/>
      <c r="C286" s="2191"/>
      <c r="D286" s="2191"/>
      <c r="E286" s="2192"/>
    </row>
    <row r="287" spans="1:9">
      <c r="A287" s="2190"/>
      <c r="B287" s="2191"/>
      <c r="C287" s="2191"/>
      <c r="D287" s="2191"/>
      <c r="E287" s="2192"/>
    </row>
    <row r="288" spans="1:9">
      <c r="A288" s="2190"/>
      <c r="B288" s="2191"/>
      <c r="C288" s="2191"/>
      <c r="D288" s="2191"/>
      <c r="E288" s="2192"/>
    </row>
  </sheetData>
  <sheetProtection algorithmName="SHA-512" hashValue="1S/1PlVTPvxoiBKSTdnu38Tl1g7OkYCVKhJ1TIdlwQkLf/BgTalPlasWzfW0qborzH0T7KKr3xaT9+SFsMLlAw==" saltValue="c9Iq6swPF3az4H1BJDQxjw=="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Normal="100"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18" width="8" style="86" customWidth="1"/>
    <col min="19"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96" width="9.140625" style="506"/>
    <col min="297" max="16384" width="9.140625" style="86"/>
  </cols>
  <sheetData>
    <row r="1" spans="1:296" s="95" customFormat="1" ht="13.9" customHeight="1">
      <c r="A1" s="1453" t="str">
        <f>CONCATENATE("PART SIX - PROJECTED REVENUES &amp; EXPENSES","  -  ",'Part I-Project Information'!$O$4," ",'Part I-Project Information'!$F$24,", ",'Part I-Project Information'!F28,", ",'Part I-Project Information'!J29," County")</f>
        <v>PART SIX - PROJECTED REVENUES &amp; EXPENSES  -  2015-026 Arbor Trace Apartments Phase II, Lake Park, Lowndes County</v>
      </c>
      <c r="B1" s="1454"/>
      <c r="C1" s="1454"/>
      <c r="D1" s="1454"/>
      <c r="E1" s="1454"/>
      <c r="F1" s="1454"/>
      <c r="G1" s="1454"/>
      <c r="H1" s="1454"/>
      <c r="I1" s="1454"/>
      <c r="J1" s="1454"/>
      <c r="K1" s="1454"/>
      <c r="L1" s="1454"/>
      <c r="M1" s="1454"/>
      <c r="N1" s="1454"/>
      <c r="O1" s="1454"/>
      <c r="P1" s="1455"/>
      <c r="Q1" s="1235"/>
      <c r="U1" s="1575" t="str">
        <f>A1</f>
        <v>PART SIX - PROJECTED REVENUES &amp; EXPENSES  -  2015-026 Arbor Trace Apartments Phase II, Lake Park, Lowndes County</v>
      </c>
      <c r="V1" s="1575"/>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508"/>
      <c r="JS1" s="508"/>
      <c r="JT1" s="508"/>
      <c r="JU1" s="508"/>
      <c r="JV1" s="508"/>
      <c r="JW1" s="508"/>
      <c r="JX1" s="508"/>
      <c r="JY1" s="508"/>
      <c r="JZ1" s="508"/>
      <c r="KA1" s="508"/>
      <c r="KB1" s="508"/>
      <c r="KC1" s="508"/>
      <c r="KD1" s="508"/>
      <c r="KE1" s="508"/>
      <c r="KF1" s="508"/>
      <c r="KG1" s="508"/>
      <c r="KH1" s="508"/>
      <c r="KI1" s="508"/>
      <c r="KJ1" s="508"/>
    </row>
    <row r="2" spans="1:296" ht="9" customHeight="1">
      <c r="G2" s="1724" t="s">
        <v>4383</v>
      </c>
      <c r="H2" s="1725"/>
      <c r="I2" s="1726"/>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646</v>
      </c>
      <c r="B3" s="4" t="s">
        <v>2477</v>
      </c>
      <c r="C3" s="1"/>
      <c r="D3" s="640" t="s">
        <v>3333</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506</v>
      </c>
      <c r="FC3" s="512" t="s">
        <v>2560</v>
      </c>
      <c r="FD3" s="512" t="s">
        <v>2561</v>
      </c>
      <c r="FE3" s="512" t="s">
        <v>2562</v>
      </c>
      <c r="FF3" s="512" t="s">
        <v>2563</v>
      </c>
      <c r="FG3" s="512" t="s">
        <v>506</v>
      </c>
      <c r="FH3" s="512" t="s">
        <v>2560</v>
      </c>
      <c r="FI3" s="512" t="s">
        <v>2561</v>
      </c>
      <c r="FJ3" s="512" t="s">
        <v>2562</v>
      </c>
      <c r="FK3" s="512" t="s">
        <v>2563</v>
      </c>
      <c r="FL3" s="514"/>
      <c r="FM3" s="514"/>
      <c r="FN3" s="514"/>
      <c r="FO3" s="514"/>
      <c r="FP3" s="514"/>
      <c r="FQ3" s="514"/>
      <c r="FR3" s="514"/>
      <c r="FS3" s="514"/>
      <c r="FT3" s="514"/>
      <c r="FU3" s="514"/>
      <c r="FV3" s="512" t="s">
        <v>506</v>
      </c>
      <c r="FW3" s="512" t="s">
        <v>2560</v>
      </c>
      <c r="FX3" s="512" t="s">
        <v>2561</v>
      </c>
      <c r="FY3" s="512" t="s">
        <v>2562</v>
      </c>
      <c r="FZ3" s="512" t="s">
        <v>2563</v>
      </c>
      <c r="GA3" s="512" t="s">
        <v>506</v>
      </c>
      <c r="GB3" s="512" t="s">
        <v>2560</v>
      </c>
      <c r="GC3" s="512" t="s">
        <v>2561</v>
      </c>
      <c r="GD3" s="512" t="s">
        <v>2562</v>
      </c>
      <c r="GE3" s="512" t="s">
        <v>2563</v>
      </c>
      <c r="GF3" s="512" t="s">
        <v>506</v>
      </c>
      <c r="GG3" s="512" t="s">
        <v>2560</v>
      </c>
      <c r="GH3" s="512" t="s">
        <v>2561</v>
      </c>
      <c r="GI3" s="512" t="s">
        <v>2562</v>
      </c>
      <c r="GJ3" s="512" t="s">
        <v>2563</v>
      </c>
      <c r="GK3" s="512" t="s">
        <v>506</v>
      </c>
      <c r="GL3" s="512" t="s">
        <v>2560</v>
      </c>
      <c r="GM3" s="512" t="s">
        <v>2561</v>
      </c>
      <c r="GN3" s="512" t="s">
        <v>2562</v>
      </c>
      <c r="GO3" s="512" t="s">
        <v>2563</v>
      </c>
      <c r="GP3" s="512" t="s">
        <v>506</v>
      </c>
      <c r="GQ3" s="512" t="s">
        <v>2560</v>
      </c>
      <c r="GR3" s="512" t="s">
        <v>2561</v>
      </c>
      <c r="GS3" s="512" t="s">
        <v>2562</v>
      </c>
      <c r="GT3" s="512" t="s">
        <v>2563</v>
      </c>
      <c r="GU3" s="512" t="s">
        <v>506</v>
      </c>
      <c r="GV3" s="512" t="s">
        <v>2560</v>
      </c>
      <c r="GW3" s="512" t="s">
        <v>2561</v>
      </c>
      <c r="GX3" s="512" t="s">
        <v>2562</v>
      </c>
      <c r="GY3" s="512" t="s">
        <v>2563</v>
      </c>
      <c r="GZ3" s="512" t="s">
        <v>506</v>
      </c>
      <c r="HA3" s="512" t="s">
        <v>2560</v>
      </c>
      <c r="HB3" s="512" t="s">
        <v>2561</v>
      </c>
      <c r="HC3" s="512" t="s">
        <v>2562</v>
      </c>
      <c r="HD3" s="512" t="s">
        <v>2563</v>
      </c>
      <c r="HE3" s="512" t="s">
        <v>506</v>
      </c>
      <c r="HF3" s="512" t="s">
        <v>2560</v>
      </c>
      <c r="HG3" s="512" t="s">
        <v>2561</v>
      </c>
      <c r="HH3" s="512" t="s">
        <v>2562</v>
      </c>
      <c r="HI3" s="512" t="s">
        <v>2563</v>
      </c>
      <c r="HJ3" s="512" t="s">
        <v>506</v>
      </c>
      <c r="HK3" s="512" t="s">
        <v>2560</v>
      </c>
      <c r="HL3" s="512" t="s">
        <v>2561</v>
      </c>
      <c r="HM3" s="512" t="s">
        <v>2562</v>
      </c>
      <c r="HN3" s="512" t="s">
        <v>2563</v>
      </c>
      <c r="HO3" s="512" t="s">
        <v>506</v>
      </c>
      <c r="HP3" s="512" t="s">
        <v>2560</v>
      </c>
      <c r="HQ3" s="512" t="s">
        <v>2561</v>
      </c>
      <c r="HR3" s="512" t="s">
        <v>2562</v>
      </c>
      <c r="HS3" s="512" t="s">
        <v>2563</v>
      </c>
      <c r="HT3" s="512" t="s">
        <v>506</v>
      </c>
      <c r="HU3" s="512" t="s">
        <v>2560</v>
      </c>
      <c r="HV3" s="512" t="s">
        <v>2561</v>
      </c>
      <c r="HW3" s="512" t="s">
        <v>2562</v>
      </c>
      <c r="HX3" s="512" t="s">
        <v>2563</v>
      </c>
      <c r="HY3" s="512" t="s">
        <v>506</v>
      </c>
      <c r="HZ3" s="512" t="s">
        <v>2560</v>
      </c>
      <c r="IA3" s="512" t="s">
        <v>2561</v>
      </c>
      <c r="IB3" s="512" t="s">
        <v>2562</v>
      </c>
      <c r="IC3" s="512" t="s">
        <v>2563</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51" t="s">
        <v>3999</v>
      </c>
      <c r="JD3" s="1551" t="s">
        <v>4000</v>
      </c>
      <c r="JE3" s="1551" t="s">
        <v>4001</v>
      </c>
      <c r="JF3" s="1551" t="s">
        <v>4002</v>
      </c>
      <c r="JG3" s="1551" t="s">
        <v>4003</v>
      </c>
      <c r="JH3" s="508"/>
      <c r="JI3" s="508"/>
      <c r="JJ3" s="508"/>
      <c r="JK3" s="508"/>
      <c r="JL3" s="508"/>
      <c r="JM3" s="508"/>
      <c r="JN3" s="508"/>
      <c r="JO3" s="508"/>
      <c r="JP3" s="508"/>
      <c r="JQ3" s="508"/>
      <c r="JR3" s="508"/>
      <c r="JS3" s="508"/>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9" t="s">
        <v>4034</v>
      </c>
      <c r="Q4" s="1242"/>
      <c r="R4" s="467"/>
      <c r="S4" s="467"/>
      <c r="T4" s="467"/>
      <c r="U4" s="467"/>
      <c r="V4" s="468"/>
      <c r="W4" s="1556" t="s">
        <v>962</v>
      </c>
      <c r="X4" s="1556" t="s">
        <v>795</v>
      </c>
      <c r="Y4" s="1556" t="s">
        <v>796</v>
      </c>
      <c r="Z4" s="1556" t="s">
        <v>797</v>
      </c>
      <c r="AA4" s="1556" t="s">
        <v>798</v>
      </c>
      <c r="AB4" s="1556" t="s">
        <v>963</v>
      </c>
      <c r="AC4" s="1556" t="s">
        <v>2418</v>
      </c>
      <c r="AD4" s="1556" t="s">
        <v>2419</v>
      </c>
      <c r="AE4" s="1556" t="s">
        <v>2420</v>
      </c>
      <c r="AF4" s="1556" t="s">
        <v>2421</v>
      </c>
      <c r="AG4" s="1556" t="s">
        <v>964</v>
      </c>
      <c r="AH4" s="1556" t="s">
        <v>2422</v>
      </c>
      <c r="AI4" s="1556" t="s">
        <v>2423</v>
      </c>
      <c r="AJ4" s="1556" t="s">
        <v>2424</v>
      </c>
      <c r="AK4" s="1556" t="s">
        <v>2425</v>
      </c>
      <c r="AL4" s="1556" t="s">
        <v>131</v>
      </c>
      <c r="AM4" s="1556" t="s">
        <v>2426</v>
      </c>
      <c r="AN4" s="1556" t="s">
        <v>2427</v>
      </c>
      <c r="AO4" s="1556" t="s">
        <v>2428</v>
      </c>
      <c r="AP4" s="1556" t="s">
        <v>1202</v>
      </c>
      <c r="AQ4" s="1556" t="s">
        <v>579</v>
      </c>
      <c r="AR4" s="1556" t="s">
        <v>580</v>
      </c>
      <c r="AS4" s="1556" t="s">
        <v>604</v>
      </c>
      <c r="AT4" s="1556" t="s">
        <v>605</v>
      </c>
      <c r="AU4" s="1556" t="s">
        <v>606</v>
      </c>
      <c r="AV4" s="1556" t="s">
        <v>607</v>
      </c>
      <c r="AW4" s="1556" t="s">
        <v>608</v>
      </c>
      <c r="AX4" s="1556" t="s">
        <v>609</v>
      </c>
      <c r="AY4" s="1556" t="s">
        <v>610</v>
      </c>
      <c r="AZ4" s="1556" t="s">
        <v>611</v>
      </c>
      <c r="BA4" s="1556" t="s">
        <v>612</v>
      </c>
      <c r="BB4" s="1556" t="s">
        <v>613</v>
      </c>
      <c r="BC4" s="1556" t="s">
        <v>974</v>
      </c>
      <c r="BD4" s="1556" t="s">
        <v>975</v>
      </c>
      <c r="BE4" s="1556" t="s">
        <v>976</v>
      </c>
      <c r="BF4" s="1556" t="s">
        <v>518</v>
      </c>
      <c r="BG4" s="1556" t="s">
        <v>519</v>
      </c>
      <c r="BH4" s="1556" t="s">
        <v>520</v>
      </c>
      <c r="BI4" s="1556" t="s">
        <v>521</v>
      </c>
      <c r="BJ4" s="1556" t="s">
        <v>522</v>
      </c>
      <c r="BK4" s="1556" t="s">
        <v>922</v>
      </c>
      <c r="BL4" s="1556" t="s">
        <v>923</v>
      </c>
      <c r="BM4" s="1556" t="s">
        <v>924</v>
      </c>
      <c r="BN4" s="1556" t="s">
        <v>925</v>
      </c>
      <c r="BO4" s="1556" t="s">
        <v>926</v>
      </c>
      <c r="BP4" s="1556" t="s">
        <v>927</v>
      </c>
      <c r="BQ4" s="1556" t="s">
        <v>928</v>
      </c>
      <c r="BR4" s="1556" t="s">
        <v>929</v>
      </c>
      <c r="BS4" s="1556" t="s">
        <v>930</v>
      </c>
      <c r="BT4" s="1556" t="s">
        <v>931</v>
      </c>
      <c r="BU4" s="1556" t="s">
        <v>2550</v>
      </c>
      <c r="BV4" s="1556" t="s">
        <v>2551</v>
      </c>
      <c r="BW4" s="1556" t="s">
        <v>2552</v>
      </c>
      <c r="BX4" s="1556" t="s">
        <v>2553</v>
      </c>
      <c r="BY4" s="1556" t="s">
        <v>2554</v>
      </c>
      <c r="BZ4" s="1556" t="s">
        <v>119</v>
      </c>
      <c r="CA4" s="1556" t="s">
        <v>1205</v>
      </c>
      <c r="CB4" s="1556" t="s">
        <v>1206</v>
      </c>
      <c r="CC4" s="1556" t="s">
        <v>1271</v>
      </c>
      <c r="CD4" s="1556" t="s">
        <v>1272</v>
      </c>
      <c r="CE4" s="1551" t="s">
        <v>134</v>
      </c>
      <c r="CF4" s="1551" t="s">
        <v>1273</v>
      </c>
      <c r="CG4" s="1551" t="s">
        <v>1274</v>
      </c>
      <c r="CH4" s="1551" t="s">
        <v>1275</v>
      </c>
      <c r="CI4" s="1551" t="s">
        <v>1276</v>
      </c>
      <c r="CJ4" s="1551" t="s">
        <v>133</v>
      </c>
      <c r="CK4" s="1551" t="s">
        <v>954</v>
      </c>
      <c r="CL4" s="1551" t="s">
        <v>955</v>
      </c>
      <c r="CM4" s="1551" t="s">
        <v>956</v>
      </c>
      <c r="CN4" s="1551" t="s">
        <v>957</v>
      </c>
      <c r="CO4" s="1551" t="s">
        <v>132</v>
      </c>
      <c r="CP4" s="1551" t="s">
        <v>958</v>
      </c>
      <c r="CQ4" s="1551" t="s">
        <v>959</v>
      </c>
      <c r="CR4" s="1551" t="s">
        <v>960</v>
      </c>
      <c r="CS4" s="1551" t="s">
        <v>961</v>
      </c>
      <c r="CT4" s="1551" t="s">
        <v>850</v>
      </c>
      <c r="CU4" s="1551" t="s">
        <v>851</v>
      </c>
      <c r="CV4" s="1551" t="s">
        <v>852</v>
      </c>
      <c r="CW4" s="1551" t="s">
        <v>853</v>
      </c>
      <c r="CX4" s="1551" t="s">
        <v>854</v>
      </c>
      <c r="CY4" s="1551" t="s">
        <v>1001</v>
      </c>
      <c r="CZ4" s="1551" t="s">
        <v>1002</v>
      </c>
      <c r="DA4" s="1551" t="s">
        <v>1003</v>
      </c>
      <c r="DB4" s="1551" t="s">
        <v>1004</v>
      </c>
      <c r="DC4" s="1551" t="s">
        <v>2549</v>
      </c>
      <c r="DD4" s="1551" t="s">
        <v>1504</v>
      </c>
      <c r="DE4" s="1551" t="s">
        <v>1505</v>
      </c>
      <c r="DF4" s="1551" t="s">
        <v>1506</v>
      </c>
      <c r="DG4" s="1551" t="s">
        <v>1507</v>
      </c>
      <c r="DH4" s="1551" t="s">
        <v>1508</v>
      </c>
      <c r="DI4" s="1551" t="s">
        <v>453</v>
      </c>
      <c r="DJ4" s="1551" t="s">
        <v>454</v>
      </c>
      <c r="DK4" s="1551" t="s">
        <v>455</v>
      </c>
      <c r="DL4" s="1551" t="s">
        <v>456</v>
      </c>
      <c r="DM4" s="1551" t="s">
        <v>457</v>
      </c>
      <c r="DN4" s="1551" t="s">
        <v>18</v>
      </c>
      <c r="DO4" s="1551" t="s">
        <v>19</v>
      </c>
      <c r="DP4" s="1551" t="s">
        <v>20</v>
      </c>
      <c r="DQ4" s="1551" t="s">
        <v>21</v>
      </c>
      <c r="DR4" s="1551" t="s">
        <v>22</v>
      </c>
      <c r="DS4" s="1551" t="s">
        <v>231</v>
      </c>
      <c r="DT4" s="1551" t="s">
        <v>232</v>
      </c>
      <c r="DU4" s="1551" t="s">
        <v>233</v>
      </c>
      <c r="DV4" s="1551" t="s">
        <v>1901</v>
      </c>
      <c r="DW4" s="1551" t="s">
        <v>1902</v>
      </c>
      <c r="DX4" s="1551" t="s">
        <v>1903</v>
      </c>
      <c r="DY4" s="1551" t="s">
        <v>620</v>
      </c>
      <c r="DZ4" s="1551" t="s">
        <v>621</v>
      </c>
      <c r="EA4" s="1551" t="s">
        <v>622</v>
      </c>
      <c r="EB4" s="1551" t="s">
        <v>623</v>
      </c>
      <c r="EC4" s="1551" t="s">
        <v>23</v>
      </c>
      <c r="ED4" s="1551" t="s">
        <v>24</v>
      </c>
      <c r="EE4" s="1551" t="s">
        <v>25</v>
      </c>
      <c r="EF4" s="1551" t="s">
        <v>26</v>
      </c>
      <c r="EG4" s="1551" t="s">
        <v>27</v>
      </c>
      <c r="EH4" s="1551" t="s">
        <v>517</v>
      </c>
      <c r="EI4" s="1551" t="s">
        <v>449</v>
      </c>
      <c r="EJ4" s="1551" t="s">
        <v>450</v>
      </c>
      <c r="EK4" s="1551" t="s">
        <v>451</v>
      </c>
      <c r="EL4" s="1551" t="s">
        <v>452</v>
      </c>
      <c r="EM4" s="1551" t="s">
        <v>2312</v>
      </c>
      <c r="EN4" s="1551" t="s">
        <v>2313</v>
      </c>
      <c r="EO4" s="1551" t="s">
        <v>2314</v>
      </c>
      <c r="EP4" s="1551" t="s">
        <v>1554</v>
      </c>
      <c r="EQ4" s="1551" t="s">
        <v>1555</v>
      </c>
      <c r="ER4" s="1551" t="s">
        <v>28</v>
      </c>
      <c r="ES4" s="1551" t="s">
        <v>29</v>
      </c>
      <c r="ET4" s="1551" t="s">
        <v>30</v>
      </c>
      <c r="EU4" s="1551" t="s">
        <v>31</v>
      </c>
      <c r="EV4" s="1551"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51" t="s">
        <v>1702</v>
      </c>
      <c r="IE4" s="1551" t="s">
        <v>2649</v>
      </c>
      <c r="IF4" s="1551" t="s">
        <v>2650</v>
      </c>
      <c r="IG4" s="1551" t="s">
        <v>400</v>
      </c>
      <c r="IH4" s="1551" t="s">
        <v>401</v>
      </c>
      <c r="II4" s="1551" t="s">
        <v>402</v>
      </c>
      <c r="IJ4" s="1551" t="s">
        <v>403</v>
      </c>
      <c r="IK4" s="1551" t="s">
        <v>404</v>
      </c>
      <c r="IL4" s="1551" t="s">
        <v>405</v>
      </c>
      <c r="IM4" s="1551" t="s">
        <v>406</v>
      </c>
      <c r="IN4" s="1551" t="s">
        <v>208</v>
      </c>
      <c r="IO4" s="1551" t="s">
        <v>209</v>
      </c>
      <c r="IP4" s="1551" t="s">
        <v>210</v>
      </c>
      <c r="IQ4" s="1551" t="s">
        <v>211</v>
      </c>
      <c r="IR4" s="1551" t="s">
        <v>212</v>
      </c>
      <c r="IS4" s="1551" t="s">
        <v>213</v>
      </c>
      <c r="IT4" s="1551" t="s">
        <v>214</v>
      </c>
      <c r="IU4" s="1551" t="s">
        <v>215</v>
      </c>
      <c r="IV4" s="1551" t="s">
        <v>216</v>
      </c>
      <c r="IW4" s="1551" t="s">
        <v>217</v>
      </c>
      <c r="IX4" s="1551" t="s">
        <v>218</v>
      </c>
      <c r="IY4" s="1551" t="s">
        <v>219</v>
      </c>
      <c r="IZ4" s="1551" t="s">
        <v>220</v>
      </c>
      <c r="JA4" s="1551" t="s">
        <v>221</v>
      </c>
      <c r="JB4" s="1551" t="s">
        <v>222</v>
      </c>
      <c r="JC4" s="1551"/>
      <c r="JD4" s="1551"/>
      <c r="JE4" s="1551"/>
      <c r="JF4" s="1551"/>
      <c r="JG4" s="1551"/>
      <c r="JH4" s="508"/>
      <c r="JI4" s="508"/>
      <c r="JJ4" s="508"/>
      <c r="JK4" s="508"/>
      <c r="JL4" s="508"/>
      <c r="JM4" s="508"/>
      <c r="JN4" s="508"/>
      <c r="JO4" s="508"/>
      <c r="JP4" s="508"/>
      <c r="JQ4" s="508"/>
      <c r="JR4" s="508"/>
      <c r="JS4" s="508"/>
      <c r="JT4" s="508"/>
      <c r="JU4" s="508"/>
      <c r="JV4" s="508"/>
      <c r="JW4" s="508"/>
      <c r="JX4" s="508"/>
      <c r="JY4" s="508"/>
      <c r="JZ4" s="508"/>
      <c r="KA4" s="508"/>
      <c r="KB4" s="508"/>
      <c r="KC4" s="508"/>
      <c r="KD4" s="508"/>
      <c r="KE4" s="508"/>
      <c r="KF4" s="508"/>
      <c r="KG4" s="508"/>
      <c r="KH4" s="508"/>
      <c r="KI4" s="508"/>
      <c r="KJ4" s="508"/>
    </row>
    <row r="5" spans="1:296" s="95" customFormat="1" ht="13.15" customHeight="1">
      <c r="A5" s="1578" t="str">
        <f>IF(A48&gt;0,"Finish Row!","")</f>
        <v>Finish Row!</v>
      </c>
      <c r="B5" s="4" t="s">
        <v>1938</v>
      </c>
      <c r="D5" s="1"/>
      <c r="E5" s="4"/>
      <c r="F5" s="1"/>
      <c r="G5" s="2512"/>
      <c r="M5" s="1246" t="s">
        <v>603</v>
      </c>
      <c r="O5" s="2" t="s">
        <v>1084</v>
      </c>
      <c r="P5" s="1549"/>
      <c r="Q5" s="1242"/>
      <c r="R5" s="100"/>
      <c r="S5" s="100"/>
      <c r="T5" s="100"/>
      <c r="W5" s="1556"/>
      <c r="X5" s="1556"/>
      <c r="Y5" s="1556"/>
      <c r="Z5" s="1556"/>
      <c r="AA5" s="1556"/>
      <c r="AB5" s="1556"/>
      <c r="AC5" s="1556"/>
      <c r="AD5" s="1556"/>
      <c r="AE5" s="1556"/>
      <c r="AF5" s="1556"/>
      <c r="AG5" s="1556"/>
      <c r="AH5" s="1556"/>
      <c r="AI5" s="1556"/>
      <c r="AJ5" s="1556"/>
      <c r="AK5" s="1556"/>
      <c r="AL5" s="1556"/>
      <c r="AM5" s="1556"/>
      <c r="AN5" s="1556"/>
      <c r="AO5" s="1556"/>
      <c r="AP5" s="1556"/>
      <c r="AQ5" s="1556"/>
      <c r="AR5" s="1556"/>
      <c r="AS5" s="1556"/>
      <c r="AT5" s="1556"/>
      <c r="AU5" s="1556"/>
      <c r="AV5" s="1556"/>
      <c r="AW5" s="1556"/>
      <c r="AX5" s="1556"/>
      <c r="AY5" s="1556"/>
      <c r="AZ5" s="1556"/>
      <c r="BA5" s="1556"/>
      <c r="BB5" s="1556"/>
      <c r="BC5" s="1556"/>
      <c r="BD5" s="1556"/>
      <c r="BE5" s="1556"/>
      <c r="BF5" s="1556"/>
      <c r="BG5" s="1556"/>
      <c r="BH5" s="1556"/>
      <c r="BI5" s="1556"/>
      <c r="BJ5" s="1556"/>
      <c r="BK5" s="1556"/>
      <c r="BL5" s="1556"/>
      <c r="BM5" s="1556"/>
      <c r="BN5" s="1556"/>
      <c r="BO5" s="1556"/>
      <c r="BP5" s="1556"/>
      <c r="BQ5" s="1556"/>
      <c r="BR5" s="1556"/>
      <c r="BS5" s="1556"/>
      <c r="BT5" s="1556"/>
      <c r="BU5" s="1556"/>
      <c r="BV5" s="1556"/>
      <c r="BW5" s="1556"/>
      <c r="BX5" s="1556"/>
      <c r="BY5" s="1556"/>
      <c r="BZ5" s="1556"/>
      <c r="CA5" s="1556"/>
      <c r="CB5" s="1556"/>
      <c r="CC5" s="1556"/>
      <c r="CD5" s="1556"/>
      <c r="CE5" s="1551"/>
      <c r="CF5" s="1551"/>
      <c r="CG5" s="1551"/>
      <c r="CH5" s="1551"/>
      <c r="CI5" s="1551"/>
      <c r="CJ5" s="1551"/>
      <c r="CK5" s="1551"/>
      <c r="CL5" s="1551"/>
      <c r="CM5" s="1551"/>
      <c r="CN5" s="1551"/>
      <c r="CO5" s="1551"/>
      <c r="CP5" s="1551"/>
      <c r="CQ5" s="1551"/>
      <c r="CR5" s="1551"/>
      <c r="CS5" s="1551"/>
      <c r="CT5" s="1551"/>
      <c r="CU5" s="1551"/>
      <c r="CV5" s="1551"/>
      <c r="CW5" s="1551"/>
      <c r="CX5" s="1551"/>
      <c r="CY5" s="1551"/>
      <c r="CZ5" s="1551"/>
      <c r="DA5" s="1551"/>
      <c r="DB5" s="1551"/>
      <c r="DC5" s="1551"/>
      <c r="DD5" s="1551"/>
      <c r="DE5" s="1551"/>
      <c r="DF5" s="1551"/>
      <c r="DG5" s="1551"/>
      <c r="DH5" s="1551"/>
      <c r="DI5" s="1551"/>
      <c r="DJ5" s="1551"/>
      <c r="DK5" s="1551"/>
      <c r="DL5" s="1551"/>
      <c r="DM5" s="1551"/>
      <c r="DN5" s="1551"/>
      <c r="DO5" s="1551"/>
      <c r="DP5" s="1551"/>
      <c r="DQ5" s="1551"/>
      <c r="DR5" s="1551"/>
      <c r="DS5" s="1551"/>
      <c r="DT5" s="1551"/>
      <c r="DU5" s="1551"/>
      <c r="DV5" s="1551"/>
      <c r="DW5" s="1551"/>
      <c r="DX5" s="1551"/>
      <c r="DY5" s="1551"/>
      <c r="DZ5" s="1551"/>
      <c r="EA5" s="1551"/>
      <c r="EB5" s="1551"/>
      <c r="EC5" s="1551"/>
      <c r="ED5" s="1551"/>
      <c r="EE5" s="1551"/>
      <c r="EF5" s="1551"/>
      <c r="EG5" s="1551"/>
      <c r="EH5" s="1551"/>
      <c r="EI5" s="1551"/>
      <c r="EJ5" s="1551"/>
      <c r="EK5" s="1551"/>
      <c r="EL5" s="1551"/>
      <c r="EM5" s="1551"/>
      <c r="EN5" s="1551"/>
      <c r="EO5" s="1551"/>
      <c r="EP5" s="1551"/>
      <c r="EQ5" s="1551"/>
      <c r="ER5" s="1551"/>
      <c r="ES5" s="1551"/>
      <c r="ET5" s="1551"/>
      <c r="EU5" s="1551"/>
      <c r="EV5" s="1551"/>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51"/>
      <c r="IE5" s="1551"/>
      <c r="IF5" s="1551"/>
      <c r="IG5" s="1551"/>
      <c r="IH5" s="1551"/>
      <c r="II5" s="1551"/>
      <c r="IJ5" s="1551"/>
      <c r="IK5" s="1551"/>
      <c r="IL5" s="1551"/>
      <c r="IM5" s="1551"/>
      <c r="IN5" s="1551"/>
      <c r="IO5" s="1551"/>
      <c r="IP5" s="1551"/>
      <c r="IQ5" s="1551"/>
      <c r="IR5" s="1551"/>
      <c r="IS5" s="1551"/>
      <c r="IT5" s="1551"/>
      <c r="IU5" s="1551"/>
      <c r="IV5" s="1551"/>
      <c r="IW5" s="1551"/>
      <c r="IX5" s="1551"/>
      <c r="IY5" s="1551"/>
      <c r="IZ5" s="1551"/>
      <c r="JA5" s="1551"/>
      <c r="JB5" s="1551"/>
      <c r="JC5" s="1551"/>
      <c r="JD5" s="1551"/>
      <c r="JE5" s="1551"/>
      <c r="JF5" s="1551"/>
      <c r="JG5" s="1551"/>
      <c r="JH5" s="1555" t="s">
        <v>3994</v>
      </c>
      <c r="JI5" s="1555" t="s">
        <v>3995</v>
      </c>
      <c r="JJ5" s="1555" t="s">
        <v>3996</v>
      </c>
      <c r="JK5" s="1555" t="s">
        <v>3997</v>
      </c>
      <c r="JL5" s="1555" t="s">
        <v>3998</v>
      </c>
      <c r="JM5" s="1551" t="s">
        <v>4008</v>
      </c>
      <c r="JN5" s="1551" t="s">
        <v>4010</v>
      </c>
      <c r="JO5" s="1551" t="s">
        <v>4011</v>
      </c>
      <c r="JP5" s="1551" t="s">
        <v>4012</v>
      </c>
      <c r="JQ5" s="1551" t="s">
        <v>4013</v>
      </c>
      <c r="JR5" s="508"/>
      <c r="JS5" s="508"/>
      <c r="JT5" s="508"/>
      <c r="JU5" s="508"/>
      <c r="JV5" s="508"/>
      <c r="JW5" s="508"/>
      <c r="JX5" s="508"/>
      <c r="JY5" s="508"/>
      <c r="JZ5" s="508"/>
      <c r="KA5" s="508"/>
      <c r="KB5" s="508"/>
      <c r="KC5" s="508"/>
      <c r="KD5" s="508"/>
      <c r="KE5" s="508"/>
      <c r="KF5" s="508"/>
      <c r="KG5" s="508"/>
      <c r="KH5" s="508"/>
      <c r="KI5" s="508"/>
      <c r="KJ5" s="508"/>
    </row>
    <row r="6" spans="1:296" s="95" customFormat="1" ht="13.15" customHeight="1">
      <c r="A6" s="1578"/>
      <c r="B6" s="1260" t="s">
        <v>1894</v>
      </c>
      <c r="D6" s="1"/>
      <c r="E6" s="4"/>
      <c r="G6" s="2513" t="s">
        <v>3424</v>
      </c>
      <c r="J6" s="1238" t="s">
        <v>2523</v>
      </c>
      <c r="M6" s="1572" t="str">
        <f>'Part I-Project Information'!$O$30</f>
        <v>Valdosta</v>
      </c>
      <c r="N6" s="1572"/>
      <c r="O6" s="1350">
        <f>VLOOKUP('Part I-Project Information'!$O$30,'DCA Underwriting Assumptions'!$C$127:$D$237,2)</f>
        <v>50400</v>
      </c>
      <c r="P6" s="1549"/>
      <c r="Q6" s="1242"/>
      <c r="R6" s="100"/>
      <c r="S6" s="1573" t="s">
        <v>2859</v>
      </c>
      <c r="T6" s="1574"/>
      <c r="W6" s="1556"/>
      <c r="X6" s="1556"/>
      <c r="Y6" s="1556"/>
      <c r="Z6" s="1556"/>
      <c r="AA6" s="1556"/>
      <c r="AB6" s="1556"/>
      <c r="AC6" s="1556"/>
      <c r="AD6" s="1556"/>
      <c r="AE6" s="1556"/>
      <c r="AF6" s="1556"/>
      <c r="AG6" s="1556"/>
      <c r="AH6" s="1556"/>
      <c r="AI6" s="1556"/>
      <c r="AJ6" s="1556"/>
      <c r="AK6" s="1556"/>
      <c r="AL6" s="1556"/>
      <c r="AM6" s="1556"/>
      <c r="AN6" s="1556"/>
      <c r="AO6" s="1556"/>
      <c r="AP6" s="1556"/>
      <c r="AQ6" s="1556"/>
      <c r="AR6" s="1556"/>
      <c r="AS6" s="1556"/>
      <c r="AT6" s="1556"/>
      <c r="AU6" s="1556"/>
      <c r="AV6" s="1556"/>
      <c r="AW6" s="1556"/>
      <c r="AX6" s="1556"/>
      <c r="AY6" s="1556"/>
      <c r="AZ6" s="1556"/>
      <c r="BA6" s="1556"/>
      <c r="BB6" s="1556"/>
      <c r="BC6" s="1556"/>
      <c r="BD6" s="1556"/>
      <c r="BE6" s="1556"/>
      <c r="BF6" s="1556"/>
      <c r="BG6" s="1556"/>
      <c r="BH6" s="1556"/>
      <c r="BI6" s="1556"/>
      <c r="BJ6" s="1556"/>
      <c r="BK6" s="1556"/>
      <c r="BL6" s="1556"/>
      <c r="BM6" s="1556"/>
      <c r="BN6" s="1556"/>
      <c r="BO6" s="1556"/>
      <c r="BP6" s="1556"/>
      <c r="BQ6" s="1556"/>
      <c r="BR6" s="1556"/>
      <c r="BS6" s="1556"/>
      <c r="BT6" s="1556"/>
      <c r="BU6" s="1556"/>
      <c r="BV6" s="1556"/>
      <c r="BW6" s="1556"/>
      <c r="BX6" s="1556"/>
      <c r="BY6" s="1556"/>
      <c r="BZ6" s="1556"/>
      <c r="CA6" s="1556"/>
      <c r="CB6" s="1556"/>
      <c r="CC6" s="1556"/>
      <c r="CD6" s="1556"/>
      <c r="CE6" s="1551"/>
      <c r="CF6" s="1551"/>
      <c r="CG6" s="1551"/>
      <c r="CH6" s="1551"/>
      <c r="CI6" s="1551"/>
      <c r="CJ6" s="1551"/>
      <c r="CK6" s="1551"/>
      <c r="CL6" s="1551"/>
      <c r="CM6" s="1551"/>
      <c r="CN6" s="1551"/>
      <c r="CO6" s="1551"/>
      <c r="CP6" s="1551"/>
      <c r="CQ6" s="1551"/>
      <c r="CR6" s="1551"/>
      <c r="CS6" s="1551"/>
      <c r="CT6" s="1551"/>
      <c r="CU6" s="1551"/>
      <c r="CV6" s="1551"/>
      <c r="CW6" s="1551"/>
      <c r="CX6" s="1551"/>
      <c r="CY6" s="1551"/>
      <c r="CZ6" s="1551"/>
      <c r="DA6" s="1551"/>
      <c r="DB6" s="1551"/>
      <c r="DC6" s="1551"/>
      <c r="DD6" s="1551"/>
      <c r="DE6" s="1551"/>
      <c r="DF6" s="1551"/>
      <c r="DG6" s="1551"/>
      <c r="DH6" s="1551"/>
      <c r="DI6" s="1551"/>
      <c r="DJ6" s="1551"/>
      <c r="DK6" s="1551"/>
      <c r="DL6" s="1551"/>
      <c r="DM6" s="1551"/>
      <c r="DN6" s="1551"/>
      <c r="DO6" s="1551"/>
      <c r="DP6" s="1551"/>
      <c r="DQ6" s="1551"/>
      <c r="DR6" s="1551"/>
      <c r="DS6" s="1551"/>
      <c r="DT6" s="1551"/>
      <c r="DU6" s="1551"/>
      <c r="DV6" s="1551"/>
      <c r="DW6" s="1551"/>
      <c r="DX6" s="1551"/>
      <c r="DY6" s="1551"/>
      <c r="DZ6" s="1551"/>
      <c r="EA6" s="1551"/>
      <c r="EB6" s="1551"/>
      <c r="EC6" s="1551"/>
      <c r="ED6" s="1551"/>
      <c r="EE6" s="1551"/>
      <c r="EF6" s="1551"/>
      <c r="EG6" s="1551"/>
      <c r="EH6" s="1551"/>
      <c r="EI6" s="1551"/>
      <c r="EJ6" s="1551"/>
      <c r="EK6" s="1551"/>
      <c r="EL6" s="1551"/>
      <c r="EM6" s="1551"/>
      <c r="EN6" s="1551"/>
      <c r="EO6" s="1551"/>
      <c r="EP6" s="1551"/>
      <c r="EQ6" s="1551"/>
      <c r="ER6" s="1551"/>
      <c r="ES6" s="1551"/>
      <c r="ET6" s="1551"/>
      <c r="EU6" s="1551"/>
      <c r="EV6" s="1551"/>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51"/>
      <c r="IE6" s="1551"/>
      <c r="IF6" s="1551"/>
      <c r="IG6" s="1551"/>
      <c r="IH6" s="1551"/>
      <c r="II6" s="1551"/>
      <c r="IJ6" s="1551"/>
      <c r="IK6" s="1551"/>
      <c r="IL6" s="1551"/>
      <c r="IM6" s="1551"/>
      <c r="IN6" s="1551"/>
      <c r="IO6" s="1551"/>
      <c r="IP6" s="1551"/>
      <c r="IQ6" s="1551"/>
      <c r="IR6" s="1551"/>
      <c r="IS6" s="1551"/>
      <c r="IT6" s="1551"/>
      <c r="IU6" s="1551"/>
      <c r="IV6" s="1551"/>
      <c r="IW6" s="1551"/>
      <c r="IX6" s="1551"/>
      <c r="IY6" s="1551"/>
      <c r="IZ6" s="1551"/>
      <c r="JA6" s="1551"/>
      <c r="JB6" s="1551"/>
      <c r="JC6" s="1551"/>
      <c r="JD6" s="1551"/>
      <c r="JE6" s="1551"/>
      <c r="JF6" s="1551"/>
      <c r="JG6" s="1551"/>
      <c r="JH6" s="1555"/>
      <c r="JI6" s="1555"/>
      <c r="JJ6" s="1555"/>
      <c r="JK6" s="1555"/>
      <c r="JL6" s="1555"/>
      <c r="JM6" s="1551"/>
      <c r="JN6" s="1551"/>
      <c r="JO6" s="1551"/>
      <c r="JP6" s="1551"/>
      <c r="JQ6" s="1551"/>
      <c r="JR6" s="508"/>
      <c r="JS6" s="508"/>
      <c r="JT6" s="508"/>
      <c r="JU6" s="508"/>
      <c r="JV6" s="508"/>
      <c r="JW6" s="508"/>
      <c r="JX6" s="508"/>
      <c r="JY6" s="508"/>
      <c r="JZ6" s="508"/>
      <c r="KA6" s="508"/>
      <c r="KB6" s="508"/>
      <c r="KC6" s="508"/>
      <c r="KD6" s="508"/>
      <c r="KE6" s="508"/>
      <c r="KF6" s="508"/>
      <c r="KG6" s="508"/>
      <c r="KH6" s="508"/>
      <c r="KI6" s="508"/>
      <c r="KJ6" s="508"/>
    </row>
    <row r="7" spans="1:296" s="95" customFormat="1" ht="13.9" customHeight="1">
      <c r="A7" s="1578"/>
      <c r="B7" s="4"/>
      <c r="C7" s="1"/>
      <c r="D7" s="4"/>
      <c r="E7" s="1"/>
      <c r="F7" s="1"/>
      <c r="G7" s="1"/>
      <c r="H7" s="1"/>
      <c r="I7" s="1"/>
      <c r="J7" s="1238" t="s">
        <v>2524</v>
      </c>
      <c r="K7" s="1"/>
      <c r="L7" s="1"/>
      <c r="M7" s="1"/>
      <c r="P7" s="1549"/>
      <c r="Q7" s="1242"/>
      <c r="R7" s="1208"/>
      <c r="S7" s="1209"/>
      <c r="T7" s="1276" t="s">
        <v>2856</v>
      </c>
      <c r="U7" s="467"/>
      <c r="V7" s="468"/>
      <c r="W7" s="1556"/>
      <c r="X7" s="1556"/>
      <c r="Y7" s="1556"/>
      <c r="Z7" s="1556"/>
      <c r="AA7" s="1556"/>
      <c r="AB7" s="1556"/>
      <c r="AC7" s="1556"/>
      <c r="AD7" s="1556"/>
      <c r="AE7" s="1556"/>
      <c r="AF7" s="1556"/>
      <c r="AG7" s="1556"/>
      <c r="AH7" s="1556"/>
      <c r="AI7" s="1556"/>
      <c r="AJ7" s="1556"/>
      <c r="AK7" s="1556"/>
      <c r="AL7" s="1556"/>
      <c r="AM7" s="1556"/>
      <c r="AN7" s="1556"/>
      <c r="AO7" s="1556"/>
      <c r="AP7" s="1556"/>
      <c r="AQ7" s="1556"/>
      <c r="AR7" s="1556"/>
      <c r="AS7" s="1556"/>
      <c r="AT7" s="1556"/>
      <c r="AU7" s="1556"/>
      <c r="AV7" s="1556"/>
      <c r="AW7" s="1556"/>
      <c r="AX7" s="1556"/>
      <c r="AY7" s="1556"/>
      <c r="AZ7" s="1556"/>
      <c r="BA7" s="1556"/>
      <c r="BB7" s="1556"/>
      <c r="BC7" s="1556"/>
      <c r="BD7" s="1556"/>
      <c r="BE7" s="1556"/>
      <c r="BF7" s="1556"/>
      <c r="BG7" s="1556"/>
      <c r="BH7" s="1556"/>
      <c r="BI7" s="1556"/>
      <c r="BJ7" s="1556"/>
      <c r="BK7" s="1556"/>
      <c r="BL7" s="1556"/>
      <c r="BM7" s="1556"/>
      <c r="BN7" s="1556"/>
      <c r="BO7" s="1556"/>
      <c r="BP7" s="1556"/>
      <c r="BQ7" s="1556"/>
      <c r="BR7" s="1556"/>
      <c r="BS7" s="1556"/>
      <c r="BT7" s="1556"/>
      <c r="BU7" s="1556"/>
      <c r="BV7" s="1556"/>
      <c r="BW7" s="1556"/>
      <c r="BX7" s="1556"/>
      <c r="BY7" s="1556"/>
      <c r="BZ7" s="1556"/>
      <c r="CA7" s="1556"/>
      <c r="CB7" s="1556"/>
      <c r="CC7" s="1556"/>
      <c r="CD7" s="1556"/>
      <c r="CE7" s="1551"/>
      <c r="CF7" s="1551"/>
      <c r="CG7" s="1551"/>
      <c r="CH7" s="1551"/>
      <c r="CI7" s="1551"/>
      <c r="CJ7" s="1551"/>
      <c r="CK7" s="1551"/>
      <c r="CL7" s="1551"/>
      <c r="CM7" s="1551"/>
      <c r="CN7" s="1551"/>
      <c r="CO7" s="1551"/>
      <c r="CP7" s="1551"/>
      <c r="CQ7" s="1551"/>
      <c r="CR7" s="1551"/>
      <c r="CS7" s="1551"/>
      <c r="CT7" s="1551"/>
      <c r="CU7" s="1551"/>
      <c r="CV7" s="1551"/>
      <c r="CW7" s="1551"/>
      <c r="CX7" s="1551"/>
      <c r="CY7" s="1551"/>
      <c r="CZ7" s="1551"/>
      <c r="DA7" s="1551"/>
      <c r="DB7" s="1551"/>
      <c r="DC7" s="1551"/>
      <c r="DD7" s="1551"/>
      <c r="DE7" s="1551"/>
      <c r="DF7" s="1551"/>
      <c r="DG7" s="1551"/>
      <c r="DH7" s="1551"/>
      <c r="DI7" s="1551"/>
      <c r="DJ7" s="1551"/>
      <c r="DK7" s="1551"/>
      <c r="DL7" s="1551"/>
      <c r="DM7" s="1551"/>
      <c r="DN7" s="1551"/>
      <c r="DO7" s="1551"/>
      <c r="DP7" s="1551"/>
      <c r="DQ7" s="1551"/>
      <c r="DR7" s="1551"/>
      <c r="DS7" s="1551"/>
      <c r="DT7" s="1551"/>
      <c r="DU7" s="1551"/>
      <c r="DV7" s="1551"/>
      <c r="DW7" s="1551"/>
      <c r="DX7" s="1551"/>
      <c r="DY7" s="1551"/>
      <c r="DZ7" s="1551"/>
      <c r="EA7" s="1551"/>
      <c r="EB7" s="1551"/>
      <c r="EC7" s="1551"/>
      <c r="ED7" s="1551"/>
      <c r="EE7" s="1551"/>
      <c r="EF7" s="1551"/>
      <c r="EG7" s="1551"/>
      <c r="EH7" s="1551"/>
      <c r="EI7" s="1551"/>
      <c r="EJ7" s="1551"/>
      <c r="EK7" s="1551"/>
      <c r="EL7" s="1551"/>
      <c r="EM7" s="1551"/>
      <c r="EN7" s="1551"/>
      <c r="EO7" s="1551"/>
      <c r="EP7" s="1551"/>
      <c r="EQ7" s="1551"/>
      <c r="ER7" s="1551"/>
      <c r="ES7" s="1551"/>
      <c r="ET7" s="1551"/>
      <c r="EU7" s="1551"/>
      <c r="EV7" s="1551"/>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591</v>
      </c>
      <c r="FW7" s="515" t="s">
        <v>2560</v>
      </c>
      <c r="FX7" s="515" t="s">
        <v>2561</v>
      </c>
      <c r="FY7" s="515" t="s">
        <v>2562</v>
      </c>
      <c r="FZ7" s="515" t="s">
        <v>2563</v>
      </c>
      <c r="GA7" s="515" t="s">
        <v>591</v>
      </c>
      <c r="GB7" s="515" t="s">
        <v>2560</v>
      </c>
      <c r="GC7" s="515" t="s">
        <v>2561</v>
      </c>
      <c r="GD7" s="515" t="s">
        <v>2562</v>
      </c>
      <c r="GE7" s="515" t="s">
        <v>2563</v>
      </c>
      <c r="GF7" s="515" t="s">
        <v>591</v>
      </c>
      <c r="GG7" s="515" t="s">
        <v>2560</v>
      </c>
      <c r="GH7" s="515" t="s">
        <v>2561</v>
      </c>
      <c r="GI7" s="515" t="s">
        <v>2562</v>
      </c>
      <c r="GJ7" s="515" t="s">
        <v>2563</v>
      </c>
      <c r="GK7" s="515" t="s">
        <v>591</v>
      </c>
      <c r="GL7" s="515" t="s">
        <v>2560</v>
      </c>
      <c r="GM7" s="515" t="s">
        <v>2561</v>
      </c>
      <c r="GN7" s="515" t="s">
        <v>2562</v>
      </c>
      <c r="GO7" s="515" t="s">
        <v>2563</v>
      </c>
      <c r="GP7" s="515" t="s">
        <v>591</v>
      </c>
      <c r="GQ7" s="515" t="s">
        <v>2560</v>
      </c>
      <c r="GR7" s="515" t="s">
        <v>2561</v>
      </c>
      <c r="GS7" s="515" t="s">
        <v>2562</v>
      </c>
      <c r="GT7" s="515" t="s">
        <v>2563</v>
      </c>
      <c r="GU7" s="515" t="s">
        <v>591</v>
      </c>
      <c r="GV7" s="515" t="s">
        <v>2560</v>
      </c>
      <c r="GW7" s="515" t="s">
        <v>2561</v>
      </c>
      <c r="GX7" s="515" t="s">
        <v>2562</v>
      </c>
      <c r="GY7" s="515" t="s">
        <v>2563</v>
      </c>
      <c r="GZ7" s="515" t="s">
        <v>591</v>
      </c>
      <c r="HA7" s="515" t="s">
        <v>2560</v>
      </c>
      <c r="HB7" s="515" t="s">
        <v>2561</v>
      </c>
      <c r="HC7" s="515" t="s">
        <v>2562</v>
      </c>
      <c r="HD7" s="515" t="s">
        <v>2563</v>
      </c>
      <c r="HE7" s="515" t="s">
        <v>591</v>
      </c>
      <c r="HF7" s="515" t="s">
        <v>2560</v>
      </c>
      <c r="HG7" s="515" t="s">
        <v>2561</v>
      </c>
      <c r="HH7" s="515" t="s">
        <v>2562</v>
      </c>
      <c r="HI7" s="515" t="s">
        <v>2563</v>
      </c>
      <c r="HJ7" s="515" t="s">
        <v>506</v>
      </c>
      <c r="HK7" s="515" t="s">
        <v>2560</v>
      </c>
      <c r="HL7" s="515" t="s">
        <v>2561</v>
      </c>
      <c r="HM7" s="515" t="s">
        <v>2562</v>
      </c>
      <c r="HN7" s="515" t="s">
        <v>2563</v>
      </c>
      <c r="HO7" s="515" t="s">
        <v>506</v>
      </c>
      <c r="HP7" s="515" t="s">
        <v>2560</v>
      </c>
      <c r="HQ7" s="515" t="s">
        <v>2561</v>
      </c>
      <c r="HR7" s="515" t="s">
        <v>2562</v>
      </c>
      <c r="HS7" s="515" t="s">
        <v>2563</v>
      </c>
      <c r="HT7" s="515" t="s">
        <v>506</v>
      </c>
      <c r="HU7" s="515" t="s">
        <v>2560</v>
      </c>
      <c r="HV7" s="515" t="s">
        <v>2561</v>
      </c>
      <c r="HW7" s="515" t="s">
        <v>2562</v>
      </c>
      <c r="HX7" s="515" t="s">
        <v>2563</v>
      </c>
      <c r="HY7" s="515" t="s">
        <v>506</v>
      </c>
      <c r="HZ7" s="515" t="s">
        <v>2560</v>
      </c>
      <c r="IA7" s="515" t="s">
        <v>2561</v>
      </c>
      <c r="IB7" s="515" t="s">
        <v>2562</v>
      </c>
      <c r="IC7" s="515" t="s">
        <v>2563</v>
      </c>
      <c r="ID7" s="1551"/>
      <c r="IE7" s="1551"/>
      <c r="IF7" s="1551"/>
      <c r="IG7" s="1551"/>
      <c r="IH7" s="1551"/>
      <c r="II7" s="1551"/>
      <c r="IJ7" s="1551"/>
      <c r="IK7" s="1551"/>
      <c r="IL7" s="1551"/>
      <c r="IM7" s="1551"/>
      <c r="IN7" s="1551"/>
      <c r="IO7" s="1551"/>
      <c r="IP7" s="1551"/>
      <c r="IQ7" s="1551"/>
      <c r="IR7" s="1551"/>
      <c r="IS7" s="1551"/>
      <c r="IT7" s="1551"/>
      <c r="IU7" s="1551"/>
      <c r="IV7" s="1551"/>
      <c r="IW7" s="1551"/>
      <c r="IX7" s="1551"/>
      <c r="IY7" s="1551"/>
      <c r="IZ7" s="1551"/>
      <c r="JA7" s="1551"/>
      <c r="JB7" s="1551"/>
      <c r="JC7" s="1551"/>
      <c r="JD7" s="1551"/>
      <c r="JE7" s="1551"/>
      <c r="JF7" s="1551"/>
      <c r="JG7" s="1551"/>
      <c r="JH7" s="1555"/>
      <c r="JI7" s="1555"/>
      <c r="JJ7" s="1555"/>
      <c r="JK7" s="1555"/>
      <c r="JL7" s="1555"/>
      <c r="JM7" s="1551"/>
      <c r="JN7" s="1551"/>
      <c r="JO7" s="1551"/>
      <c r="JP7" s="1551"/>
      <c r="JQ7" s="1551"/>
      <c r="JR7" s="508"/>
      <c r="JS7" s="508"/>
      <c r="JT7" s="508"/>
      <c r="JU7" s="508"/>
      <c r="JV7" s="508"/>
      <c r="JW7" s="508"/>
      <c r="JX7" s="508"/>
      <c r="JY7" s="508"/>
      <c r="JZ7" s="508"/>
      <c r="KA7" s="508"/>
      <c r="KB7" s="508"/>
      <c r="KC7" s="508"/>
      <c r="KD7" s="508"/>
      <c r="KE7" s="508"/>
      <c r="KF7" s="508"/>
      <c r="KG7" s="508"/>
      <c r="KH7" s="508"/>
      <c r="KI7" s="508"/>
      <c r="KJ7" s="508"/>
    </row>
    <row r="8" spans="1:296" s="118" customFormat="1" ht="13.9" customHeight="1">
      <c r="A8" s="1578"/>
      <c r="B8" s="176" t="s">
        <v>1553</v>
      </c>
      <c r="C8" s="1238" t="s">
        <v>177</v>
      </c>
      <c r="D8" s="1238" t="s">
        <v>568</v>
      </c>
      <c r="E8" s="1238" t="s">
        <v>1551</v>
      </c>
      <c r="F8" s="1238" t="s">
        <v>1551</v>
      </c>
      <c r="G8" s="1238" t="s">
        <v>2502</v>
      </c>
      <c r="H8" s="1238" t="s">
        <v>2500</v>
      </c>
      <c r="I8" s="1238" t="s">
        <v>839</v>
      </c>
      <c r="J8" s="1238" t="s">
        <v>2525</v>
      </c>
      <c r="K8" s="1571" t="s">
        <v>147</v>
      </c>
      <c r="L8" s="1571"/>
      <c r="M8" s="1238" t="s">
        <v>2478</v>
      </c>
      <c r="N8" s="1238" t="s">
        <v>555</v>
      </c>
      <c r="O8" s="1238" t="s">
        <v>397</v>
      </c>
      <c r="P8" s="1549"/>
      <c r="Q8" s="1549" t="s">
        <v>4567</v>
      </c>
      <c r="R8" s="1549"/>
      <c r="S8" s="1238" t="s">
        <v>2855</v>
      </c>
      <c r="T8" s="1238" t="s">
        <v>2857</v>
      </c>
      <c r="U8" s="469"/>
      <c r="V8" s="470"/>
      <c r="W8" s="1556"/>
      <c r="X8" s="1556"/>
      <c r="Y8" s="1556"/>
      <c r="Z8" s="1556"/>
      <c r="AA8" s="1556"/>
      <c r="AB8" s="1556"/>
      <c r="AC8" s="1556"/>
      <c r="AD8" s="1556"/>
      <c r="AE8" s="1556"/>
      <c r="AF8" s="1556"/>
      <c r="AG8" s="1556"/>
      <c r="AH8" s="1556"/>
      <c r="AI8" s="1556"/>
      <c r="AJ8" s="1556"/>
      <c r="AK8" s="1556"/>
      <c r="AL8" s="1556"/>
      <c r="AM8" s="1556"/>
      <c r="AN8" s="1556"/>
      <c r="AO8" s="1556"/>
      <c r="AP8" s="1556"/>
      <c r="AQ8" s="1556"/>
      <c r="AR8" s="1556"/>
      <c r="AS8" s="1556"/>
      <c r="AT8" s="1556"/>
      <c r="AU8" s="1556"/>
      <c r="AV8" s="1556"/>
      <c r="AW8" s="1556"/>
      <c r="AX8" s="1556"/>
      <c r="AY8" s="1556"/>
      <c r="AZ8" s="1556"/>
      <c r="BA8" s="1556"/>
      <c r="BB8" s="1556"/>
      <c r="BC8" s="1556"/>
      <c r="BD8" s="1556"/>
      <c r="BE8" s="1556"/>
      <c r="BF8" s="1556"/>
      <c r="BG8" s="1556"/>
      <c r="BH8" s="1556"/>
      <c r="BI8" s="1556"/>
      <c r="BJ8" s="1556"/>
      <c r="BK8" s="1556"/>
      <c r="BL8" s="1556"/>
      <c r="BM8" s="1556"/>
      <c r="BN8" s="1556"/>
      <c r="BO8" s="1556"/>
      <c r="BP8" s="1556"/>
      <c r="BQ8" s="1556"/>
      <c r="BR8" s="1556"/>
      <c r="BS8" s="1556"/>
      <c r="BT8" s="1556"/>
      <c r="BU8" s="1556"/>
      <c r="BV8" s="1556"/>
      <c r="BW8" s="1556"/>
      <c r="BX8" s="1556"/>
      <c r="BY8" s="1556"/>
      <c r="BZ8" s="1556"/>
      <c r="CA8" s="1556"/>
      <c r="CB8" s="1556"/>
      <c r="CC8" s="1556"/>
      <c r="CD8" s="1556"/>
      <c r="CE8" s="1551"/>
      <c r="CF8" s="1551"/>
      <c r="CG8" s="1551"/>
      <c r="CH8" s="1551"/>
      <c r="CI8" s="1551"/>
      <c r="CJ8" s="1551"/>
      <c r="CK8" s="1551"/>
      <c r="CL8" s="1551"/>
      <c r="CM8" s="1551"/>
      <c r="CN8" s="1551"/>
      <c r="CO8" s="1551"/>
      <c r="CP8" s="1551"/>
      <c r="CQ8" s="1551"/>
      <c r="CR8" s="1551"/>
      <c r="CS8" s="1551"/>
      <c r="CT8" s="1551"/>
      <c r="CU8" s="1551"/>
      <c r="CV8" s="1551"/>
      <c r="CW8" s="1551"/>
      <c r="CX8" s="1551"/>
      <c r="CY8" s="1551"/>
      <c r="CZ8" s="1551"/>
      <c r="DA8" s="1551"/>
      <c r="DB8" s="1551"/>
      <c r="DC8" s="1551"/>
      <c r="DD8" s="1551"/>
      <c r="DE8" s="1551"/>
      <c r="DF8" s="1551"/>
      <c r="DG8" s="1551"/>
      <c r="DH8" s="1551"/>
      <c r="DI8" s="1551"/>
      <c r="DJ8" s="1551"/>
      <c r="DK8" s="1551"/>
      <c r="DL8" s="1551"/>
      <c r="DM8" s="1551"/>
      <c r="DN8" s="1551"/>
      <c r="DO8" s="1551"/>
      <c r="DP8" s="1551"/>
      <c r="DQ8" s="1551"/>
      <c r="DR8" s="1551"/>
      <c r="DS8" s="1551"/>
      <c r="DT8" s="1551"/>
      <c r="DU8" s="1551"/>
      <c r="DV8" s="1551"/>
      <c r="DW8" s="1551"/>
      <c r="DX8" s="1551"/>
      <c r="DY8" s="1551"/>
      <c r="DZ8" s="1551"/>
      <c r="EA8" s="1551"/>
      <c r="EB8" s="1551"/>
      <c r="EC8" s="1551"/>
      <c r="ED8" s="1551"/>
      <c r="EE8" s="1551"/>
      <c r="EF8" s="1551"/>
      <c r="EG8" s="1551"/>
      <c r="EH8" s="1551"/>
      <c r="EI8" s="1551"/>
      <c r="EJ8" s="1551"/>
      <c r="EK8" s="1551"/>
      <c r="EL8" s="1551"/>
      <c r="EM8" s="1551"/>
      <c r="EN8" s="1551"/>
      <c r="EO8" s="1551"/>
      <c r="EP8" s="1551"/>
      <c r="EQ8" s="1551"/>
      <c r="ER8" s="1551"/>
      <c r="ES8" s="1551"/>
      <c r="ET8" s="1551"/>
      <c r="EU8" s="1551"/>
      <c r="EV8" s="1551"/>
      <c r="EW8" s="1551" t="s">
        <v>1535</v>
      </c>
      <c r="EX8" s="515" t="s">
        <v>2560</v>
      </c>
      <c r="EY8" s="515" t="s">
        <v>2561</v>
      </c>
      <c r="EZ8" s="515" t="s">
        <v>2562</v>
      </c>
      <c r="FA8" s="515" t="s">
        <v>2563</v>
      </c>
      <c r="FB8" s="1551" t="s">
        <v>2619</v>
      </c>
      <c r="FC8" s="1551" t="s">
        <v>2619</v>
      </c>
      <c r="FD8" s="1551" t="s">
        <v>2619</v>
      </c>
      <c r="FE8" s="1551" t="s">
        <v>2619</v>
      </c>
      <c r="FF8" s="1551" t="s">
        <v>2619</v>
      </c>
      <c r="FG8" s="1551" t="s">
        <v>3823</v>
      </c>
      <c r="FH8" s="1551" t="s">
        <v>3823</v>
      </c>
      <c r="FI8" s="1551" t="s">
        <v>3823</v>
      </c>
      <c r="FJ8" s="1551" t="s">
        <v>3823</v>
      </c>
      <c r="FK8" s="1551" t="s">
        <v>3823</v>
      </c>
      <c r="FL8" s="515" t="s">
        <v>591</v>
      </c>
      <c r="FM8" s="515" t="s">
        <v>2560</v>
      </c>
      <c r="FN8" s="515" t="s">
        <v>2561</v>
      </c>
      <c r="FO8" s="515" t="s">
        <v>2562</v>
      </c>
      <c r="FP8" s="515" t="s">
        <v>2563</v>
      </c>
      <c r="FQ8" s="515" t="s">
        <v>591</v>
      </c>
      <c r="FR8" s="515" t="s">
        <v>2560</v>
      </c>
      <c r="FS8" s="515" t="s">
        <v>2561</v>
      </c>
      <c r="FT8" s="515" t="s">
        <v>2562</v>
      </c>
      <c r="FU8" s="515" t="s">
        <v>2563</v>
      </c>
      <c r="FV8" s="1551" t="s">
        <v>2621</v>
      </c>
      <c r="FW8" s="1551" t="s">
        <v>2621</v>
      </c>
      <c r="FX8" s="1551" t="s">
        <v>2621</v>
      </c>
      <c r="FY8" s="1551" t="s">
        <v>2621</v>
      </c>
      <c r="FZ8" s="1551" t="s">
        <v>2621</v>
      </c>
      <c r="GA8" s="1551" t="s">
        <v>3819</v>
      </c>
      <c r="GB8" s="1551" t="s">
        <v>3819</v>
      </c>
      <c r="GC8" s="1551" t="s">
        <v>3819</v>
      </c>
      <c r="GD8" s="1551" t="s">
        <v>3819</v>
      </c>
      <c r="GE8" s="1551" t="s">
        <v>3819</v>
      </c>
      <c r="GF8" s="1551" t="s">
        <v>372</v>
      </c>
      <c r="GG8" s="1551" t="s">
        <v>372</v>
      </c>
      <c r="GH8" s="1551" t="s">
        <v>372</v>
      </c>
      <c r="GI8" s="1551" t="s">
        <v>372</v>
      </c>
      <c r="GJ8" s="1551" t="s">
        <v>372</v>
      </c>
      <c r="GK8" s="1551" t="s">
        <v>3818</v>
      </c>
      <c r="GL8" s="1551" t="s">
        <v>3818</v>
      </c>
      <c r="GM8" s="1551" t="s">
        <v>3818</v>
      </c>
      <c r="GN8" s="1551" t="s">
        <v>3818</v>
      </c>
      <c r="GO8" s="1551" t="s">
        <v>3818</v>
      </c>
      <c r="GP8" s="1551" t="s">
        <v>373</v>
      </c>
      <c r="GQ8" s="1551" t="s">
        <v>373</v>
      </c>
      <c r="GR8" s="1551" t="s">
        <v>373</v>
      </c>
      <c r="GS8" s="1551" t="s">
        <v>373</v>
      </c>
      <c r="GT8" s="1551" t="s">
        <v>373</v>
      </c>
      <c r="GU8" s="1551" t="s">
        <v>3817</v>
      </c>
      <c r="GV8" s="1551" t="s">
        <v>3817</v>
      </c>
      <c r="GW8" s="1551" t="s">
        <v>3817</v>
      </c>
      <c r="GX8" s="1551" t="s">
        <v>3817</v>
      </c>
      <c r="GY8" s="1551" t="s">
        <v>3817</v>
      </c>
      <c r="GZ8" s="1551" t="s">
        <v>374</v>
      </c>
      <c r="HA8" s="1551" t="s">
        <v>374</v>
      </c>
      <c r="HB8" s="1551" t="s">
        <v>374</v>
      </c>
      <c r="HC8" s="1551" t="s">
        <v>374</v>
      </c>
      <c r="HD8" s="1551" t="s">
        <v>374</v>
      </c>
      <c r="HE8" s="1551" t="s">
        <v>3820</v>
      </c>
      <c r="HF8" s="1551" t="s">
        <v>3820</v>
      </c>
      <c r="HG8" s="1551" t="s">
        <v>3820</v>
      </c>
      <c r="HH8" s="1551" t="s">
        <v>3820</v>
      </c>
      <c r="HI8" s="1551" t="s">
        <v>3820</v>
      </c>
      <c r="HJ8" s="1551" t="s">
        <v>375</v>
      </c>
      <c r="HK8" s="1551" t="s">
        <v>375</v>
      </c>
      <c r="HL8" s="1551" t="s">
        <v>375</v>
      </c>
      <c r="HM8" s="1551" t="s">
        <v>375</v>
      </c>
      <c r="HN8" s="1551" t="s">
        <v>375</v>
      </c>
      <c r="HO8" s="1551" t="s">
        <v>3821</v>
      </c>
      <c r="HP8" s="1551" t="s">
        <v>3821</v>
      </c>
      <c r="HQ8" s="1551" t="s">
        <v>3821</v>
      </c>
      <c r="HR8" s="1551" t="s">
        <v>3821</v>
      </c>
      <c r="HS8" s="1551" t="s">
        <v>3821</v>
      </c>
      <c r="HT8" s="1551" t="s">
        <v>1534</v>
      </c>
      <c r="HU8" s="1551" t="s">
        <v>1534</v>
      </c>
      <c r="HV8" s="1551" t="s">
        <v>1534</v>
      </c>
      <c r="HW8" s="1551" t="s">
        <v>1534</v>
      </c>
      <c r="HX8" s="1551" t="s">
        <v>1534</v>
      </c>
      <c r="HY8" s="1551" t="s">
        <v>3822</v>
      </c>
      <c r="HZ8" s="1551" t="s">
        <v>3822</v>
      </c>
      <c r="IA8" s="1551" t="s">
        <v>3822</v>
      </c>
      <c r="IB8" s="1551" t="s">
        <v>3822</v>
      </c>
      <c r="IC8" s="1551" t="s">
        <v>3822</v>
      </c>
      <c r="ID8" s="1551"/>
      <c r="IE8" s="1551"/>
      <c r="IF8" s="1551"/>
      <c r="IG8" s="1551"/>
      <c r="IH8" s="1551"/>
      <c r="II8" s="1551"/>
      <c r="IJ8" s="1551"/>
      <c r="IK8" s="1551"/>
      <c r="IL8" s="1551"/>
      <c r="IM8" s="1551"/>
      <c r="IN8" s="1551"/>
      <c r="IO8" s="1551"/>
      <c r="IP8" s="1551"/>
      <c r="IQ8" s="1551"/>
      <c r="IR8" s="1551"/>
      <c r="IS8" s="1551"/>
      <c r="IT8" s="1551"/>
      <c r="IU8" s="1551"/>
      <c r="IV8" s="1551"/>
      <c r="IW8" s="1551"/>
      <c r="IX8" s="1551"/>
      <c r="IY8" s="1551"/>
      <c r="IZ8" s="1551"/>
      <c r="JA8" s="1551"/>
      <c r="JB8" s="1551"/>
      <c r="JC8" s="1551"/>
      <c r="JD8" s="1551"/>
      <c r="JE8" s="1551"/>
      <c r="JF8" s="1551"/>
      <c r="JG8" s="1551"/>
      <c r="JH8" s="1555"/>
      <c r="JI8" s="1555"/>
      <c r="JJ8" s="1555"/>
      <c r="JK8" s="1555"/>
      <c r="JL8" s="1555"/>
      <c r="JM8" s="1551"/>
      <c r="JN8" s="1551"/>
      <c r="JO8" s="1551"/>
      <c r="JP8" s="1551"/>
      <c r="JQ8" s="1551"/>
      <c r="JR8" s="511"/>
      <c r="JS8" s="511"/>
      <c r="JT8" s="511"/>
      <c r="JU8" s="511"/>
      <c r="JV8" s="511"/>
      <c r="JW8" s="511"/>
      <c r="JX8" s="511"/>
      <c r="JY8" s="511"/>
      <c r="JZ8" s="511"/>
      <c r="KA8" s="511"/>
      <c r="KB8" s="511"/>
      <c r="KC8" s="511"/>
      <c r="KD8" s="511"/>
      <c r="KE8" s="511"/>
      <c r="KF8" s="511"/>
      <c r="KG8" s="511"/>
      <c r="KH8" s="511"/>
      <c r="KI8" s="511"/>
      <c r="KJ8" s="511"/>
    </row>
    <row r="9" spans="1:296" s="118" customFormat="1" ht="13.9" customHeight="1">
      <c r="A9" s="1578"/>
      <c r="B9" s="176" t="s">
        <v>1360</v>
      </c>
      <c r="C9" s="1238" t="s">
        <v>176</v>
      </c>
      <c r="D9" s="1238" t="s">
        <v>178</v>
      </c>
      <c r="E9" s="1238" t="s">
        <v>1552</v>
      </c>
      <c r="F9" s="1238" t="s">
        <v>1338</v>
      </c>
      <c r="G9" s="1238" t="s">
        <v>1339</v>
      </c>
      <c r="H9" s="1238" t="s">
        <v>2501</v>
      </c>
      <c r="I9" s="1238" t="s">
        <v>840</v>
      </c>
      <c r="J9" s="507" t="s">
        <v>363</v>
      </c>
      <c r="K9" s="1238" t="s">
        <v>1605</v>
      </c>
      <c r="L9" s="1238" t="s">
        <v>562</v>
      </c>
      <c r="M9" s="1238" t="s">
        <v>1551</v>
      </c>
      <c r="N9" s="1238" t="s">
        <v>3766</v>
      </c>
      <c r="O9" s="1238" t="s">
        <v>398</v>
      </c>
      <c r="P9" s="1553"/>
      <c r="Q9" s="1242" t="s">
        <v>4568</v>
      </c>
      <c r="R9" s="1238" t="s">
        <v>1089</v>
      </c>
      <c r="S9" s="1238" t="s">
        <v>1553</v>
      </c>
      <c r="T9" s="1238" t="s">
        <v>2858</v>
      </c>
      <c r="U9" s="1449" t="s">
        <v>1937</v>
      </c>
      <c r="V9" s="1449"/>
      <c r="W9" s="1556"/>
      <c r="X9" s="1556"/>
      <c r="Y9" s="1556"/>
      <c r="Z9" s="1556"/>
      <c r="AA9" s="1556"/>
      <c r="AB9" s="1556"/>
      <c r="AC9" s="1556"/>
      <c r="AD9" s="1556"/>
      <c r="AE9" s="1556"/>
      <c r="AF9" s="1556"/>
      <c r="AG9" s="1556"/>
      <c r="AH9" s="1556"/>
      <c r="AI9" s="1556"/>
      <c r="AJ9" s="1556"/>
      <c r="AK9" s="1556"/>
      <c r="AL9" s="1556"/>
      <c r="AM9" s="1556"/>
      <c r="AN9" s="1556"/>
      <c r="AO9" s="1556"/>
      <c r="AP9" s="1556"/>
      <c r="AQ9" s="1556"/>
      <c r="AR9" s="1556"/>
      <c r="AS9" s="1556"/>
      <c r="AT9" s="1556"/>
      <c r="AU9" s="1556"/>
      <c r="AV9" s="1556"/>
      <c r="AW9" s="1556"/>
      <c r="AX9" s="1556"/>
      <c r="AY9" s="1556"/>
      <c r="AZ9" s="1556"/>
      <c r="BA9" s="1556"/>
      <c r="BB9" s="1556"/>
      <c r="BC9" s="1556"/>
      <c r="BD9" s="1556"/>
      <c r="BE9" s="1556"/>
      <c r="BF9" s="1556"/>
      <c r="BG9" s="1556"/>
      <c r="BH9" s="1556"/>
      <c r="BI9" s="1556"/>
      <c r="BJ9" s="1556"/>
      <c r="BK9" s="1556"/>
      <c r="BL9" s="1556"/>
      <c r="BM9" s="1556"/>
      <c r="BN9" s="1556"/>
      <c r="BO9" s="1556"/>
      <c r="BP9" s="1556"/>
      <c r="BQ9" s="1556"/>
      <c r="BR9" s="1556"/>
      <c r="BS9" s="1556"/>
      <c r="BT9" s="1556"/>
      <c r="BU9" s="1556"/>
      <c r="BV9" s="1556"/>
      <c r="BW9" s="1556"/>
      <c r="BX9" s="1556"/>
      <c r="BY9" s="1556"/>
      <c r="BZ9" s="1556"/>
      <c r="CA9" s="1556"/>
      <c r="CB9" s="1556"/>
      <c r="CC9" s="1556"/>
      <c r="CD9" s="1556"/>
      <c r="CE9" s="1551"/>
      <c r="CF9" s="1551"/>
      <c r="CG9" s="1551"/>
      <c r="CH9" s="1551"/>
      <c r="CI9" s="1551"/>
      <c r="CJ9" s="1551"/>
      <c r="CK9" s="1551"/>
      <c r="CL9" s="1551"/>
      <c r="CM9" s="1551"/>
      <c r="CN9" s="1551"/>
      <c r="CO9" s="1551"/>
      <c r="CP9" s="1551"/>
      <c r="CQ9" s="1551"/>
      <c r="CR9" s="1551"/>
      <c r="CS9" s="1551"/>
      <c r="CT9" s="1551"/>
      <c r="CU9" s="1551"/>
      <c r="CV9" s="1551"/>
      <c r="CW9" s="1551"/>
      <c r="CX9" s="1551"/>
      <c r="CY9" s="1551"/>
      <c r="CZ9" s="1551"/>
      <c r="DA9" s="1551"/>
      <c r="DB9" s="1551"/>
      <c r="DC9" s="1551"/>
      <c r="DD9" s="1551"/>
      <c r="DE9" s="1551"/>
      <c r="DF9" s="1551"/>
      <c r="DG9" s="1551"/>
      <c r="DH9" s="1551"/>
      <c r="DI9" s="1551"/>
      <c r="DJ9" s="1551"/>
      <c r="DK9" s="1551"/>
      <c r="DL9" s="1551"/>
      <c r="DM9" s="1551"/>
      <c r="DN9" s="1551"/>
      <c r="DO9" s="1551"/>
      <c r="DP9" s="1551"/>
      <c r="DQ9" s="1551"/>
      <c r="DR9" s="1551"/>
      <c r="DS9" s="1551"/>
      <c r="DT9" s="1551"/>
      <c r="DU9" s="1551"/>
      <c r="DV9" s="1551"/>
      <c r="DW9" s="1551"/>
      <c r="DX9" s="1551"/>
      <c r="DY9" s="1551"/>
      <c r="DZ9" s="1551"/>
      <c r="EA9" s="1551"/>
      <c r="EB9" s="1551"/>
      <c r="EC9" s="1551"/>
      <c r="ED9" s="1551"/>
      <c r="EE9" s="1551"/>
      <c r="EF9" s="1551"/>
      <c r="EG9" s="1551"/>
      <c r="EH9" s="1551"/>
      <c r="EI9" s="1551"/>
      <c r="EJ9" s="1551"/>
      <c r="EK9" s="1551"/>
      <c r="EL9" s="1551"/>
      <c r="EM9" s="1551"/>
      <c r="EN9" s="1551"/>
      <c r="EO9" s="1551"/>
      <c r="EP9" s="1551"/>
      <c r="EQ9" s="1551"/>
      <c r="ER9" s="1551"/>
      <c r="ES9" s="1551"/>
      <c r="ET9" s="1551"/>
      <c r="EU9" s="1551"/>
      <c r="EV9" s="1551"/>
      <c r="EW9" s="1551"/>
      <c r="EX9" s="515" t="s">
        <v>2618</v>
      </c>
      <c r="EY9" s="515" t="s">
        <v>2618</v>
      </c>
      <c r="EZ9" s="515" t="s">
        <v>2618</v>
      </c>
      <c r="FA9" s="515" t="s">
        <v>2618</v>
      </c>
      <c r="FB9" s="1551"/>
      <c r="FC9" s="1551"/>
      <c r="FD9" s="1551"/>
      <c r="FE9" s="1551"/>
      <c r="FF9" s="1551"/>
      <c r="FG9" s="1551"/>
      <c r="FH9" s="1551"/>
      <c r="FI9" s="1551"/>
      <c r="FJ9" s="1551"/>
      <c r="FK9" s="1551"/>
      <c r="FL9" s="515" t="s">
        <v>2620</v>
      </c>
      <c r="FM9" s="515" t="s">
        <v>2620</v>
      </c>
      <c r="FN9" s="515" t="s">
        <v>2620</v>
      </c>
      <c r="FO9" s="515" t="s">
        <v>2620</v>
      </c>
      <c r="FP9" s="515" t="s">
        <v>2620</v>
      </c>
      <c r="FQ9" s="515" t="s">
        <v>3824</v>
      </c>
      <c r="FR9" s="515" t="s">
        <v>3824</v>
      </c>
      <c r="FS9" s="515" t="s">
        <v>3824</v>
      </c>
      <c r="FT9" s="515" t="s">
        <v>3824</v>
      </c>
      <c r="FU9" s="515" t="s">
        <v>3824</v>
      </c>
      <c r="FV9" s="1551"/>
      <c r="FW9" s="1551"/>
      <c r="FX9" s="1551"/>
      <c r="FY9" s="1551"/>
      <c r="FZ9" s="1551"/>
      <c r="GA9" s="1551"/>
      <c r="GB9" s="1551"/>
      <c r="GC9" s="1551"/>
      <c r="GD9" s="1551"/>
      <c r="GE9" s="1551"/>
      <c r="GF9" s="1551"/>
      <c r="GG9" s="1551"/>
      <c r="GH9" s="1551"/>
      <c r="GI9" s="1551"/>
      <c r="GJ9" s="1551"/>
      <c r="GK9" s="1551"/>
      <c r="GL9" s="1551"/>
      <c r="GM9" s="1551"/>
      <c r="GN9" s="1551"/>
      <c r="GO9" s="1551"/>
      <c r="GP9" s="1551"/>
      <c r="GQ9" s="1551"/>
      <c r="GR9" s="1551"/>
      <c r="GS9" s="1551"/>
      <c r="GT9" s="1551"/>
      <c r="GU9" s="1551"/>
      <c r="GV9" s="1551"/>
      <c r="GW9" s="1551"/>
      <c r="GX9" s="1551"/>
      <c r="GY9" s="1551"/>
      <c r="GZ9" s="1551"/>
      <c r="HA9" s="1551"/>
      <c r="HB9" s="1551"/>
      <c r="HC9" s="1551"/>
      <c r="HD9" s="1551"/>
      <c r="HE9" s="1551"/>
      <c r="HF9" s="1551"/>
      <c r="HG9" s="1551"/>
      <c r="HH9" s="1551"/>
      <c r="HI9" s="1551"/>
      <c r="HJ9" s="1551"/>
      <c r="HK9" s="1551"/>
      <c r="HL9" s="1551"/>
      <c r="HM9" s="1551"/>
      <c r="HN9" s="1551"/>
      <c r="HO9" s="1551"/>
      <c r="HP9" s="1551"/>
      <c r="HQ9" s="1551"/>
      <c r="HR9" s="1551"/>
      <c r="HS9" s="1551"/>
      <c r="HT9" s="1551"/>
      <c r="HU9" s="1551"/>
      <c r="HV9" s="1551"/>
      <c r="HW9" s="1551"/>
      <c r="HX9" s="1551"/>
      <c r="HY9" s="1551"/>
      <c r="HZ9" s="1551"/>
      <c r="IA9" s="1551"/>
      <c r="IB9" s="1551"/>
      <c r="IC9" s="1551"/>
      <c r="ID9" s="1551"/>
      <c r="IE9" s="1551"/>
      <c r="IF9" s="1551"/>
      <c r="IG9" s="1551"/>
      <c r="IH9" s="1551"/>
      <c r="II9" s="1551"/>
      <c r="IJ9" s="1551"/>
      <c r="IK9" s="1551"/>
      <c r="IL9" s="1551"/>
      <c r="IM9" s="1551"/>
      <c r="IN9" s="1551"/>
      <c r="IO9" s="1551"/>
      <c r="IP9" s="1551"/>
      <c r="IQ9" s="1551"/>
      <c r="IR9" s="1551"/>
      <c r="IS9" s="1551"/>
      <c r="IT9" s="1551"/>
      <c r="IU9" s="1551"/>
      <c r="IV9" s="1551"/>
      <c r="IW9" s="1551"/>
      <c r="IX9" s="1551"/>
      <c r="IY9" s="1551"/>
      <c r="IZ9" s="1551"/>
      <c r="JA9" s="1551"/>
      <c r="JB9" s="1551"/>
      <c r="JC9" s="1551"/>
      <c r="JD9" s="1551"/>
      <c r="JE9" s="1551"/>
      <c r="JF9" s="1551"/>
      <c r="JG9" s="1551"/>
      <c r="JH9" s="1555"/>
      <c r="JI9" s="1555"/>
      <c r="JJ9" s="1555"/>
      <c r="JK9" s="1555"/>
      <c r="JL9" s="1555"/>
      <c r="JM9" s="1551"/>
      <c r="JN9" s="1551"/>
      <c r="JO9" s="1551"/>
      <c r="JP9" s="1551"/>
      <c r="JQ9" s="1551"/>
      <c r="JR9" s="511"/>
      <c r="JS9" s="511"/>
      <c r="JT9" s="511"/>
      <c r="JU9" s="511"/>
      <c r="JV9" s="511"/>
      <c r="JW9" s="511"/>
      <c r="JX9" s="511"/>
      <c r="JY9" s="511"/>
      <c r="JZ9" s="511"/>
      <c r="KA9" s="511"/>
      <c r="KB9" s="511"/>
      <c r="KC9" s="511"/>
      <c r="KD9" s="511"/>
      <c r="KE9" s="511"/>
      <c r="KF9" s="511"/>
      <c r="KG9" s="511"/>
      <c r="KH9" s="511"/>
      <c r="KI9" s="511"/>
      <c r="KJ9" s="511"/>
    </row>
    <row r="10" spans="1:296" ht="12" customHeight="1">
      <c r="A10" s="115">
        <f t="shared" ref="A10:A47" si="0">IF(AND(E10&gt;0,OR(B10="",C10="",D10="",F10="",G10="", H10="",M10="",N10="",O10="",P10="")),1,"")</f>
        <v>1</v>
      </c>
      <c r="B10" s="2514" t="s">
        <v>120</v>
      </c>
      <c r="C10" s="2515">
        <v>1</v>
      </c>
      <c r="D10" s="2516">
        <v>1</v>
      </c>
      <c r="E10" s="2517">
        <v>1</v>
      </c>
      <c r="F10" s="2517">
        <v>637</v>
      </c>
      <c r="G10" s="2517">
        <v>456</v>
      </c>
      <c r="H10" s="2517">
        <v>456</v>
      </c>
      <c r="I10" s="2517">
        <v>116</v>
      </c>
      <c r="J10" s="2518" t="s">
        <v>4511</v>
      </c>
      <c r="K10" s="824">
        <f t="shared" ref="K10:K47" si="1">MAX(0,H10-I10)</f>
        <v>340</v>
      </c>
      <c r="L10" s="824">
        <f t="shared" ref="L10:L47" si="2">MAX(0,E10*K10)</f>
        <v>340</v>
      </c>
      <c r="M10" s="1300" t="s">
        <v>3424</v>
      </c>
      <c r="N10" s="1300" t="s">
        <v>2731</v>
      </c>
      <c r="O10" s="1300" t="s">
        <v>4438</v>
      </c>
      <c r="P10" s="2519"/>
      <c r="Q10" s="2520">
        <f>IF(H10="","",H10*12/0.3)</f>
        <v>18240</v>
      </c>
      <c r="R10" s="2521">
        <f>IF(H10="","",IF(C10="Efficiency",Q10/($O$6*VLOOKUP(0,'DCA Underwriting Assumptions'!$J$118:$K$123,2,FALSE)),Q10/($O$6*VLOOKUP(C10,'DCA Underwriting Assumptions'!$J$118:$K$123,2,FALSE))))</f>
        <v>0.48253968253968255</v>
      </c>
      <c r="S10" s="2522"/>
      <c r="T10" s="2521"/>
      <c r="U10" s="2523"/>
      <c r="V10" s="2456"/>
      <c r="W10" s="506" t="str">
        <f t="shared" ref="W10:W47" si="3">IF(AND(C10="Efficiency",B10="60% AMI",NOT(M10="Common")),E10,"")</f>
        <v/>
      </c>
      <c r="X10" s="506" t="str">
        <f t="shared" ref="X10:X47" si="4">IF(AND(C10=1,B10="60% AMI",NOT(M10="Common")),E10,"")</f>
        <v/>
      </c>
      <c r="Y10" s="506" t="str">
        <f t="shared" ref="Y10:Y47" si="5">IF(AND(C10=2,B10="60% AMI",NOT(M10="Common")),E10,"")</f>
        <v/>
      </c>
      <c r="Z10" s="506" t="str">
        <f t="shared" ref="Z10:Z47" si="6">IF(AND(C10=3,B10="60% AMI",NOT(M10="Common")),E10,"")</f>
        <v/>
      </c>
      <c r="AA10" s="506" t="str">
        <f t="shared" ref="AA10:AA47" si="7">IF(AND(C10=4,B10="60% AMI",NOT(M10="Common")),E10,"")</f>
        <v/>
      </c>
      <c r="AB10" s="506" t="str">
        <f t="shared" ref="AB10:AB47" si="8">IF(AND(C10="Efficiency",B10="50% AMI",NOT(M10="Common")),E10,"")</f>
        <v/>
      </c>
      <c r="AC10" s="506">
        <f t="shared" ref="AC10:AC47" si="9">IF(AND(C10=1,B10="50% AMI",NOT(M10="Common")),E10,"")</f>
        <v>1</v>
      </c>
      <c r="AD10" s="506" t="str">
        <f t="shared" ref="AD10:AD47" si="10">IF(AND(C10=2,B10="50% AMI",NOT(M10="Common")),E10,"")</f>
        <v/>
      </c>
      <c r="AE10" s="506" t="str">
        <f t="shared" ref="AE10:AE47" si="11">IF(AND(C10=3,B10="50% AMI",NOT(M10="Common")),E10,"")</f>
        <v/>
      </c>
      <c r="AF10" s="506" t="str">
        <f t="shared" ref="AF10:AF47" si="12">IF(AND(C10=4,B10="50% AMI",NOT(M10="Common")),E10,"")</f>
        <v/>
      </c>
      <c r="AG10" s="506" t="str">
        <f t="shared" ref="AG10:AG47" si="13">IF(AND(C10="Efficiency",B10="30% AMI",NOT(M10="Common")),E10,"")</f>
        <v/>
      </c>
      <c r="AH10" s="506" t="str">
        <f t="shared" ref="AH10:AH47" si="14">IF(AND(C10=1,B10="30% AMI",NOT(M10="Common")),E10,"")</f>
        <v/>
      </c>
      <c r="AI10" s="506" t="str">
        <f t="shared" ref="AI10:AI47" si="15">IF(AND(C10=2,B10="30% AMI",NOT(M10="Common")),E10,"")</f>
        <v/>
      </c>
      <c r="AJ10" s="506" t="str">
        <f t="shared" ref="AJ10:AJ47" si="16">IF(AND(C10=3,B10="30% AMI",NOT(M10="Common")),E10,"")</f>
        <v/>
      </c>
      <c r="AK10" s="506" t="str">
        <f t="shared" ref="AK10:AK47" si="17">IF(AND(C10=4,B10="30% AMI",NOT(M10="Common")),E10,"")</f>
        <v/>
      </c>
      <c r="AL10" s="506" t="str">
        <f t="shared" ref="AL10:AL47" si="18">IF(AND(C10="Efficiency",B10="Unrestricted",NOT(M10="Common")),E10,"")</f>
        <v/>
      </c>
      <c r="AM10" s="506" t="str">
        <f t="shared" ref="AM10:AM47" si="19">IF(AND(C10=1,B10="Unrestricted",NOT(M10="Common")),E10,"")</f>
        <v/>
      </c>
      <c r="AN10" s="506" t="str">
        <f t="shared" ref="AN10:AN47" si="20">IF(AND(C10=2,B10="Unrestricted",NOT(M10="Common")),E10,"")</f>
        <v/>
      </c>
      <c r="AO10" s="506" t="str">
        <f t="shared" ref="AO10:AO47" si="21">IF(AND(C10=3,B10="Unrestricted",NOT(M10="Common")),E10,"")</f>
        <v/>
      </c>
      <c r="AP10" s="506" t="str">
        <f t="shared" ref="AP10:AP47" si="22">IF(AND(C10=4,B10="Unrestricted",NOT(M10="Common")),E10,"")</f>
        <v/>
      </c>
      <c r="AQ10" s="506" t="str">
        <f t="shared" ref="AQ10:AQ47" si="23">IF(OR(AND($C10="Efficiency",NOT($J10=""),NOT($J10="PHA Oper Sub"),$B10="30% AMI",NOT($M10="Common")),AND($C10="Efficiency",NOT($J10=""),NOT($J10="PHA Oper Sub"),$B10="HOME 30% AMI",NOT($M10="Common"))),$E10,"")</f>
        <v/>
      </c>
      <c r="AR10" s="506" t="str">
        <f t="shared" ref="AR10:AR47" si="24">IF(OR(AND($C10=1,NOT($J10=""),NOT($J10="PHA Oper Sub"),$B10="30% AMI",NOT($M10="Common")),AND($C10=1,NOT($J10=""),NOT($J10="PHA Oper Sub"),$B10="HOME 30% AMI",NOT($M10="Common"))),$E10,"")</f>
        <v/>
      </c>
      <c r="AS10" s="506" t="str">
        <f t="shared" ref="AS10:AS47" si="25">IF(OR(AND($C10=2,NOT($J10=""),NOT($J10="PHA Oper Sub"),$B10="30% AMI",NOT($M10="Common")),AND($C10=2,NOT($J10=""),NOT($J10="PHA Oper Sub"),$B10="HOME 30% AMI",NOT($M10="Common"))),$E10,"")</f>
        <v/>
      </c>
      <c r="AT10" s="506" t="str">
        <f t="shared" ref="AT10:AT47" si="26">IF(OR(AND($C10=3,NOT($J10=""),NOT($J10="PHA Oper Sub"),$B10="30% AMI",NOT($M10="Common")),AND($C10=3,NOT($J10=""),NOT($J10="PHA Oper Sub"),$B10="HOME 30% AMI",NOT($M10="Common"))),$E10,"")</f>
        <v/>
      </c>
      <c r="AU10" s="506" t="str">
        <f t="shared" ref="AU10:AU47" si="27">IF(OR(AND($C10=4,NOT($J10=""),NOT($J10="PHA Oper Sub"),$B10="30% AMI",NOT($M10="Common")),AND($C10=4,NOT($J10=""),NOT($J10="PHA Oper Sub"),$B10="HOME 30% AMI",NOT($M10="Common"))),$E10,"")</f>
        <v/>
      </c>
      <c r="AV10" s="506" t="str">
        <f t="shared" ref="AV10:AV47" si="28">IF(OR(AND($C10="Efficiency",NOT($J10=""),NOT($J10="PHA Oper Sub"),NOT($J10=0),$B10="50% AMI",NOT($M10="Common")),AND($C10="Efficiency",NOT($J10=""),NOT($J10=0),NOT($J10="PHA Oper Sub"),$B10="HOME 50% AMI",NOT($M10="Common"))),$E10,"")</f>
        <v/>
      </c>
      <c r="AW10" s="506">
        <f t="shared" ref="AW10:AW47" si="29">IF(OR(AND($C10=1,NOT($J10=""),NOT($J10=0),NOT($J10="PHA Oper Sub"),$B10="50% AMI",NOT($M10="Common")),AND($C10=1,NOT($J10=""),NOT($J10=0),NOT($J10="PHA Oper Sub"),$B10="HOME 50% AMI",NOT($M10="Common"))),$E10,"")</f>
        <v>1</v>
      </c>
      <c r="AX10" s="506" t="str">
        <f t="shared" ref="AX10:AX47" si="30">IF(OR(AND($C10=2,NOT($J10=""),NOT($J10=0),NOT($J10="PHA Oper Sub"),$B10="50% AMI",NOT($M10="Common")),AND($C10=2,NOT($J10=""),NOT($J10=0),NOT($J10="PHA Oper Sub"),$B10="HOME 50% AMI",NOT($M10="Common"))),$E10,"")</f>
        <v/>
      </c>
      <c r="AY10" s="506" t="str">
        <f t="shared" ref="AY10:AY47" si="31">IF(OR(AND($C10=3,NOT($J10=""),NOT($J10=0),NOT($J10="PHA Oper Sub"),$B10="50% AMI",NOT($M10="Common")),AND($C10=3,NOT($J10=""),NOT($J10=0),NOT($J10="PHA Oper Sub"),$B10="HOME 50% AMI",NOT($M10="Common"))),$E10,"")</f>
        <v/>
      </c>
      <c r="AZ10" s="506" t="str">
        <f t="shared" ref="AZ10:AZ47" si="32">IF(OR(AND($C10=4,NOT($J10=""),NOT($J10=0),NOT($J10="PHA Oper Sub"),$B10="50% AMI",NOT($M10="Common")),AND($C10=4,NOT($J10=""),NOT($J10=0),NOT($J10="PHA Oper Sub"),$B10="HOME 50% AMI",NOT($M10="Common"))),$E10,"")</f>
        <v/>
      </c>
      <c r="BA10" s="506" t="str">
        <f t="shared" ref="BA10:BA47" si="33">IF(OR(AND($C10="Efficiency",NOT($J10=""),NOT($J10=0),NOT($J10="PHA Oper Sub"),$B10="60% AMI",NOT($M10="Common")),AND($C10="Efficiency",NOT($J10=""),NOT($J10=0),NOT($J10="PHA Oper Sub"),$B10="HOME 60% AMI",NOT($M10="Common"))),$E10,"")</f>
        <v/>
      </c>
      <c r="BB10" s="506" t="str">
        <f t="shared" ref="BB10:BB47" si="34">IF(OR(AND($C10=1,NOT($J10=""),NOT($J10=0),NOT($J10="PHA Oper Sub"),$B10="60% AMI",NOT($M10="Common")),AND($C10=1,NOT($J10=""),NOT($J10=0),NOT($J10="PHA Oper Sub"),$B10="HOME 60% AMI",NOT($M10="Common"))),$E10,"")</f>
        <v/>
      </c>
      <c r="BC10" s="506" t="str">
        <f t="shared" ref="BC10:BC47" si="35">IF(OR(AND($C10=2,NOT($J10=""),NOT($J10=0),NOT($J10="PHA Oper Sub"),$B10="60% AMI",NOT($M10="Common")),AND($C10=2,NOT($J10=""),NOT($J10=0),NOT($J10="PHA Oper Sub"),$B10="HOME 60% AMI",NOT($M10="Common"))),$E10,"")</f>
        <v/>
      </c>
      <c r="BD10" s="506" t="str">
        <f t="shared" ref="BD10:BD47" si="36">IF(OR(AND($C10=3,NOT($J10=""),NOT($J10=0),NOT($J10="PHA Oper Sub"),$B10="60% AMI",NOT($M10="Common")),AND($C10=3,NOT($J10=""),NOT($J10=0),NOT($J10="PHA Oper Sub"),$B10="HOME 60% AMI",NOT($M10="Common"))),$E10,"")</f>
        <v/>
      </c>
      <c r="BE10" s="506" t="str">
        <f t="shared" ref="BE10:BE47" si="37">IF(OR(AND($C10=4,NOT($J10=""),NOT($J10=0),NOT($J10="PHA Oper Sub"),$B10="60% AMI",NOT($M10="Common")),AND($C10=4,NOT($J10=""),NOT($J10=0),NOT($J10="PHA Oper Sub"),$B10="HOME 60% AMI",NOT($M10="Common"))),$E10,"")</f>
        <v/>
      </c>
      <c r="BF10" s="506" t="str">
        <f t="shared" ref="BF10:BF47" si="38">IF(OR(AND($C10="Efficiency",$J10="PHA Oper Sub",$B10="30% AMI",NOT($M10="Common")),AND($C10="Efficiency",$J10="PHA Oper Sub",$B10="HOME 30% AMI",NOT($M10="Common"))),$E10,"")</f>
        <v/>
      </c>
      <c r="BG10" s="506" t="str">
        <f t="shared" ref="BG10:BG47" si="39">IF(OR(AND($C10=1,$J10="PHA Oper Sub",$B10="30% AMI",NOT($M10="Common")),AND($C10=1,$J10="PHA Oper Sub",$B10="HOME 30% AMI",NOT($M10="Common"))),$E10,"")</f>
        <v/>
      </c>
      <c r="BH10" s="506" t="str">
        <f t="shared" ref="BH10:BH47" si="40">IF(OR(AND($C10=2,$J10="PHA Oper Sub",$B10="30% AMI",NOT($M10="Common")),AND($C10=2,$J10="PHA Oper Sub",$B10="HOME 30% AMI",NOT($M10="Common"))),$E10,"")</f>
        <v/>
      </c>
      <c r="BI10" s="506" t="str">
        <f t="shared" ref="BI10:BI47" si="41">IF(OR(AND($C10=3,$J10="PHA Oper Sub",$B10="30% AMI",NOT($M10="Common")),AND($C10=3,$J10="PHA Oper Sub",$B10="HOME 30% AMI",NOT($M10="Common"))),$E10,"")</f>
        <v/>
      </c>
      <c r="BJ10" s="506" t="str">
        <f t="shared" ref="BJ10:BJ47" si="42">IF(OR(AND($C10=4,$J10="PHA Oper Sub",$B10="30% AMI",NOT($M10="Common")),AND($C10=4,$J10="PHA Oper Sub",$B10="HOME 30% AMI",NOT($M10="Common"))),$E10,"")</f>
        <v/>
      </c>
      <c r="BK10" s="506" t="str">
        <f t="shared" ref="BK10:BK47" si="43">IF(OR(AND($C10="Efficiency",$J10="PHA Oper Sub",$B10="50% AMI",NOT($M10="Common")),AND($C10="Efficiency",$J10="PHA Oper Sub",$B10="HOME 50% AMI",NOT($M10="Common"))),$E10,"")</f>
        <v/>
      </c>
      <c r="BL10" s="506" t="str">
        <f t="shared" ref="BL10:BL47" si="44">IF(OR(AND($C10=1,$J10="PHA Oper Sub",$B10="50% AMI",NOT($M10="Common")),AND($C10=1,$J10="PHA Oper Sub",$B10="HOME 50% AMI",NOT($M10="Common"))),$E10,"")</f>
        <v/>
      </c>
      <c r="BM10" s="506" t="str">
        <f t="shared" ref="BM10:BM47" si="45">IF(OR(AND($C10=2,$J10="PHA Oper Sub",$B10="50% AMI",NOT($M10="Common")),AND($C10=2,$J10="PHA Oper Sub",$B10="HOME 50% AMI",NOT($M10="Common"))),$E10,"")</f>
        <v/>
      </c>
      <c r="BN10" s="506" t="str">
        <f t="shared" ref="BN10:BN47" si="46">IF(OR(AND($C10=3,$J10="PHA Oper Sub",$B10="50% AMI",NOT($M10="Common")),AND($C10=3,$J10="PHA Oper Sub",$B10="HOME 50% AMI",NOT($M10="Common"))),$E10,"")</f>
        <v/>
      </c>
      <c r="BO10" s="506" t="str">
        <f t="shared" ref="BO10:BO47" si="47">IF(OR(AND($C10=4,$J10="PHA Oper Sub",$B10="50% AMI",NOT($M10="Common")),AND($C10=4,$J10="PHA Oper Sub",$B10="HOME 50% AMI",NOT($M10="Common"))),$E10,"")</f>
        <v/>
      </c>
      <c r="BP10" s="506" t="str">
        <f t="shared" ref="BP10:BP47" si="48">IF(OR(AND($C10="Efficiency",$J10="PHA Oper Sub",$B10="60% AMI",NOT($M10="Common")),AND($C10="Efficiency",$J10="PHA Oper Sub",$B10="HOME 60% AMI",NOT($M10="Common"))),$E10,"")</f>
        <v/>
      </c>
      <c r="BQ10" s="506" t="str">
        <f t="shared" ref="BQ10:BQ47" si="49">IF(OR(AND($C10=1,$J10="PHA Oper Sub",$B10="60% AMI",NOT($M10="Common")),AND($C10=1,$J10="PHA Oper Sub",$B10="HOME 60% AMI",NOT($M10="Common"))),$E10,"")</f>
        <v/>
      </c>
      <c r="BR10" s="506" t="str">
        <f t="shared" ref="BR10:BR47" si="50">IF(OR(AND($C10=2,$J10="PHA Oper Sub",$B10="60% AMI",NOT($M10="Common")),AND($C10=2,$J10="PHA Oper Sub",$B10="HOME 60% AMI",NOT($M10="Common"))),$E10,"")</f>
        <v/>
      </c>
      <c r="BS10" s="506" t="str">
        <f t="shared" ref="BS10:BS47" si="51">IF(OR(AND($C10=3,$J10="PHA Oper Sub",$B10="60% AMI",NOT($M10="Common")),AND($C10=3,$J10="PHA Oper Sub",$B10="HOME 60% AMI",NOT($M10="Common"))),$E10,"")</f>
        <v/>
      </c>
      <c r="BT10" s="506" t="str">
        <f t="shared" ref="BT10:BT47" si="52">IF(OR(AND($C10=4,$J10="PHA Oper Sub",$B10="60% AMI",NOT($M10="Common")),AND($C10=4,$J10="PHA Oper Sub",$B10="HOME 60% AMI",NOT($M10="Common"))),$E10,"")</f>
        <v/>
      </c>
      <c r="BU10" s="506" t="str">
        <f t="shared" ref="BU10:BU47" si="53">IF(AND(C10="Efficiency",M10="Common"),E10,"")</f>
        <v/>
      </c>
      <c r="BV10" s="506" t="str">
        <f t="shared" ref="BV10:BV47" si="54">IF(AND(C10=1,M10="Common"),E10,"")</f>
        <v/>
      </c>
      <c r="BW10" s="506" t="str">
        <f t="shared" ref="BW10:BW47" si="55">IF(AND(C10=2,M10="Common"),E10,"")</f>
        <v/>
      </c>
      <c r="BX10" s="506" t="str">
        <f t="shared" ref="BX10:BX47" si="56">IF(AND(C10=3,M10="Common"),E10,"")</f>
        <v/>
      </c>
      <c r="BY10" s="506" t="str">
        <f t="shared" ref="BY10:BY47" si="57">IF(AND(C10=4,M10="Common"),E10,"")</f>
        <v/>
      </c>
      <c r="BZ10" s="506" t="str">
        <f t="shared" ref="BZ10:BZ47" si="58">IF(OR(AND(C10="Efficiency",B10="60% AMI",NOT(M10="Common")),AND(C10="Efficiency",B10="HOME 60% AMI",NOT(M10="Common"))),E10*F10,"")</f>
        <v/>
      </c>
      <c r="CA10" s="506" t="str">
        <f t="shared" ref="CA10:CA47" si="59">IF(OR(AND(C10=1,B10="60% AMI",NOT(M10="Common")),AND(C10=1,B10="HOME 60% AMI",NOT(M10="Common"))),E10*F10,"")</f>
        <v/>
      </c>
      <c r="CB10" s="506" t="str">
        <f t="shared" ref="CB10:CB47" si="60">IF(OR(AND(C10=2,B10="60% AMI",NOT(M10="Common")),AND(C10=2,B10="HOME 60% AMI",NOT(M10="Common"))),E10*F10,"")</f>
        <v/>
      </c>
      <c r="CC10" s="506" t="str">
        <f t="shared" ref="CC10:CC47" si="61">IF(OR(AND(C10=3,B10="60% AMI",NOT(M10="Common")),AND(C10=3,B10="HOME 60% AMI",NOT(M10="Common"))),E10*F10,"")</f>
        <v/>
      </c>
      <c r="CD10" s="506" t="str">
        <f t="shared" ref="CD10:CD47" si="62">IF(OR(AND(C10=4,B10="60% AMI",NOT(M10="Common")),AND(C10=4,B10="HOME 60% AMI",NOT(M10="Common"))),E10*F10,"")</f>
        <v/>
      </c>
      <c r="CE10" s="506" t="str">
        <f t="shared" ref="CE10:CE47" si="63">IF(OR(AND(C10="Efficiency",B10="50% AMI",NOT(M10="Common")),AND(C10="Efficiency",B10="HOME 50% AMI",NOT(M10="Common"))),E10*F10,"")</f>
        <v/>
      </c>
      <c r="CF10" s="506">
        <f t="shared" ref="CF10:CF47" si="64">IF(OR(AND(C10=1,B10="50% AMI",NOT(M10="Common")),AND(C10=1,B10="HOME 50% AMI",NOT(M10="Common"))),E10*F10,"")</f>
        <v>637</v>
      </c>
      <c r="CG10" s="506" t="str">
        <f t="shared" ref="CG10:CG47" si="65">IF(OR(AND(C10=2,B10="50% AMI",NOT(M10="Common")),AND(C10=2,B10="HOME 50% AMI",NOT(M10="Common"))),E10*F10,"")</f>
        <v/>
      </c>
      <c r="CH10" s="506" t="str">
        <f t="shared" ref="CH10:CH47" si="66">IF(OR(AND(C10=3,B10="50% AMI",NOT(M10="Common")),AND(C10=3,B10="HOME 50% AMI",NOT(M10="Common"))),E10*F10,"")</f>
        <v/>
      </c>
      <c r="CI10" s="506" t="str">
        <f t="shared" ref="CI10:CI47" si="67">IF(OR(AND(C10=4,B10="50% AMI",NOT(M10="Common")),AND(C10=4,B10="HOME 50% AMI",NOT(M10="Common"))),E10*F10,"")</f>
        <v/>
      </c>
      <c r="CJ10" s="506" t="str">
        <f t="shared" ref="CJ10:CJ47" si="68">IF(OR(AND(C10="Efficiency",B10="30% AMI",NOT(M10="Common")),AND(C10="Efficiency",B10="HOME 30% AMI",NOT(M10="Common"))),E10*F10,"")</f>
        <v/>
      </c>
      <c r="CK10" s="506" t="str">
        <f t="shared" ref="CK10:CK47" si="69">IF(OR(AND(C10=1,B10="30% AMI",NOT(M10="Common")),AND(C10=1,B10="HOME 30% AMI",NOT(M10="Common"))),E10*F10,"")</f>
        <v/>
      </c>
      <c r="CL10" s="506" t="str">
        <f t="shared" ref="CL10:CL47" si="70">IF(OR(AND(C10=2,B10="30% AMI",NOT(M10="Common")),AND(C10=2,B10="HOME 30% AMI",NOT(M10="Common"))),E10*F10,"")</f>
        <v/>
      </c>
      <c r="CM10" s="506" t="str">
        <f t="shared" ref="CM10:CM47" si="71">IF(OR(AND(C10=3,B10="30% AMI",NOT(M10="Common")),AND(C10=3,B10="HOME 30% AMI",NOT(M10="Common"))),E10*F10,"")</f>
        <v/>
      </c>
      <c r="CN10" s="506" t="str">
        <f t="shared" ref="CN10:CN47" si="72">IF(OR(AND(C10=4,B10="30% AMI",NOT(M10="Common")),AND(C10=4,B10="HOME 30% AMI",NOT(M10="Common"))),E10*F10,"")</f>
        <v/>
      </c>
      <c r="CO10" s="506" t="str">
        <f t="shared" ref="CO10:CO47" si="73">IF(AND(C10="Efficiency",B10="Unrestricted",NOT(M10="Common")),E10*F10,"")</f>
        <v/>
      </c>
      <c r="CP10" s="506" t="str">
        <f t="shared" ref="CP10:CP47" si="74">IF(AND(C10=1,B10="Unrestricted",NOT(M10="Common")),E10*F10,"")</f>
        <v/>
      </c>
      <c r="CQ10" s="506" t="str">
        <f t="shared" ref="CQ10:CQ47" si="75">IF(AND(C10=2,B10="Unrestricted",NOT(M10="Common")),E10*F10,"")</f>
        <v/>
      </c>
      <c r="CR10" s="506" t="str">
        <f t="shared" ref="CR10:CR47" si="76">IF(AND(C10=3,B10="Unrestricted",NOT(M10="Common")),E10*F10,"")</f>
        <v/>
      </c>
      <c r="CS10" s="506" t="str">
        <f t="shared" ref="CS10:CS47" si="77">IF(AND(C10=4,B10="Unrestricted",NOT(M10="Common")),E10*F10,"")</f>
        <v/>
      </c>
      <c r="CT10" s="506" t="str">
        <f t="shared" ref="CT10:CT47" si="78">IF(AND(C10="Efficiency",NOT(J10=""),NOT($J10=0),NOT(M10="Common")),E10*F10,"")</f>
        <v/>
      </c>
      <c r="CU10" s="506">
        <f t="shared" ref="CU10:CU47" si="79">IF(AND(C10=1,NOT(J10=""),NOT($J10=0),NOT(M10="Common")),E10*F10,"")</f>
        <v>637</v>
      </c>
      <c r="CV10" s="506" t="str">
        <f t="shared" ref="CV10:CV47" si="80">IF(AND(C10=2,NOT(J10=""),NOT($J10=0),NOT(M10="Common")),E10*F10,"")</f>
        <v/>
      </c>
      <c r="CW10" s="506" t="str">
        <f t="shared" ref="CW10:CW47" si="81">IF(AND(C10=3,NOT(J10=""),NOT($J10=0),NOT(M10="Common")),E10*F10,"")</f>
        <v/>
      </c>
      <c r="CX10" s="506" t="str">
        <f t="shared" ref="CX10:CX47" si="82">IF(AND(C10=4,NOT(J10=""),NOT($J10=0),NOT(M10="Common")),E10*F10,"")</f>
        <v/>
      </c>
      <c r="CY10" s="506" t="str">
        <f t="shared" ref="CY10:CY47" si="83">IF(AND(C10="Efficiency",M10="Common"),E10*F10,"")</f>
        <v/>
      </c>
      <c r="CZ10" s="506" t="str">
        <f t="shared" ref="CZ10:CZ47" si="84">IF(AND(C10=1,M10="Common"),E10*F10,"")</f>
        <v/>
      </c>
      <c r="DA10" s="506" t="str">
        <f t="shared" ref="DA10:DA47" si="85">IF(AND(C10=2,M10="Common"),E10*F10,"")</f>
        <v/>
      </c>
      <c r="DB10" s="506" t="str">
        <f t="shared" ref="DB10:DB47" si="86">IF(AND(C10=3,M10="Common"),E10*F10,"")</f>
        <v/>
      </c>
      <c r="DC10" s="506" t="str">
        <f t="shared" ref="DC10:DC47" si="87">IF(AND(C10=4,M10="Common"),E10*F10,"")</f>
        <v/>
      </c>
      <c r="DD10" s="506" t="str">
        <f t="shared" ref="DD10:DD47" si="88">IF(AND($C10="Efficiency", $O10="New Construction",NOT($B10="Unrestricted"),NOT($B10="NSP 120% AMI"),NOT($B10="N/A-CS"),NOT($M10="Common")),$E10,"")</f>
        <v/>
      </c>
      <c r="DE10" s="506" t="str">
        <f t="shared" ref="DE10:DE47" si="89">IF(AND($C10=1, $O10="New Construction",NOT($B10="Unrestricted"),NOT($B10="NSP 120% AMI"),NOT($B10="N/A-CS"),NOT($M10="Common")),$E10,"")</f>
        <v/>
      </c>
      <c r="DF10" s="506" t="str">
        <f t="shared" ref="DF10:DF47" si="90">IF(AND($C10=2, $O10="New Construction",NOT($B10="Unrestricted"),NOT($B10="NSP 120% AMI"),NOT($B10="N/A-CS"),NOT($M10="Common")),$E10,"")</f>
        <v/>
      </c>
      <c r="DG10" s="506" t="str">
        <f t="shared" ref="DG10:DG47" si="91">IF(AND($C10=3, $O10="New Construction",NOT($B10="Unrestricted"),NOT($B10="NSP 120% AMI"),NOT($B10="N/A-CS"),NOT($M10="Common")),$E10,"")</f>
        <v/>
      </c>
      <c r="DH10" s="506" t="str">
        <f t="shared" ref="DH10:DH47" si="92">IF(AND($C10=4, $O10="New Construction",NOT($B10="Unrestricted"),NOT($B10="NSP 120% AMI"),NOT($B10="N/A-CS"),NOT($M10="Common")),$E10,"")</f>
        <v/>
      </c>
      <c r="DI10" s="506" t="str">
        <f t="shared" ref="DI10:DI47" si="93">IF(AND($C10="Efficiency", $O10="New Construction",$B10="Unrestricted",NOT($B10="N/A-CS"),NOT($M10="Common")),$E10,"")</f>
        <v/>
      </c>
      <c r="DJ10" s="506" t="str">
        <f t="shared" ref="DJ10:DJ47" si="94">IF(AND($C10=1, $O10="New Construction",$B10="Unrestricted",NOT($B10="N/A-CS"),NOT($M10="Common")),$E10,"")</f>
        <v/>
      </c>
      <c r="DK10" s="506" t="str">
        <f t="shared" ref="DK10:DK47" si="95">IF(AND($C10=2, $O10="New Construction",$B10="Unrestricted",NOT($B10="N/A-CS"),NOT($M10="Common")),$E10,"")</f>
        <v/>
      </c>
      <c r="DL10" s="506" t="str">
        <f t="shared" ref="DL10:DL47" si="96">IF(AND($C10=3, $O10="New Construction",$B10="Unrestricted",NOT($B10="N/A-CS"),NOT($M10="Common")),$E10,"")</f>
        <v/>
      </c>
      <c r="DM10" s="506" t="str">
        <f t="shared" ref="DM10:DM47" si="97">IF(AND($C10=4, $O10="New Construction",$B10="Unrestricted",NOT($B10="N/A-CS"),NOT($M10="Common")),$E10,"")</f>
        <v/>
      </c>
      <c r="DN10" s="506" t="str">
        <f t="shared" ref="DN10:DN47" si="98">IF(AND($C10="Efficiency", $O10="New Construction",$B10="N/A-CS",$M10="Common"),$E10,"")</f>
        <v/>
      </c>
      <c r="DO10" s="506" t="str">
        <f t="shared" ref="DO10:DO47" si="99">IF(AND($C10=1, $O10="New Construction",$B10="N/A-CS",$M10="Common"),$E10,"")</f>
        <v/>
      </c>
      <c r="DP10" s="506" t="str">
        <f t="shared" ref="DP10:DP47" si="100">IF(AND($C10=2, $O10="New Construction",$B10="N/A-CS",$M10="Common"),$E10,"")</f>
        <v/>
      </c>
      <c r="DQ10" s="506" t="str">
        <f t="shared" ref="DQ10:DQ47" si="101">IF(AND($C10=3, $O10="New Construction",$B10="N/A-CS",$M10="Common"),$E10,"")</f>
        <v/>
      </c>
      <c r="DR10" s="506" t="str">
        <f t="shared" ref="DR10:DR47" si="102">IF(AND($C10=4, $O10="New Construction",$B10="N/A-CS",$M10="Common"),$E10,"")</f>
        <v/>
      </c>
      <c r="DS10" s="506" t="str">
        <f t="shared" ref="DS10:DS47" si="103">IF(AND($C10="Efficiency", $O10="Acquisition/Rehab",NOT($B10="Unrestricted"),NOT($B10="NSP 120% AMI"),NOT($B10="N/A-CS"),NOT($M10="Common")),$E10,"")</f>
        <v/>
      </c>
      <c r="DT10" s="506">
        <f t="shared" ref="DT10:DT47" si="104">IF(AND($C10=1, $O10="Acquisition/Rehab",NOT($B10="Unrestricted"),NOT($B10="NSP 120% AMI"),NOT($B10="N/A-CS"),NOT($M10="Common")),$E10,"")</f>
        <v>1</v>
      </c>
      <c r="DU10" s="506" t="str">
        <f t="shared" ref="DU10:DU47" si="105">IF(AND($C10=2, $O10="Acquisition/Rehab",NOT($B10="Unrestricted"),NOT($B10="NSP 120% AMI"),NOT($B10="N/A-CS"),NOT($M10="Common")),$E10,"")</f>
        <v/>
      </c>
      <c r="DV10" s="506" t="str">
        <f t="shared" ref="DV10:DV47" si="106">IF(AND($C10=3, $O10="Acquisition/Rehab",NOT($B10="Unrestricted"),NOT($B10="NSP 120% AMI"),NOT($B10="N/A-CS"),NOT($M10="Common")),$E10,"")</f>
        <v/>
      </c>
      <c r="DW10" s="506" t="str">
        <f t="shared" ref="DW10:DW47" si="107">IF(AND($C10=4, $O10="Acquisition/Rehab",NOT($B10="Unrestricted"),NOT($B10="NSP 120% AMI"),NOT($B10="N/A-CS"),NOT($M10="Common")),$E10,"")</f>
        <v/>
      </c>
      <c r="DX10" s="506" t="str">
        <f t="shared" ref="DX10:DX47" si="108">IF(AND($C10="Efficiency", $O10="Acquisition/Rehab",$B10="Unrestricted",NOT($B10="N/A-CS"),NOT($M10="Common")),$E10,"")</f>
        <v/>
      </c>
      <c r="DY10" s="506" t="str">
        <f t="shared" ref="DY10:DY47" si="109">IF(AND($C10=1, $O10="Acquisition/Rehab",$B10="Unrestricted",NOT($B10="N/A-CS"),NOT($M10="Common")),$E10,"")</f>
        <v/>
      </c>
      <c r="DZ10" s="506" t="str">
        <f t="shared" ref="DZ10:DZ47" si="110">IF(AND($C10=2, $O10="Acquisition/Rehab",$B10="Unrestricted",NOT($B10="N/A-CS"),NOT($M10="Common")),$E10,"")</f>
        <v/>
      </c>
      <c r="EA10" s="506" t="str">
        <f t="shared" ref="EA10:EA47" si="111">IF(AND($C10=3, $O10="Acquisition/Rehab",$B10="Unrestricted",NOT($B10="N/A-CS"),NOT($M10="Common")),$E10,"")</f>
        <v/>
      </c>
      <c r="EB10" s="506" t="str">
        <f t="shared" ref="EB10:EB47" si="112">IF(AND($C10=4, $O10="Acquisition/Rehab",$B10="Unrestricted",NOT($B10="N/A-CS"),NOT($M10="Common")),$E10,"")</f>
        <v/>
      </c>
      <c r="EC10" s="506" t="str">
        <f t="shared" ref="EC10:EC47" si="113">IF(AND($C10="Efficiency", $O10="Acquisition/Rehab",$B10="N/A-CS",$M10="Common"),$E10,"")</f>
        <v/>
      </c>
      <c r="ED10" s="506" t="str">
        <f t="shared" ref="ED10:ED47" si="114">IF(AND($C10=1, $O10="Acquisition/Rehab",$B10="N/A-CS",$M10="Common"),$E10,"")</f>
        <v/>
      </c>
      <c r="EE10" s="506" t="str">
        <f t="shared" ref="EE10:EE47" si="115">IF(AND($C10=2, $O10="Acquisition/Rehab",$B10="N/A-CS",$M10="Common"),$E10,"")</f>
        <v/>
      </c>
      <c r="EF10" s="506" t="str">
        <f t="shared" ref="EF10:EF47" si="116">IF(AND($C10=3, $O10="Acquisition/Rehab",$B10="N/A-CS",$M10="Common"),$E10,"")</f>
        <v/>
      </c>
      <c r="EG10" s="506" t="str">
        <f t="shared" ref="EG10:EG47" si="117">IF(AND($C10=4, $O10="Acquisition/Rehab",$B10="N/A-CS",$M10="Common"),$E10,"")</f>
        <v/>
      </c>
      <c r="EH10" s="506" t="str">
        <f t="shared" ref="EH10:EH47" si="118">IF(AND($C10="Efficiency", $O10="Rehabilitation",NOT($B10="Unrestricted"),NOT($B10="NSP 120% AMI"),NOT($B10="N/A-CS"),NOT($M10="Common")),$E10,"")</f>
        <v/>
      </c>
      <c r="EI10" s="506" t="str">
        <f t="shared" ref="EI10:EI47" si="119">IF(AND($C10=1, $O10="Rehabilitation",NOT($B10="Unrestricted"),NOT($B10="NSP 120% AMI"),NOT($B10="N/A-CS"),NOT($M10="Common")),$E10,"")</f>
        <v/>
      </c>
      <c r="EJ10" s="506" t="str">
        <f t="shared" ref="EJ10:EJ47" si="120">IF(AND($C10=2, $O10="Rehabilitation",NOT($B10="Unrestricted"),NOT($B10="NSP 120% AMI"),NOT($B10="N/A-CS"),NOT($M10="Common")),$E10,"")</f>
        <v/>
      </c>
      <c r="EK10" s="506" t="str">
        <f t="shared" ref="EK10:EK47" si="121">IF(AND($C10=3, $O10="Rehabilitation",NOT($B10="Unrestricted"),NOT($B10="NSP 120% AMI"),NOT($B10="N/A-CS"),NOT($M10="Common")),$E10,"")</f>
        <v/>
      </c>
      <c r="EL10" s="506" t="str">
        <f t="shared" ref="EL10:EL47" si="122">IF(AND($C10=4, $O10="Rehabilitation",NOT($B10="Unrestricted"),NOT($B10="NSP 120% AMI"),NOT($B10="N/A-CS"),NOT($M10="Common")),$E10,"")</f>
        <v/>
      </c>
      <c r="EM10" s="506" t="str">
        <f t="shared" ref="EM10:EM47" si="123">IF(AND($C10="Efficiency", $O10="Rehabilitation",$B10="Unrestricted",NOT($B10="N/A-CS"),NOT($M10="Common")),$E10,"")</f>
        <v/>
      </c>
      <c r="EN10" s="506" t="str">
        <f t="shared" ref="EN10:EN47" si="124">IF(AND($C10=1, $O10="Rehabilitation",$B10="Unrestricted",NOT($B10="N/A-CS"),NOT($M10="Common")),$E10,"")</f>
        <v/>
      </c>
      <c r="EO10" s="506" t="str">
        <f t="shared" ref="EO10:EO47" si="125">IF(AND($C10=2, $O10="Rehabilitation",$B10="Unrestricted",NOT($B10="N/A-CS"),NOT($M10="Common")),$E10,"")</f>
        <v/>
      </c>
      <c r="EP10" s="506" t="str">
        <f t="shared" ref="EP10:EP47" si="126">IF(AND($C10=3, $O10="Rehabilitation",$B10="Unrestricted",NOT($B10="N/A-CS"),NOT($M10="Common")),$E10,"")</f>
        <v/>
      </c>
      <c r="EQ10" s="506" t="str">
        <f t="shared" ref="EQ10:EQ47" si="127">IF(AND($C10=4, $O10="Rehabilitation",$B10="Unrestricted",NOT($B10="N/A-CS"),NOT($M10="Common")),$E10,"")</f>
        <v/>
      </c>
      <c r="ER10" s="506" t="str">
        <f t="shared" ref="ER10:ER47" si="128">IF(AND($C10="Efficiency", $O10="Rehabilitation",$B10="N/A-CS",$M10="Common"),$E10,"")</f>
        <v/>
      </c>
      <c r="ES10" s="506" t="str">
        <f t="shared" ref="ES10:ES47" si="129">IF(AND($C10=1, $O10="Rehabilitation",$B10="N/A-CS",$M10="Common"),$E10,"")</f>
        <v/>
      </c>
      <c r="ET10" s="506" t="str">
        <f t="shared" ref="ET10:ET47" si="130">IF(AND($C10=2, $O10="Rehabilitation",$B10="N/A-CS",$M10="Common"),$E10,"")</f>
        <v/>
      </c>
      <c r="EU10" s="506" t="str">
        <f t="shared" ref="EU10:EU47" si="131">IF(AND($C10=3, $O10="Rehabilitation",$B10="N/A-CS",$M10="Common"),$E10,"")</f>
        <v/>
      </c>
      <c r="EV10" s="506" t="str">
        <f t="shared" ref="EV10:EV47" si="132">IF(AND($C10=4, $O10="Rehabilitation",$B10="N/A-CS",$M10="Common"),$E10,"")</f>
        <v/>
      </c>
      <c r="EW10" s="516" t="str">
        <f t="shared" ref="EW10:EW47" si="133">IF(AND($C10="Efficiency", NOT(OR($N10="SF Detached",$N10="Mfd Home",$N10="Duplex",$N10="Townhome"))),$E10,"")</f>
        <v/>
      </c>
      <c r="EX10" s="516">
        <f t="shared" ref="EX10:EX47" si="134">IF(AND($C10=1, NOT(OR($N10="SF Detached",$N10="Mfd Home",$N10="Duplex",$N10="Townhome"))),$E10,"")</f>
        <v>1</v>
      </c>
      <c r="EY10" s="516" t="str">
        <f t="shared" ref="EY10:EY47" si="135">IF(AND($C10=2, NOT(OR($N10="SF Detached",$N10="Mfd Home",$N10="Duplex",$N10="Townhome"))),$E10,"")</f>
        <v/>
      </c>
      <c r="EZ10" s="516" t="str">
        <f t="shared" ref="EZ10:EZ47" si="136">IF(AND($C10=3, NOT(OR($N10="SF Detached",$N10="Mfd Home",$N10="Duplex",$N10="Townhome"))),$E10,"")</f>
        <v/>
      </c>
      <c r="FA10" s="516" t="str">
        <f t="shared" ref="FA10:FA47" si="137">IF(AND($C10=4, NOT(OR($N10="SF Detached",$N10="Mfd Home",$N10="Duplex",$N10="Townhome"))),$E10,"")</f>
        <v/>
      </c>
      <c r="FB10" s="516" t="str">
        <f t="shared" ref="FB10:FB47" si="138">IF(AND($C10="Efficiency", $N10="SF Detached",NOT($P10="Yes")),$E10,"")</f>
        <v/>
      </c>
      <c r="FC10" s="516" t="str">
        <f t="shared" ref="FC10:FC47" si="139">IF(AND($C10=1, $N10="SF Detached",NOT($P10="Yes")),$E10,"")</f>
        <v/>
      </c>
      <c r="FD10" s="516" t="str">
        <f t="shared" ref="FD10:FD47" si="140">IF(AND($C10=2, $N10="SF Detached",NOT($P10="Yes")),$E10,"")</f>
        <v/>
      </c>
      <c r="FE10" s="516" t="str">
        <f t="shared" ref="FE10:FE47" si="141">IF(AND($C10=3, $N10="SF Detached",NOT($P10="Yes")),$E10,"")</f>
        <v/>
      </c>
      <c r="FF10" s="516" t="str">
        <f t="shared" ref="FF10:FF47" si="142">IF(AND($C10=4, $N10="SF Detached",NOT($P10="Yes")),$E10,"")</f>
        <v/>
      </c>
      <c r="FG10" s="516" t="str">
        <f t="shared" ref="FG10:FG47" si="143">IF(AND($C10="Efficiency", $N10="SF Detached",$P10="Yes"),$E10,"")</f>
        <v/>
      </c>
      <c r="FH10" s="516" t="str">
        <f t="shared" ref="FH10:FH47" si="144">IF(AND($C10=1, $N10="SF Detached",$P10="Yes"),$E10,"")</f>
        <v/>
      </c>
      <c r="FI10" s="516" t="str">
        <f t="shared" ref="FI10:FI47" si="145">IF(AND($C10=2, $N10="SF Detached",$P10="Yes"),$E10,"")</f>
        <v/>
      </c>
      <c r="FJ10" s="516" t="str">
        <f t="shared" ref="FJ10:FJ47" si="146">IF(AND($C10=3, $N10="SF Detached",$P10="Yes"),$E10,"")</f>
        <v/>
      </c>
      <c r="FK10" s="516" t="str">
        <f t="shared" ref="FK10:FK47" si="147">IF(AND($C10=4, $N10="SF Detached",$P10="Yes"),$E10,"")</f>
        <v/>
      </c>
      <c r="FL10" s="516" t="str">
        <f t="shared" ref="FL10:FL47" si="148">IF(AND($C10="Efficiency", $N10="Mfd Home",NOT($P10="Yes")),$E10,"")</f>
        <v/>
      </c>
      <c r="FM10" s="516" t="str">
        <f t="shared" ref="FM10:FM47" si="149">IF(AND($C10=1, $N10="Mfd Home",NOT($P10="Yes")),$E10,"")</f>
        <v/>
      </c>
      <c r="FN10" s="516" t="str">
        <f t="shared" ref="FN10:FN47" si="150">IF(AND($C10=2, $N10="Mfd Home",NOT($P10="Yes")),$E10,"")</f>
        <v/>
      </c>
      <c r="FO10" s="516" t="str">
        <f t="shared" ref="FO10:FO47" si="151">IF(AND($C10=3, $N10="Mfd Home",NOT($P10="Yes")),$E10,"")</f>
        <v/>
      </c>
      <c r="FP10" s="516" t="str">
        <f t="shared" ref="FP10:FP47" si="152">IF(AND($C10=4, $N10="Mfd Home",NOT($P10="Yes")),$E10,"")</f>
        <v/>
      </c>
      <c r="FQ10" s="516" t="str">
        <f t="shared" ref="FQ10:FQ47" si="153">IF(AND($C10="Efficiency", $N10="Mfd Home",$P10="Yes"),$E10,"")</f>
        <v/>
      </c>
      <c r="FR10" s="516" t="str">
        <f t="shared" ref="FR10:FR47" si="154">IF(AND($C10=1, $N10="Mfd Home",$P10="Yes"),$E10,"")</f>
        <v/>
      </c>
      <c r="FS10" s="516" t="str">
        <f t="shared" ref="FS10:FS47" si="155">IF(AND($C10=2, $N10="Mfd Home",$P10="Yes"),$E10,"")</f>
        <v/>
      </c>
      <c r="FT10" s="516" t="str">
        <f t="shared" ref="FT10:FT47" si="156">IF(AND($C10=3, $N10="Mfd Home",$P10="Yes"),$E10,"")</f>
        <v/>
      </c>
      <c r="FU10" s="516" t="str">
        <f t="shared" ref="FU10:FU47" si="157">IF(AND($C10=4, $N10="Mfd Home",$P10="Yes"),$E10,"")</f>
        <v/>
      </c>
      <c r="FV10" s="516" t="str">
        <f t="shared" ref="FV10:FV47" si="158">IF(AND($C10="Efficiency", $N10="Duplex",NOT($P10="Yes")),$E10,"")</f>
        <v/>
      </c>
      <c r="FW10" s="516" t="str">
        <f t="shared" ref="FW10:FW47" si="159">IF(AND($C10=1, $N10="Duplex",NOT($P10="Yes")),$E10,"")</f>
        <v/>
      </c>
      <c r="FX10" s="516" t="str">
        <f t="shared" ref="FX10:FX47" si="160">IF(AND($C10=2, $N10="Duplex",NOT($P10="Yes")),$E10,"")</f>
        <v/>
      </c>
      <c r="FY10" s="516" t="str">
        <f t="shared" ref="FY10:FY47" si="161">IF(AND($C10=3, $N10="Duplex",NOT($P10="Yes")),$E10,"")</f>
        <v/>
      </c>
      <c r="FZ10" s="516" t="str">
        <f t="shared" ref="FZ10:FZ47" si="162">IF(AND($C10=4, $N10="Duplex",NOT($P10="Yes")),$E10,"")</f>
        <v/>
      </c>
      <c r="GA10" s="516" t="str">
        <f t="shared" ref="GA10:GA47" si="163">IF(AND($C10="Efficiency", $N10="Duplex",$P10="Yes"),$E10,"")</f>
        <v/>
      </c>
      <c r="GB10" s="516" t="str">
        <f t="shared" ref="GB10:GB47" si="164">IF(AND($C10=1, $N10="Duplex",$P10="Yes"),$E10,"")</f>
        <v/>
      </c>
      <c r="GC10" s="516" t="str">
        <f t="shared" ref="GC10:GC47" si="165">IF(AND($C10=2, $N10="Duplex",$P10="Yes"),$E10,"")</f>
        <v/>
      </c>
      <c r="GD10" s="516" t="str">
        <f t="shared" ref="GD10:GD47" si="166">IF(AND($C10=3, $N10="Duplex",$P10="Yes"),$E10,"")</f>
        <v/>
      </c>
      <c r="GE10" s="516" t="str">
        <f t="shared" ref="GE10:GE47" si="167">IF(AND($C10=4, $N10="Duplex",$P10="Yes"),$E10,"")</f>
        <v/>
      </c>
      <c r="GF10" s="516" t="str">
        <f t="shared" ref="GF10:GF47" si="168">IF(AND($C10="Efficiency", $N10="Townhome",NOT($P10="Yes")),$E10,"")</f>
        <v/>
      </c>
      <c r="GG10" s="516" t="str">
        <f t="shared" ref="GG10:GG47" si="169">IF(AND($C10=1, $N10="Townhome",NOT($P10="Yes")),$E10,"")</f>
        <v/>
      </c>
      <c r="GH10" s="516" t="str">
        <f t="shared" ref="GH10:GH47" si="170">IF(AND($C10=2, $N10="Townhome",NOT($P10="Yes")),$E10,"")</f>
        <v/>
      </c>
      <c r="GI10" s="516" t="str">
        <f t="shared" ref="GI10:GI47" si="171">IF(AND($C10=3, $N10="Townhome",NOT($P10="Yes")),$E10,"")</f>
        <v/>
      </c>
      <c r="GJ10" s="516" t="str">
        <f t="shared" ref="GJ10:GJ47" si="172">IF(AND($C10=4, $N10="Townhome",NOT($P10="Yes")),$E10,"")</f>
        <v/>
      </c>
      <c r="GK10" s="516" t="str">
        <f t="shared" ref="GK10:GK47" si="173">IF(AND($C10="Efficiency", $N10="Townhome",$P10="Yes"),$E10,"")</f>
        <v/>
      </c>
      <c r="GL10" s="516" t="str">
        <f t="shared" ref="GL10:GL47" si="174">IF(AND($C10=1, $N10="Townhome",$P10="Yes"),$E10,"")</f>
        <v/>
      </c>
      <c r="GM10" s="516" t="str">
        <f t="shared" ref="GM10:GM47" si="175">IF(AND($C10=2, $N10="Townhome",$P10="Yes"),$E10,"")</f>
        <v/>
      </c>
      <c r="GN10" s="516" t="str">
        <f t="shared" ref="GN10:GN47" si="176">IF(AND($C10=3, $N10="Townhome",$P10="Yes"),$E10,"")</f>
        <v/>
      </c>
      <c r="GO10" s="516" t="str">
        <f t="shared" ref="GO10:GO47" si="177">IF(AND($C10=4, $N10="Townhome",$P10="Yes"),$E10,"")</f>
        <v/>
      </c>
      <c r="GP10" s="516" t="str">
        <f t="shared" ref="GP10:GP47" si="178">IF(AND($C10="Efficiency", $N10="1-Story",NOT($P10="Yes")),$E10,"")</f>
        <v/>
      </c>
      <c r="GQ10" s="516">
        <f t="shared" ref="GQ10:GQ47" si="179">IF(AND($C10=1, $N10="1-Story",NOT($P10="Yes")),$E10,"")</f>
        <v>1</v>
      </c>
      <c r="GR10" s="516" t="str">
        <f t="shared" ref="GR10:GR47" si="180">IF(AND($C10=2, $N10="1-Story",NOT($P10="Yes")),$E10,"")</f>
        <v/>
      </c>
      <c r="GS10" s="516" t="str">
        <f t="shared" ref="GS10:GS47" si="181">IF(AND($C10=3, $N10="1-Story",NOT($P10="Yes")),$E10,"")</f>
        <v/>
      </c>
      <c r="GT10" s="516" t="str">
        <f t="shared" ref="GT10:GT47" si="182">IF(AND($C10=4, $N10="1-Story",NOT($P10="Yes")),$E10,"")</f>
        <v/>
      </c>
      <c r="GU10" s="516" t="str">
        <f t="shared" ref="GU10:GU47" si="183">IF(AND($C10="Efficiency", $N10="1-Story",$P10="Yes"),$E10,"")</f>
        <v/>
      </c>
      <c r="GV10" s="516" t="str">
        <f t="shared" ref="GV10:GV47" si="184">IF(AND($C10=1, $N10="1-Story",$P10="Yes"),$E10,"")</f>
        <v/>
      </c>
      <c r="GW10" s="516" t="str">
        <f t="shared" ref="GW10:GW47" si="185">IF(AND($C10=2, $N10="1-Story",$P10="Yes"),$E10,"")</f>
        <v/>
      </c>
      <c r="GX10" s="516" t="str">
        <f t="shared" ref="GX10:GX47" si="186">IF(AND($C10=3, $N10="1-Story",$P10="Yes"),$E10,"")</f>
        <v/>
      </c>
      <c r="GY10" s="516" t="str">
        <f t="shared" ref="GY10:GY47" si="187">IF(AND($C10=4, $N10="1-Story",$P10="Yes"),$E10,"")</f>
        <v/>
      </c>
      <c r="GZ10" s="516" t="str">
        <f t="shared" ref="GZ10:GZ47" si="188">IF(AND($C10="Efficiency", $N10="2-Story",NOT($P10="Yes")),$E10,"")</f>
        <v/>
      </c>
      <c r="HA10" s="516" t="str">
        <f t="shared" ref="HA10:HA47" si="189">IF(AND($C10=1, $N10="2-Story",NOT($P10="Yes")),$E10,"")</f>
        <v/>
      </c>
      <c r="HB10" s="516" t="str">
        <f t="shared" ref="HB10:HB47" si="190">IF(AND($C10=2, $N10="2-Story",NOT($P10="Yes")),$E10,"")</f>
        <v/>
      </c>
      <c r="HC10" s="516" t="str">
        <f t="shared" ref="HC10:HC47" si="191">IF(AND($C10=3, $N10="2-Story",NOT($P10="Yes")),$E10,"")</f>
        <v/>
      </c>
      <c r="HD10" s="516" t="str">
        <f t="shared" ref="HD10:HD47" si="192">IF(AND($C10=4, $N10="2-Story",NOT($P10="Yes")),$E10,"")</f>
        <v/>
      </c>
      <c r="HE10" s="516" t="str">
        <f t="shared" ref="HE10:HE47" si="193">IF(AND($C10="Efficiency", $N10="2-Story",$P10="Yes"),$E10,"")</f>
        <v/>
      </c>
      <c r="HF10" s="516" t="str">
        <f t="shared" ref="HF10:HF47" si="194">IF(AND($C10=1, $N10="2-Story",$P10="Yes"),$E10,"")</f>
        <v/>
      </c>
      <c r="HG10" s="516" t="str">
        <f t="shared" ref="HG10:HG47" si="195">IF(AND($C10=2, $N10="2-Story",$P10="Yes"),$E10,"")</f>
        <v/>
      </c>
      <c r="HH10" s="516" t="str">
        <f t="shared" ref="HH10:HH47" si="196">IF(AND($C10=3, $N10="2-Story",$P10="Yes"),$E10,"")</f>
        <v/>
      </c>
      <c r="HI10" s="516" t="str">
        <f t="shared" ref="HI10:HI47" si="197">IF(AND($C10=4, $N10="2-Story",$P10="Yes"),$E10,"")</f>
        <v/>
      </c>
      <c r="HJ10" s="516" t="str">
        <f t="shared" ref="HJ10:HJ47" si="198">IF(AND($C10="Efficiency", $N10="2-Story Walkup",NOT($P10="Yes")),$E10,"")</f>
        <v/>
      </c>
      <c r="HK10" s="516" t="str">
        <f t="shared" ref="HK10:HK47" si="199">IF(AND($C10=1, $N10="2-Story Walkup",NOT($P10="Yes")),$E10,"")</f>
        <v/>
      </c>
      <c r="HL10" s="516" t="str">
        <f t="shared" ref="HL10:HL47" si="200">IF(AND($C10=2, $N10="2-Story Walkup",NOT($P10="Yes")),$E10,"")</f>
        <v/>
      </c>
      <c r="HM10" s="516" t="str">
        <f t="shared" ref="HM10:HM47" si="201">IF(AND($C10=3, $N10="2-Story Walkup",NOT($P10="Yes")),$E10,"")</f>
        <v/>
      </c>
      <c r="HN10" s="516" t="str">
        <f t="shared" ref="HN10:HN47" si="202">IF(AND($C10=4, $N10="2-Story Walkup",NOT($P10="Yes")),$E10,"")</f>
        <v/>
      </c>
      <c r="HO10" s="516" t="str">
        <f t="shared" ref="HO10:HO47" si="203">IF(AND($C10="Efficiency", $N10="2-Story Walkup",$P10="Yes"),$E10,"")</f>
        <v/>
      </c>
      <c r="HP10" s="516" t="str">
        <f t="shared" ref="HP10:HP47" si="204">IF(AND($C10=1, $N10="2-Story Walkup",$P10="Yes"),$E10,"")</f>
        <v/>
      </c>
      <c r="HQ10" s="516" t="str">
        <f t="shared" ref="HQ10:HQ47" si="205">IF(AND($C10=2, $N10="2-Story Walkup",$P10="Yes"),$E10,"")</f>
        <v/>
      </c>
      <c r="HR10" s="516" t="str">
        <f t="shared" ref="HR10:HR47" si="206">IF(AND($C10=3, $N10="2-Story Walkup",$P10="Yes"),$E10,"")</f>
        <v/>
      </c>
      <c r="HS10" s="516" t="str">
        <f t="shared" ref="HS10:HS47" si="207">IF(AND($C10=4, $N10="2-Story Walkup",$P10="Yes"),$E10,"")</f>
        <v/>
      </c>
      <c r="HT10" s="516" t="str">
        <f t="shared" ref="HT10:HT47" si="208">IF(AND($C10="Efficiency", $N10="3+ Story",NOT($P10="Yes")),$E10,"")</f>
        <v/>
      </c>
      <c r="HU10" s="516" t="str">
        <f t="shared" ref="HU10:HU47" si="209">IF(AND($C10=1, $N10="3+ Story",NOT($P10="Yes")),$E10,"")</f>
        <v/>
      </c>
      <c r="HV10" s="516" t="str">
        <f t="shared" ref="HV10:HV47" si="210">IF(AND($C10=2, $N10="3+ Story",NOT($P10="Yes")),$E10,"")</f>
        <v/>
      </c>
      <c r="HW10" s="516" t="str">
        <f t="shared" ref="HW10:HW47" si="211">IF(AND($C10=3, $N10="3+ Story",NOT($P10="Yes")),$E10,"")</f>
        <v/>
      </c>
      <c r="HX10" s="516" t="str">
        <f t="shared" ref="HX10:HX47" si="212">IF(AND($C10=4, $N10="3+ Story",NOT($P10="Yes")),$E10,"")</f>
        <v/>
      </c>
      <c r="HY10" s="516" t="str">
        <f t="shared" ref="HY10:HY47" si="213">IF(AND($C10="Efficiency", $N10="3+ Story",$P10="Yes"),$E10,"")</f>
        <v/>
      </c>
      <c r="HZ10" s="516" t="str">
        <f t="shared" ref="HZ10:HZ47" si="214">IF(AND($C10=1, $N10="3+ Story",$P10="Yes"),$E10,"")</f>
        <v/>
      </c>
      <c r="IA10" s="516" t="str">
        <f t="shared" ref="IA10:IA47" si="215">IF(AND($C10=2, $N10="3+ Story",$P10="Yes"),$E10,"")</f>
        <v/>
      </c>
      <c r="IB10" s="516" t="str">
        <f t="shared" ref="IB10:IB47" si="216">IF(AND($C10=3, $N10="3+ Story",$P10="Yes"),$E10,"")</f>
        <v/>
      </c>
      <c r="IC10" s="516" t="str">
        <f t="shared" ref="IC10:IC47" si="217">IF(AND($C10=4, $N10="3+ Story",$P10="Yes"),$E10,"")</f>
        <v/>
      </c>
      <c r="ID10" s="517" t="str">
        <f t="shared" ref="ID10:ID47" si="218">IF(AND($B10="NSP 120% AMI",$C10="Efficiency", NOT($M10="Common")),$E10,"")</f>
        <v/>
      </c>
      <c r="IE10" s="517" t="str">
        <f t="shared" ref="IE10:IE47" si="219">IF(AND($B10="NSP 120% AMI",$C10=1,NOT($M10="Common")),$E10,"")</f>
        <v/>
      </c>
      <c r="IF10" s="517" t="str">
        <f t="shared" ref="IF10:IF47" si="220">IF(AND($B10="NSP 120% AMI",$C10=2,NOT($M10="Common")),$E10,"")</f>
        <v/>
      </c>
      <c r="IG10" s="517" t="str">
        <f t="shared" ref="IG10:IG47" si="221">IF(AND($B10="NSP 120% AMI",$C10=3,NOT($M10="Common")),$E10,"")</f>
        <v/>
      </c>
      <c r="IH10" s="517" t="str">
        <f t="shared" ref="IH10:IH47" si="222">IF(AND($B10="NSP 120% AMI",$C10=4,NOT($M10="Common")),$E10,"")</f>
        <v/>
      </c>
      <c r="II10" s="506" t="str">
        <f t="shared" ref="II10:II47" si="223">IF(AND(C10="Efficiency",B10="NSP 120% AMI",NOT(M10="Common")),E10*F10,"")</f>
        <v/>
      </c>
      <c r="IJ10" s="506" t="str">
        <f t="shared" ref="IJ10:IJ47" si="224">IF(AND(C10=1,B10="NSP 120% AMI",NOT(M10="Common")),E10*F10,"")</f>
        <v/>
      </c>
      <c r="IK10" s="506" t="str">
        <f t="shared" ref="IK10:IK47" si="225">IF(AND(C10=2,B10="NSP 120% AMI",NOT(M10="Common")),E10*F10,"")</f>
        <v/>
      </c>
      <c r="IL10" s="506" t="str">
        <f t="shared" ref="IL10:IL47" si="226">IF(AND(C10=3,B10="NSP 120% AMI",NOT(M10="Common")),E10*F10,"")</f>
        <v/>
      </c>
      <c r="IM10" s="506" t="str">
        <f t="shared" ref="IM10:IM47" si="227">IF(AND(C10=4,B10="NSP 120% AMI",NOT(M10="Common")),E10*F10,"")</f>
        <v/>
      </c>
      <c r="IN10" s="506" t="str">
        <f t="shared" ref="IN10:IN47" si="228">IF(AND($C10="Efficiency", $O10="New Construction",$B10="NSP 120% AMI",NOT($M10="Common")),$E10,"")</f>
        <v/>
      </c>
      <c r="IO10" s="506" t="str">
        <f t="shared" ref="IO10:IO47" si="229">IF(AND($C10=1, $O10="New Construction",$B10="NSP 120% AMI",NOT($M10="Common")),$E10,"")</f>
        <v/>
      </c>
      <c r="IP10" s="506" t="str">
        <f t="shared" ref="IP10:IP47" si="230">IF(AND($C10=2, $O10="New Construction",$B10="NSP 120% AMI",NOT($M10="Common")),$E10,"")</f>
        <v/>
      </c>
      <c r="IQ10" s="506" t="str">
        <f t="shared" ref="IQ10:IQ47" si="231">IF(AND($C10=3, $O10="New Construction",$B10="NSP 120% AMI",NOT($M10="Common")),$E10,"")</f>
        <v/>
      </c>
      <c r="IR10" s="506" t="str">
        <f t="shared" ref="IR10:IR47" si="232">IF(AND($C10=4, $O10="New Construction",$B10="NSP 120% AMI",NOT($M10="Common")),$E10,"")</f>
        <v/>
      </c>
      <c r="IS10" s="506" t="str">
        <f t="shared" ref="IS10:IS47" si="233">IF(AND($C10="Efficiency", $O10="Acquisition/Rehab",$B10="NSP 120% AMI",NOT($M10="Common")),$E10,"")</f>
        <v/>
      </c>
      <c r="IT10" s="506" t="str">
        <f t="shared" ref="IT10:IT47" si="234">IF(AND($C10=1, $O10="Acquisition/Rehab",$B10="NSP 120% AMI",NOT($M10="Common")),$E10,"")</f>
        <v/>
      </c>
      <c r="IU10" s="506" t="str">
        <f t="shared" ref="IU10:IU47" si="235">IF(AND($C10=2, $O10="Acquisition/Rehab",$B10="NSP 120% AMI",NOT($M10="Common")),$E10,"")</f>
        <v/>
      </c>
      <c r="IV10" s="506" t="str">
        <f t="shared" ref="IV10:IV47" si="236">IF(AND($C10=3, $O10="Acquisition/Rehab",$B10="NSP 120% AMI",NOT($M10="Common")),$E10,"")</f>
        <v/>
      </c>
      <c r="IW10" s="506" t="str">
        <f t="shared" ref="IW10:IW47" si="237">IF(AND($C10=4, $O10="Acquisition/Rehab",$B10="NSP 120% AMI",NOT($M10="Common")),$E10,"")</f>
        <v/>
      </c>
      <c r="IX10" s="506" t="str">
        <f t="shared" ref="IX10:IX47" si="238">IF(AND($C10="Efficiency", $O10="Rehabilitation",$B10="NSP 120% AMI",NOT($M10="Common")),$E10,"")</f>
        <v/>
      </c>
      <c r="IY10" s="506" t="str">
        <f t="shared" ref="IY10:IY47" si="239">IF(AND($C10=1, $O10="Rehabilitation",$B10="NSP 120% AMI",NOT($M10="Common")),$E10,"")</f>
        <v/>
      </c>
      <c r="IZ10" s="506" t="str">
        <f t="shared" ref="IZ10:IZ47" si="240">IF(AND($C10=2, $O10="Rehabilitation",$B10="NSP 120% AMI",NOT($M10="Common")),$E10,"")</f>
        <v/>
      </c>
      <c r="JA10" s="506" t="str">
        <f t="shared" ref="JA10:JA47" si="241">IF(AND($C10=3, $O10="Rehabilitation",$B10="NSP 120% AMI",NOT($M10="Common")),$E10,"")</f>
        <v/>
      </c>
      <c r="JB10" s="506" t="str">
        <f t="shared" ref="JB10:JB47" si="242">IF(AND($C10=4, $O10="Rehabilitation",$B10="NSP 120% AMI",NOT($M10="Common")),$E10,"")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1</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0</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f t="shared" si="0"/>
        <v>1</v>
      </c>
      <c r="B11" s="2524" t="s">
        <v>120</v>
      </c>
      <c r="C11" s="2525">
        <v>2</v>
      </c>
      <c r="D11" s="2526">
        <v>2</v>
      </c>
      <c r="E11" s="2527">
        <v>6</v>
      </c>
      <c r="F11" s="2527">
        <v>837</v>
      </c>
      <c r="G11" s="2527">
        <v>548</v>
      </c>
      <c r="H11" s="2527">
        <v>529</v>
      </c>
      <c r="I11" s="2527">
        <v>129</v>
      </c>
      <c r="J11" s="2528" t="s">
        <v>4511</v>
      </c>
      <c r="K11" s="825">
        <f t="shared" si="1"/>
        <v>400</v>
      </c>
      <c r="L11" s="825">
        <f t="shared" si="2"/>
        <v>2400</v>
      </c>
      <c r="M11" s="1301" t="s">
        <v>3424</v>
      </c>
      <c r="N11" s="1301" t="s">
        <v>43</v>
      </c>
      <c r="O11" s="1300" t="s">
        <v>4438</v>
      </c>
      <c r="P11" s="2529"/>
      <c r="Q11" s="2530">
        <f t="shared" ref="Q11:Q47" si="243">IF(H11="","",H11*12/0.3)</f>
        <v>21160</v>
      </c>
      <c r="R11" s="2531">
        <f>IF(H11="","",IF(C11="Efficiency",Q11/($O$6*VLOOKUP(0,'DCA Underwriting Assumptions'!$J$118:$K$123,2,FALSE)),Q11/($O$6*VLOOKUP(C11,'DCA Underwriting Assumptions'!$J$118:$K$123,2,FALSE))))</f>
        <v>0.46649029982363316</v>
      </c>
      <c r="S11" s="2532"/>
      <c r="T11" s="2531"/>
      <c r="U11" s="2533"/>
      <c r="V11" s="2458"/>
      <c r="W11" s="506" t="str">
        <f t="shared" si="3"/>
        <v/>
      </c>
      <c r="X11" s="506" t="str">
        <f t="shared" si="4"/>
        <v/>
      </c>
      <c r="Y11" s="506" t="str">
        <f t="shared" si="5"/>
        <v/>
      </c>
      <c r="Z11" s="506" t="str">
        <f t="shared" si="6"/>
        <v/>
      </c>
      <c r="AA11" s="506" t="str">
        <f t="shared" si="7"/>
        <v/>
      </c>
      <c r="AB11" s="506" t="str">
        <f t="shared" si="8"/>
        <v/>
      </c>
      <c r="AC11" s="506" t="str">
        <f t="shared" si="9"/>
        <v/>
      </c>
      <c r="AD11" s="506">
        <f t="shared" si="10"/>
        <v>6</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f t="shared" si="30"/>
        <v>6</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si="53"/>
        <v/>
      </c>
      <c r="BV11" s="506" t="str">
        <f t="shared" si="54"/>
        <v/>
      </c>
      <c r="BW11" s="506" t="str">
        <f t="shared" si="55"/>
        <v/>
      </c>
      <c r="BX11" s="506" t="str">
        <f t="shared" si="56"/>
        <v/>
      </c>
      <c r="BY11" s="506" t="str">
        <f t="shared" si="57"/>
        <v/>
      </c>
      <c r="BZ11" s="506" t="str">
        <f t="shared" si="58"/>
        <v/>
      </c>
      <c r="CA11" s="506" t="str">
        <f t="shared" si="59"/>
        <v/>
      </c>
      <c r="CB11" s="506" t="str">
        <f t="shared" si="60"/>
        <v/>
      </c>
      <c r="CC11" s="506" t="str">
        <f t="shared" si="61"/>
        <v/>
      </c>
      <c r="CD11" s="506" t="str">
        <f t="shared" si="62"/>
        <v/>
      </c>
      <c r="CE11" s="506" t="str">
        <f t="shared" si="63"/>
        <v/>
      </c>
      <c r="CF11" s="506" t="str">
        <f t="shared" si="64"/>
        <v/>
      </c>
      <c r="CG11" s="506">
        <f t="shared" si="65"/>
        <v>5022</v>
      </c>
      <c r="CH11" s="506" t="str">
        <f t="shared" si="66"/>
        <v/>
      </c>
      <c r="CI11" s="506" t="str">
        <f t="shared" si="67"/>
        <v/>
      </c>
      <c r="CJ11" s="506" t="str">
        <f t="shared" si="68"/>
        <v/>
      </c>
      <c r="CK11" s="506" t="str">
        <f t="shared" si="69"/>
        <v/>
      </c>
      <c r="CL11" s="506" t="str">
        <f t="shared" si="70"/>
        <v/>
      </c>
      <c r="CM11" s="506" t="str">
        <f t="shared" si="71"/>
        <v/>
      </c>
      <c r="CN11" s="506" t="str">
        <f t="shared" si="72"/>
        <v/>
      </c>
      <c r="CO11" s="506" t="str">
        <f t="shared" si="73"/>
        <v/>
      </c>
      <c r="CP11" s="506" t="str">
        <f t="shared" si="74"/>
        <v/>
      </c>
      <c r="CQ11" s="506" t="str">
        <f t="shared" si="75"/>
        <v/>
      </c>
      <c r="CR11" s="506" t="str">
        <f t="shared" si="76"/>
        <v/>
      </c>
      <c r="CS11" s="506" t="str">
        <f t="shared" si="77"/>
        <v/>
      </c>
      <c r="CT11" s="506" t="str">
        <f t="shared" si="78"/>
        <v/>
      </c>
      <c r="CU11" s="506" t="str">
        <f t="shared" si="79"/>
        <v/>
      </c>
      <c r="CV11" s="506">
        <f t="shared" si="80"/>
        <v>5022</v>
      </c>
      <c r="CW11" s="506" t="str">
        <f t="shared" si="81"/>
        <v/>
      </c>
      <c r="CX11" s="506" t="str">
        <f t="shared" si="82"/>
        <v/>
      </c>
      <c r="CY11" s="506" t="str">
        <f t="shared" si="83"/>
        <v/>
      </c>
      <c r="CZ11" s="506" t="str">
        <f t="shared" si="84"/>
        <v/>
      </c>
      <c r="DA11" s="506" t="str">
        <f t="shared" si="85"/>
        <v/>
      </c>
      <c r="DB11" s="506" t="str">
        <f t="shared" si="86"/>
        <v/>
      </c>
      <c r="DC11" s="506" t="str">
        <f t="shared" si="87"/>
        <v/>
      </c>
      <c r="DD11" s="506" t="str">
        <f t="shared" si="88"/>
        <v/>
      </c>
      <c r="DE11" s="506" t="str">
        <f t="shared" si="89"/>
        <v/>
      </c>
      <c r="DF11" s="506" t="str">
        <f t="shared" si="90"/>
        <v/>
      </c>
      <c r="DG11" s="506" t="str">
        <f t="shared" si="91"/>
        <v/>
      </c>
      <c r="DH11" s="506" t="str">
        <f t="shared" si="92"/>
        <v/>
      </c>
      <c r="DI11" s="506" t="str">
        <f t="shared" si="93"/>
        <v/>
      </c>
      <c r="DJ11" s="506" t="str">
        <f t="shared" si="94"/>
        <v/>
      </c>
      <c r="DK11" s="506" t="str">
        <f t="shared" si="95"/>
        <v/>
      </c>
      <c r="DL11" s="506" t="str">
        <f t="shared" si="96"/>
        <v/>
      </c>
      <c r="DM11" s="506" t="str">
        <f t="shared" si="97"/>
        <v/>
      </c>
      <c r="DN11" s="506" t="str">
        <f t="shared" si="98"/>
        <v/>
      </c>
      <c r="DO11" s="506" t="str">
        <f t="shared" si="99"/>
        <v/>
      </c>
      <c r="DP11" s="506" t="str">
        <f t="shared" si="100"/>
        <v/>
      </c>
      <c r="DQ11" s="506" t="str">
        <f t="shared" si="101"/>
        <v/>
      </c>
      <c r="DR11" s="506" t="str">
        <f t="shared" si="102"/>
        <v/>
      </c>
      <c r="DS11" s="506" t="str">
        <f t="shared" si="103"/>
        <v/>
      </c>
      <c r="DT11" s="506" t="str">
        <f t="shared" si="104"/>
        <v/>
      </c>
      <c r="DU11" s="506">
        <f t="shared" si="105"/>
        <v>6</v>
      </c>
      <c r="DV11" s="506" t="str">
        <f t="shared" si="106"/>
        <v/>
      </c>
      <c r="DW11" s="506" t="str">
        <f t="shared" si="107"/>
        <v/>
      </c>
      <c r="DX11" s="506" t="str">
        <f t="shared" si="108"/>
        <v/>
      </c>
      <c r="DY11" s="506" t="str">
        <f t="shared" si="109"/>
        <v/>
      </c>
      <c r="DZ11" s="506" t="str">
        <f t="shared" si="110"/>
        <v/>
      </c>
      <c r="EA11" s="506" t="str">
        <f t="shared" si="111"/>
        <v/>
      </c>
      <c r="EB11" s="506" t="str">
        <f t="shared" si="112"/>
        <v/>
      </c>
      <c r="EC11" s="506" t="str">
        <f t="shared" si="113"/>
        <v/>
      </c>
      <c r="ED11" s="506" t="str">
        <f t="shared" si="114"/>
        <v/>
      </c>
      <c r="EE11" s="506" t="str">
        <f t="shared" si="115"/>
        <v/>
      </c>
      <c r="EF11" s="506" t="str">
        <f t="shared" si="116"/>
        <v/>
      </c>
      <c r="EG11" s="506" t="str">
        <f t="shared" si="117"/>
        <v/>
      </c>
      <c r="EH11" s="506" t="str">
        <f t="shared" si="118"/>
        <v/>
      </c>
      <c r="EI11" s="506" t="str">
        <f t="shared" si="119"/>
        <v/>
      </c>
      <c r="EJ11" s="506" t="str">
        <f t="shared" si="120"/>
        <v/>
      </c>
      <c r="EK11" s="506" t="str">
        <f t="shared" si="121"/>
        <v/>
      </c>
      <c r="EL11" s="506" t="str">
        <f t="shared" si="122"/>
        <v/>
      </c>
      <c r="EM11" s="506" t="str">
        <f t="shared" si="123"/>
        <v/>
      </c>
      <c r="EN11" s="506" t="str">
        <f t="shared" si="124"/>
        <v/>
      </c>
      <c r="EO11" s="506" t="str">
        <f t="shared" si="125"/>
        <v/>
      </c>
      <c r="EP11" s="506" t="str">
        <f t="shared" si="126"/>
        <v/>
      </c>
      <c r="EQ11" s="506" t="str">
        <f t="shared" si="127"/>
        <v/>
      </c>
      <c r="ER11" s="506" t="str">
        <f t="shared" si="128"/>
        <v/>
      </c>
      <c r="ES11" s="506" t="str">
        <f t="shared" si="129"/>
        <v/>
      </c>
      <c r="ET11" s="506" t="str">
        <f t="shared" si="130"/>
        <v/>
      </c>
      <c r="EU11" s="506" t="str">
        <f t="shared" si="131"/>
        <v/>
      </c>
      <c r="EV11" s="506" t="str">
        <f t="shared" si="132"/>
        <v/>
      </c>
      <c r="EW11" s="516" t="str">
        <f t="shared" si="133"/>
        <v/>
      </c>
      <c r="EX11" s="516" t="str">
        <f t="shared" si="134"/>
        <v/>
      </c>
      <c r="EY11" s="516" t="str">
        <f t="shared" si="135"/>
        <v/>
      </c>
      <c r="EZ11" s="516" t="str">
        <f t="shared" si="136"/>
        <v/>
      </c>
      <c r="FA11" s="516" t="str">
        <f t="shared" si="137"/>
        <v/>
      </c>
      <c r="FB11" s="516" t="str">
        <f t="shared" si="138"/>
        <v/>
      </c>
      <c r="FC11" s="516" t="str">
        <f t="shared" si="139"/>
        <v/>
      </c>
      <c r="FD11" s="516" t="str">
        <f t="shared" si="140"/>
        <v/>
      </c>
      <c r="FE11" s="516" t="str">
        <f t="shared" si="141"/>
        <v/>
      </c>
      <c r="FF11" s="516" t="str">
        <f t="shared" si="142"/>
        <v/>
      </c>
      <c r="FG11" s="516" t="str">
        <f t="shared" si="143"/>
        <v/>
      </c>
      <c r="FH11" s="516" t="str">
        <f t="shared" si="144"/>
        <v/>
      </c>
      <c r="FI11" s="516" t="str">
        <f t="shared" si="145"/>
        <v/>
      </c>
      <c r="FJ11" s="516" t="str">
        <f t="shared" si="146"/>
        <v/>
      </c>
      <c r="FK11" s="516" t="str">
        <f t="shared" si="147"/>
        <v/>
      </c>
      <c r="FL11" s="516" t="str">
        <f t="shared" si="148"/>
        <v/>
      </c>
      <c r="FM11" s="516" t="str">
        <f t="shared" si="149"/>
        <v/>
      </c>
      <c r="FN11" s="516" t="str">
        <f t="shared" si="150"/>
        <v/>
      </c>
      <c r="FO11" s="516" t="str">
        <f t="shared" si="151"/>
        <v/>
      </c>
      <c r="FP11" s="516" t="str">
        <f t="shared" si="152"/>
        <v/>
      </c>
      <c r="FQ11" s="516" t="str">
        <f t="shared" si="153"/>
        <v/>
      </c>
      <c r="FR11" s="516" t="str">
        <f t="shared" si="154"/>
        <v/>
      </c>
      <c r="FS11" s="516" t="str">
        <f t="shared" si="155"/>
        <v/>
      </c>
      <c r="FT11" s="516" t="str">
        <f t="shared" si="156"/>
        <v/>
      </c>
      <c r="FU11" s="516" t="str">
        <f t="shared" si="157"/>
        <v/>
      </c>
      <c r="FV11" s="516" t="str">
        <f t="shared" si="158"/>
        <v/>
      </c>
      <c r="FW11" s="516" t="str">
        <f t="shared" si="159"/>
        <v/>
      </c>
      <c r="FX11" s="516" t="str">
        <f t="shared" si="160"/>
        <v/>
      </c>
      <c r="FY11" s="516" t="str">
        <f t="shared" si="161"/>
        <v/>
      </c>
      <c r="FZ11" s="516" t="str">
        <f t="shared" si="162"/>
        <v/>
      </c>
      <c r="GA11" s="516" t="str">
        <f t="shared" si="163"/>
        <v/>
      </c>
      <c r="GB11" s="516" t="str">
        <f t="shared" si="164"/>
        <v/>
      </c>
      <c r="GC11" s="516" t="str">
        <f t="shared" si="165"/>
        <v/>
      </c>
      <c r="GD11" s="516" t="str">
        <f t="shared" si="166"/>
        <v/>
      </c>
      <c r="GE11" s="516" t="str">
        <f t="shared" si="167"/>
        <v/>
      </c>
      <c r="GF11" s="516" t="str">
        <f t="shared" si="168"/>
        <v/>
      </c>
      <c r="GG11" s="516" t="str">
        <f t="shared" si="169"/>
        <v/>
      </c>
      <c r="GH11" s="516">
        <f t="shared" si="170"/>
        <v>6</v>
      </c>
      <c r="GI11" s="516" t="str">
        <f t="shared" si="171"/>
        <v/>
      </c>
      <c r="GJ11" s="516" t="str">
        <f t="shared" si="172"/>
        <v/>
      </c>
      <c r="GK11" s="516" t="str">
        <f t="shared" si="173"/>
        <v/>
      </c>
      <c r="GL11" s="516" t="str">
        <f t="shared" si="174"/>
        <v/>
      </c>
      <c r="GM11" s="516" t="str">
        <f t="shared" si="175"/>
        <v/>
      </c>
      <c r="GN11" s="516" t="str">
        <f t="shared" si="176"/>
        <v/>
      </c>
      <c r="GO11" s="516" t="str">
        <f t="shared" si="177"/>
        <v/>
      </c>
      <c r="GP11" s="516" t="str">
        <f t="shared" si="178"/>
        <v/>
      </c>
      <c r="GQ11" s="516" t="str">
        <f t="shared" si="179"/>
        <v/>
      </c>
      <c r="GR11" s="516" t="str">
        <f t="shared" si="180"/>
        <v/>
      </c>
      <c r="GS11" s="516" t="str">
        <f t="shared" si="181"/>
        <v/>
      </c>
      <c r="GT11" s="516" t="str">
        <f t="shared" si="182"/>
        <v/>
      </c>
      <c r="GU11" s="516" t="str">
        <f t="shared" si="183"/>
        <v/>
      </c>
      <c r="GV11" s="516" t="str">
        <f t="shared" si="184"/>
        <v/>
      </c>
      <c r="GW11" s="516" t="str">
        <f t="shared" si="185"/>
        <v/>
      </c>
      <c r="GX11" s="516" t="str">
        <f t="shared" si="186"/>
        <v/>
      </c>
      <c r="GY11" s="516" t="str">
        <f t="shared" si="187"/>
        <v/>
      </c>
      <c r="GZ11" s="516" t="str">
        <f t="shared" si="188"/>
        <v/>
      </c>
      <c r="HA11" s="516" t="str">
        <f t="shared" si="189"/>
        <v/>
      </c>
      <c r="HB11" s="516" t="str">
        <f t="shared" si="190"/>
        <v/>
      </c>
      <c r="HC11" s="516" t="str">
        <f t="shared" si="191"/>
        <v/>
      </c>
      <c r="HD11" s="516" t="str">
        <f t="shared" si="192"/>
        <v/>
      </c>
      <c r="HE11" s="516" t="str">
        <f t="shared" si="193"/>
        <v/>
      </c>
      <c r="HF11" s="516" t="str">
        <f t="shared" si="194"/>
        <v/>
      </c>
      <c r="HG11" s="516" t="str">
        <f t="shared" si="195"/>
        <v/>
      </c>
      <c r="HH11" s="516" t="str">
        <f t="shared" si="196"/>
        <v/>
      </c>
      <c r="HI11" s="516" t="str">
        <f t="shared" si="197"/>
        <v/>
      </c>
      <c r="HJ11" s="516" t="str">
        <f t="shared" si="198"/>
        <v/>
      </c>
      <c r="HK11" s="516" t="str">
        <f t="shared" si="199"/>
        <v/>
      </c>
      <c r="HL11" s="516" t="str">
        <f t="shared" si="200"/>
        <v/>
      </c>
      <c r="HM11" s="516" t="str">
        <f t="shared" si="201"/>
        <v/>
      </c>
      <c r="HN11" s="516" t="str">
        <f t="shared" si="202"/>
        <v/>
      </c>
      <c r="HO11" s="516" t="str">
        <f t="shared" si="203"/>
        <v/>
      </c>
      <c r="HP11" s="516" t="str">
        <f t="shared" si="204"/>
        <v/>
      </c>
      <c r="HQ11" s="516" t="str">
        <f t="shared" si="205"/>
        <v/>
      </c>
      <c r="HR11" s="516" t="str">
        <f t="shared" si="206"/>
        <v/>
      </c>
      <c r="HS11" s="516" t="str">
        <f t="shared" si="207"/>
        <v/>
      </c>
      <c r="HT11" s="516" t="str">
        <f t="shared" si="208"/>
        <v/>
      </c>
      <c r="HU11" s="516" t="str">
        <f t="shared" si="209"/>
        <v/>
      </c>
      <c r="HV11" s="516" t="str">
        <f t="shared" si="210"/>
        <v/>
      </c>
      <c r="HW11" s="516" t="str">
        <f t="shared" si="211"/>
        <v/>
      </c>
      <c r="HX11" s="516" t="str">
        <f t="shared" si="212"/>
        <v/>
      </c>
      <c r="HY11" s="516" t="str">
        <f t="shared" si="213"/>
        <v/>
      </c>
      <c r="HZ11" s="516" t="str">
        <f t="shared" si="214"/>
        <v/>
      </c>
      <c r="IA11" s="516" t="str">
        <f t="shared" si="215"/>
        <v/>
      </c>
      <c r="IB11" s="516" t="str">
        <f t="shared" si="216"/>
        <v/>
      </c>
      <c r="IC11" s="516" t="str">
        <f t="shared" si="217"/>
        <v/>
      </c>
      <c r="ID11" s="517" t="str">
        <f t="shared" si="218"/>
        <v/>
      </c>
      <c r="IE11" s="517" t="str">
        <f t="shared" si="219"/>
        <v/>
      </c>
      <c r="IF11" s="517" t="str">
        <f t="shared" si="220"/>
        <v/>
      </c>
      <c r="IG11" s="517" t="str">
        <f t="shared" si="221"/>
        <v/>
      </c>
      <c r="IH11" s="517" t="str">
        <f t="shared" si="222"/>
        <v/>
      </c>
      <c r="II11" s="506" t="str">
        <f t="shared" si="223"/>
        <v/>
      </c>
      <c r="IJ11" s="506" t="str">
        <f t="shared" si="224"/>
        <v/>
      </c>
      <c r="IK11" s="506" t="str">
        <f t="shared" si="225"/>
        <v/>
      </c>
      <c r="IL11" s="506" t="str">
        <f t="shared" si="226"/>
        <v/>
      </c>
      <c r="IM11" s="506" t="str">
        <f t="shared" si="227"/>
        <v/>
      </c>
      <c r="IN11" s="506" t="str">
        <f t="shared" si="228"/>
        <v/>
      </c>
      <c r="IO11" s="506" t="str">
        <f t="shared" si="229"/>
        <v/>
      </c>
      <c r="IP11" s="506" t="str">
        <f t="shared" si="230"/>
        <v/>
      </c>
      <c r="IQ11" s="506" t="str">
        <f t="shared" si="231"/>
        <v/>
      </c>
      <c r="IR11" s="506" t="str">
        <f t="shared" si="232"/>
        <v/>
      </c>
      <c r="IS11" s="506" t="str">
        <f t="shared" si="233"/>
        <v/>
      </c>
      <c r="IT11" s="506" t="str">
        <f t="shared" si="234"/>
        <v/>
      </c>
      <c r="IU11" s="506" t="str">
        <f t="shared" si="235"/>
        <v/>
      </c>
      <c r="IV11" s="506" t="str">
        <f t="shared" si="236"/>
        <v/>
      </c>
      <c r="IW11" s="506" t="str">
        <f t="shared" si="237"/>
        <v/>
      </c>
      <c r="IX11" s="506" t="str">
        <f t="shared" si="238"/>
        <v/>
      </c>
      <c r="IY11" s="506" t="str">
        <f t="shared" si="239"/>
        <v/>
      </c>
      <c r="IZ11" s="506" t="str">
        <f t="shared" si="240"/>
        <v/>
      </c>
      <c r="JA11" s="506" t="str">
        <f t="shared" si="241"/>
        <v/>
      </c>
      <c r="JB11" s="506" t="str">
        <f t="shared" si="242"/>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6</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0</v>
      </c>
      <c r="JJ11" s="515">
        <f t="shared" ref="JJ11:JJ47" si="251">IF(AND($C11=2,$E11&gt;0,OR($N11="1-Story",$N11="2-Story",$N11="3+ Story",$N11="2-Story Walkup",$N11="Townhome"),$O11="New Construction"),$E11,0)</f>
        <v>0</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f t="shared" si="0"/>
        <v>1</v>
      </c>
      <c r="B12" s="2524" t="s">
        <v>120</v>
      </c>
      <c r="C12" s="2525">
        <v>3</v>
      </c>
      <c r="D12" s="2526">
        <v>2</v>
      </c>
      <c r="E12" s="2527">
        <v>2</v>
      </c>
      <c r="F12" s="2527">
        <v>1100</v>
      </c>
      <c r="G12" s="2527">
        <v>633</v>
      </c>
      <c r="H12" s="2527">
        <v>603</v>
      </c>
      <c r="I12" s="2527">
        <v>168</v>
      </c>
      <c r="J12" s="2528"/>
      <c r="K12" s="825">
        <f t="shared" si="1"/>
        <v>435</v>
      </c>
      <c r="L12" s="825">
        <f t="shared" si="2"/>
        <v>870</v>
      </c>
      <c r="M12" s="1301" t="s">
        <v>3424</v>
      </c>
      <c r="N12" s="1301" t="s">
        <v>2731</v>
      </c>
      <c r="O12" s="1301" t="s">
        <v>4438</v>
      </c>
      <c r="P12" s="2529"/>
      <c r="Q12" s="2530">
        <f t="shared" si="243"/>
        <v>24120</v>
      </c>
      <c r="R12" s="2531">
        <f>IF(H12="","",IF(C12="Efficiency",Q12/($O$6*VLOOKUP(0,'DCA Underwriting Assumptions'!$J$118:$K$123,2,FALSE)),Q12/($O$6*VLOOKUP(C12,'DCA Underwriting Assumptions'!$J$118:$K$123,2,FALSE))))</f>
        <v>0.46016483516483514</v>
      </c>
      <c r="S12" s="2532"/>
      <c r="T12" s="2531"/>
      <c r="U12" s="2533"/>
      <c r="V12" s="2458"/>
      <c r="W12" s="506" t="str">
        <f t="shared" si="3"/>
        <v/>
      </c>
      <c r="X12" s="506" t="str">
        <f t="shared" si="4"/>
        <v/>
      </c>
      <c r="Y12" s="506" t="str">
        <f t="shared" si="5"/>
        <v/>
      </c>
      <c r="Z12" s="506" t="str">
        <f t="shared" si="6"/>
        <v/>
      </c>
      <c r="AA12" s="506" t="str">
        <f t="shared" si="7"/>
        <v/>
      </c>
      <c r="AB12" s="506" t="str">
        <f t="shared" si="8"/>
        <v/>
      </c>
      <c r="AC12" s="506" t="str">
        <f t="shared" si="9"/>
        <v/>
      </c>
      <c r="AD12" s="506" t="str">
        <f t="shared" si="10"/>
        <v/>
      </c>
      <c r="AE12" s="506">
        <f t="shared" si="11"/>
        <v>2</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53"/>
        <v/>
      </c>
      <c r="BV12" s="506" t="str">
        <f t="shared" si="54"/>
        <v/>
      </c>
      <c r="BW12" s="506" t="str">
        <f t="shared" si="55"/>
        <v/>
      </c>
      <c r="BX12" s="506" t="str">
        <f t="shared" si="56"/>
        <v/>
      </c>
      <c r="BY12" s="506" t="str">
        <f t="shared" si="57"/>
        <v/>
      </c>
      <c r="BZ12" s="506" t="str">
        <f t="shared" si="58"/>
        <v/>
      </c>
      <c r="CA12" s="506" t="str">
        <f t="shared" si="59"/>
        <v/>
      </c>
      <c r="CB12" s="506" t="str">
        <f t="shared" si="60"/>
        <v/>
      </c>
      <c r="CC12" s="506" t="str">
        <f t="shared" si="61"/>
        <v/>
      </c>
      <c r="CD12" s="506" t="str">
        <f t="shared" si="62"/>
        <v/>
      </c>
      <c r="CE12" s="506" t="str">
        <f t="shared" si="63"/>
        <v/>
      </c>
      <c r="CF12" s="506" t="str">
        <f t="shared" si="64"/>
        <v/>
      </c>
      <c r="CG12" s="506" t="str">
        <f t="shared" si="65"/>
        <v/>
      </c>
      <c r="CH12" s="506">
        <f t="shared" si="66"/>
        <v>2200</v>
      </c>
      <c r="CI12" s="506" t="str">
        <f t="shared" si="67"/>
        <v/>
      </c>
      <c r="CJ12" s="506" t="str">
        <f t="shared" si="68"/>
        <v/>
      </c>
      <c r="CK12" s="506" t="str">
        <f t="shared" si="69"/>
        <v/>
      </c>
      <c r="CL12" s="506" t="str">
        <f t="shared" si="70"/>
        <v/>
      </c>
      <c r="CM12" s="506" t="str">
        <f t="shared" si="71"/>
        <v/>
      </c>
      <c r="CN12" s="506" t="str">
        <f t="shared" si="72"/>
        <v/>
      </c>
      <c r="CO12" s="506" t="str">
        <f t="shared" si="73"/>
        <v/>
      </c>
      <c r="CP12" s="506" t="str">
        <f t="shared" si="74"/>
        <v/>
      </c>
      <c r="CQ12" s="506" t="str">
        <f t="shared" si="75"/>
        <v/>
      </c>
      <c r="CR12" s="506" t="str">
        <f t="shared" si="76"/>
        <v/>
      </c>
      <c r="CS12" s="506" t="str">
        <f t="shared" si="77"/>
        <v/>
      </c>
      <c r="CT12" s="506" t="str">
        <f t="shared" si="78"/>
        <v/>
      </c>
      <c r="CU12" s="506" t="str">
        <f t="shared" si="79"/>
        <v/>
      </c>
      <c r="CV12" s="506" t="str">
        <f t="shared" si="80"/>
        <v/>
      </c>
      <c r="CW12" s="506" t="str">
        <f t="shared" si="81"/>
        <v/>
      </c>
      <c r="CX12" s="506" t="str">
        <f t="shared" si="82"/>
        <v/>
      </c>
      <c r="CY12" s="506" t="str">
        <f t="shared" si="83"/>
        <v/>
      </c>
      <c r="CZ12" s="506" t="str">
        <f t="shared" si="84"/>
        <v/>
      </c>
      <c r="DA12" s="506" t="str">
        <f t="shared" si="85"/>
        <v/>
      </c>
      <c r="DB12" s="506" t="str">
        <f t="shared" si="86"/>
        <v/>
      </c>
      <c r="DC12" s="506" t="str">
        <f t="shared" si="87"/>
        <v/>
      </c>
      <c r="DD12" s="506" t="str">
        <f t="shared" si="88"/>
        <v/>
      </c>
      <c r="DE12" s="506" t="str">
        <f t="shared" si="89"/>
        <v/>
      </c>
      <c r="DF12" s="506" t="str">
        <f t="shared" si="90"/>
        <v/>
      </c>
      <c r="DG12" s="506" t="str">
        <f t="shared" si="91"/>
        <v/>
      </c>
      <c r="DH12" s="506" t="str">
        <f t="shared" si="92"/>
        <v/>
      </c>
      <c r="DI12" s="506" t="str">
        <f t="shared" si="93"/>
        <v/>
      </c>
      <c r="DJ12" s="506" t="str">
        <f t="shared" si="94"/>
        <v/>
      </c>
      <c r="DK12" s="506" t="str">
        <f t="shared" si="95"/>
        <v/>
      </c>
      <c r="DL12" s="506" t="str">
        <f t="shared" si="96"/>
        <v/>
      </c>
      <c r="DM12" s="506" t="str">
        <f t="shared" si="97"/>
        <v/>
      </c>
      <c r="DN12" s="506" t="str">
        <f t="shared" si="98"/>
        <v/>
      </c>
      <c r="DO12" s="506" t="str">
        <f t="shared" si="99"/>
        <v/>
      </c>
      <c r="DP12" s="506" t="str">
        <f t="shared" si="100"/>
        <v/>
      </c>
      <c r="DQ12" s="506" t="str">
        <f t="shared" si="101"/>
        <v/>
      </c>
      <c r="DR12" s="506" t="str">
        <f t="shared" si="102"/>
        <v/>
      </c>
      <c r="DS12" s="506" t="str">
        <f t="shared" si="103"/>
        <v/>
      </c>
      <c r="DT12" s="506" t="str">
        <f t="shared" si="104"/>
        <v/>
      </c>
      <c r="DU12" s="506" t="str">
        <f t="shared" si="105"/>
        <v/>
      </c>
      <c r="DV12" s="506">
        <f t="shared" si="106"/>
        <v>2</v>
      </c>
      <c r="DW12" s="506" t="str">
        <f t="shared" si="107"/>
        <v/>
      </c>
      <c r="DX12" s="506" t="str">
        <f t="shared" si="108"/>
        <v/>
      </c>
      <c r="DY12" s="506" t="str">
        <f t="shared" si="109"/>
        <v/>
      </c>
      <c r="DZ12" s="506" t="str">
        <f t="shared" si="110"/>
        <v/>
      </c>
      <c r="EA12" s="506" t="str">
        <f t="shared" si="111"/>
        <v/>
      </c>
      <c r="EB12" s="506" t="str">
        <f t="shared" si="112"/>
        <v/>
      </c>
      <c r="EC12" s="506" t="str">
        <f t="shared" si="113"/>
        <v/>
      </c>
      <c r="ED12" s="506" t="str">
        <f t="shared" si="114"/>
        <v/>
      </c>
      <c r="EE12" s="506" t="str">
        <f t="shared" si="115"/>
        <v/>
      </c>
      <c r="EF12" s="506" t="str">
        <f t="shared" si="116"/>
        <v/>
      </c>
      <c r="EG12" s="506" t="str">
        <f t="shared" si="117"/>
        <v/>
      </c>
      <c r="EH12" s="506" t="str">
        <f t="shared" si="118"/>
        <v/>
      </c>
      <c r="EI12" s="506" t="str">
        <f t="shared" si="119"/>
        <v/>
      </c>
      <c r="EJ12" s="506" t="str">
        <f t="shared" si="120"/>
        <v/>
      </c>
      <c r="EK12" s="506" t="str">
        <f t="shared" si="121"/>
        <v/>
      </c>
      <c r="EL12" s="506" t="str">
        <f t="shared" si="122"/>
        <v/>
      </c>
      <c r="EM12" s="506" t="str">
        <f t="shared" si="123"/>
        <v/>
      </c>
      <c r="EN12" s="506" t="str">
        <f t="shared" si="124"/>
        <v/>
      </c>
      <c r="EO12" s="506" t="str">
        <f t="shared" si="125"/>
        <v/>
      </c>
      <c r="EP12" s="506" t="str">
        <f t="shared" si="126"/>
        <v/>
      </c>
      <c r="EQ12" s="506" t="str">
        <f t="shared" si="127"/>
        <v/>
      </c>
      <c r="ER12" s="506" t="str">
        <f t="shared" si="128"/>
        <v/>
      </c>
      <c r="ES12" s="506" t="str">
        <f t="shared" si="129"/>
        <v/>
      </c>
      <c r="ET12" s="506" t="str">
        <f t="shared" si="130"/>
        <v/>
      </c>
      <c r="EU12" s="506" t="str">
        <f t="shared" si="131"/>
        <v/>
      </c>
      <c r="EV12" s="506" t="str">
        <f t="shared" si="132"/>
        <v/>
      </c>
      <c r="EW12" s="516" t="str">
        <f t="shared" si="133"/>
        <v/>
      </c>
      <c r="EX12" s="516" t="str">
        <f t="shared" si="134"/>
        <v/>
      </c>
      <c r="EY12" s="516" t="str">
        <f t="shared" si="135"/>
        <v/>
      </c>
      <c r="EZ12" s="516">
        <f t="shared" si="136"/>
        <v>2</v>
      </c>
      <c r="FA12" s="516" t="str">
        <f t="shared" si="137"/>
        <v/>
      </c>
      <c r="FB12" s="516" t="str">
        <f t="shared" si="138"/>
        <v/>
      </c>
      <c r="FC12" s="516" t="str">
        <f t="shared" si="139"/>
        <v/>
      </c>
      <c r="FD12" s="516" t="str">
        <f t="shared" si="140"/>
        <v/>
      </c>
      <c r="FE12" s="516" t="str">
        <f t="shared" si="141"/>
        <v/>
      </c>
      <c r="FF12" s="516" t="str">
        <f t="shared" si="142"/>
        <v/>
      </c>
      <c r="FG12" s="516" t="str">
        <f t="shared" si="143"/>
        <v/>
      </c>
      <c r="FH12" s="516" t="str">
        <f t="shared" si="144"/>
        <v/>
      </c>
      <c r="FI12" s="516" t="str">
        <f t="shared" si="145"/>
        <v/>
      </c>
      <c r="FJ12" s="516" t="str">
        <f t="shared" si="146"/>
        <v/>
      </c>
      <c r="FK12" s="516" t="str">
        <f t="shared" si="147"/>
        <v/>
      </c>
      <c r="FL12" s="516" t="str">
        <f t="shared" si="148"/>
        <v/>
      </c>
      <c r="FM12" s="516" t="str">
        <f t="shared" si="149"/>
        <v/>
      </c>
      <c r="FN12" s="516" t="str">
        <f t="shared" si="150"/>
        <v/>
      </c>
      <c r="FO12" s="516" t="str">
        <f t="shared" si="151"/>
        <v/>
      </c>
      <c r="FP12" s="516" t="str">
        <f t="shared" si="152"/>
        <v/>
      </c>
      <c r="FQ12" s="516" t="str">
        <f t="shared" si="153"/>
        <v/>
      </c>
      <c r="FR12" s="516" t="str">
        <f t="shared" si="154"/>
        <v/>
      </c>
      <c r="FS12" s="516" t="str">
        <f t="shared" si="155"/>
        <v/>
      </c>
      <c r="FT12" s="516" t="str">
        <f t="shared" si="156"/>
        <v/>
      </c>
      <c r="FU12" s="516" t="str">
        <f t="shared" si="157"/>
        <v/>
      </c>
      <c r="FV12" s="516" t="str">
        <f t="shared" si="158"/>
        <v/>
      </c>
      <c r="FW12" s="516" t="str">
        <f t="shared" si="159"/>
        <v/>
      </c>
      <c r="FX12" s="516" t="str">
        <f t="shared" si="160"/>
        <v/>
      </c>
      <c r="FY12" s="516" t="str">
        <f t="shared" si="161"/>
        <v/>
      </c>
      <c r="FZ12" s="516" t="str">
        <f t="shared" si="162"/>
        <v/>
      </c>
      <c r="GA12" s="516" t="str">
        <f t="shared" si="163"/>
        <v/>
      </c>
      <c r="GB12" s="516" t="str">
        <f t="shared" si="164"/>
        <v/>
      </c>
      <c r="GC12" s="516" t="str">
        <f t="shared" si="165"/>
        <v/>
      </c>
      <c r="GD12" s="516" t="str">
        <f t="shared" si="166"/>
        <v/>
      </c>
      <c r="GE12" s="516" t="str">
        <f t="shared" si="167"/>
        <v/>
      </c>
      <c r="GF12" s="516" t="str">
        <f t="shared" si="168"/>
        <v/>
      </c>
      <c r="GG12" s="516" t="str">
        <f t="shared" si="169"/>
        <v/>
      </c>
      <c r="GH12" s="516" t="str">
        <f t="shared" si="170"/>
        <v/>
      </c>
      <c r="GI12" s="516" t="str">
        <f t="shared" si="171"/>
        <v/>
      </c>
      <c r="GJ12" s="516" t="str">
        <f t="shared" si="172"/>
        <v/>
      </c>
      <c r="GK12" s="516" t="str">
        <f t="shared" si="173"/>
        <v/>
      </c>
      <c r="GL12" s="516" t="str">
        <f t="shared" si="174"/>
        <v/>
      </c>
      <c r="GM12" s="516" t="str">
        <f t="shared" si="175"/>
        <v/>
      </c>
      <c r="GN12" s="516" t="str">
        <f t="shared" si="176"/>
        <v/>
      </c>
      <c r="GO12" s="516" t="str">
        <f t="shared" si="177"/>
        <v/>
      </c>
      <c r="GP12" s="516" t="str">
        <f t="shared" si="178"/>
        <v/>
      </c>
      <c r="GQ12" s="516" t="str">
        <f t="shared" si="179"/>
        <v/>
      </c>
      <c r="GR12" s="516" t="str">
        <f t="shared" si="180"/>
        <v/>
      </c>
      <c r="GS12" s="516">
        <f t="shared" si="181"/>
        <v>2</v>
      </c>
      <c r="GT12" s="516" t="str">
        <f t="shared" si="182"/>
        <v/>
      </c>
      <c r="GU12" s="516" t="str">
        <f t="shared" si="183"/>
        <v/>
      </c>
      <c r="GV12" s="516" t="str">
        <f t="shared" si="184"/>
        <v/>
      </c>
      <c r="GW12" s="516" t="str">
        <f t="shared" si="185"/>
        <v/>
      </c>
      <c r="GX12" s="516" t="str">
        <f t="shared" si="186"/>
        <v/>
      </c>
      <c r="GY12" s="516" t="str">
        <f t="shared" si="187"/>
        <v/>
      </c>
      <c r="GZ12" s="516" t="str">
        <f t="shared" si="188"/>
        <v/>
      </c>
      <c r="HA12" s="516" t="str">
        <f t="shared" si="189"/>
        <v/>
      </c>
      <c r="HB12" s="516" t="str">
        <f t="shared" si="190"/>
        <v/>
      </c>
      <c r="HC12" s="516" t="str">
        <f t="shared" si="191"/>
        <v/>
      </c>
      <c r="HD12" s="516" t="str">
        <f t="shared" si="192"/>
        <v/>
      </c>
      <c r="HE12" s="516" t="str">
        <f t="shared" si="193"/>
        <v/>
      </c>
      <c r="HF12" s="516" t="str">
        <f t="shared" si="194"/>
        <v/>
      </c>
      <c r="HG12" s="516" t="str">
        <f t="shared" si="195"/>
        <v/>
      </c>
      <c r="HH12" s="516" t="str">
        <f t="shared" si="196"/>
        <v/>
      </c>
      <c r="HI12" s="516" t="str">
        <f t="shared" si="197"/>
        <v/>
      </c>
      <c r="HJ12" s="516" t="str">
        <f t="shared" si="198"/>
        <v/>
      </c>
      <c r="HK12" s="516" t="str">
        <f t="shared" si="199"/>
        <v/>
      </c>
      <c r="HL12" s="516" t="str">
        <f t="shared" si="200"/>
        <v/>
      </c>
      <c r="HM12" s="516" t="str">
        <f t="shared" si="201"/>
        <v/>
      </c>
      <c r="HN12" s="516" t="str">
        <f t="shared" si="202"/>
        <v/>
      </c>
      <c r="HO12" s="516" t="str">
        <f t="shared" si="203"/>
        <v/>
      </c>
      <c r="HP12" s="516" t="str">
        <f t="shared" si="204"/>
        <v/>
      </c>
      <c r="HQ12" s="516" t="str">
        <f t="shared" si="205"/>
        <v/>
      </c>
      <c r="HR12" s="516" t="str">
        <f t="shared" si="206"/>
        <v/>
      </c>
      <c r="HS12" s="516" t="str">
        <f t="shared" si="207"/>
        <v/>
      </c>
      <c r="HT12" s="516" t="str">
        <f t="shared" si="208"/>
        <v/>
      </c>
      <c r="HU12" s="516" t="str">
        <f t="shared" si="209"/>
        <v/>
      </c>
      <c r="HV12" s="516" t="str">
        <f t="shared" si="210"/>
        <v/>
      </c>
      <c r="HW12" s="516" t="str">
        <f t="shared" si="211"/>
        <v/>
      </c>
      <c r="HX12" s="516" t="str">
        <f t="shared" si="212"/>
        <v/>
      </c>
      <c r="HY12" s="516" t="str">
        <f t="shared" si="213"/>
        <v/>
      </c>
      <c r="HZ12" s="516" t="str">
        <f t="shared" si="214"/>
        <v/>
      </c>
      <c r="IA12" s="516" t="str">
        <f t="shared" si="215"/>
        <v/>
      </c>
      <c r="IB12" s="516" t="str">
        <f t="shared" si="216"/>
        <v/>
      </c>
      <c r="IC12" s="516" t="str">
        <f t="shared" si="217"/>
        <v/>
      </c>
      <c r="ID12" s="517" t="str">
        <f t="shared" si="218"/>
        <v/>
      </c>
      <c r="IE12" s="517" t="str">
        <f t="shared" si="219"/>
        <v/>
      </c>
      <c r="IF12" s="517" t="str">
        <f t="shared" si="220"/>
        <v/>
      </c>
      <c r="IG12" s="517" t="str">
        <f t="shared" si="221"/>
        <v/>
      </c>
      <c r="IH12" s="517" t="str">
        <f t="shared" si="222"/>
        <v/>
      </c>
      <c r="II12" s="506" t="str">
        <f t="shared" si="223"/>
        <v/>
      </c>
      <c r="IJ12" s="506" t="str">
        <f t="shared" si="224"/>
        <v/>
      </c>
      <c r="IK12" s="506" t="str">
        <f t="shared" si="225"/>
        <v/>
      </c>
      <c r="IL12" s="506" t="str">
        <f t="shared" si="226"/>
        <v/>
      </c>
      <c r="IM12" s="506" t="str">
        <f t="shared" si="227"/>
        <v/>
      </c>
      <c r="IN12" s="506" t="str">
        <f t="shared" si="228"/>
        <v/>
      </c>
      <c r="IO12" s="506" t="str">
        <f t="shared" si="229"/>
        <v/>
      </c>
      <c r="IP12" s="506" t="str">
        <f t="shared" si="230"/>
        <v/>
      </c>
      <c r="IQ12" s="506" t="str">
        <f t="shared" si="231"/>
        <v/>
      </c>
      <c r="IR12" s="506" t="str">
        <f t="shared" si="232"/>
        <v/>
      </c>
      <c r="IS12" s="506" t="str">
        <f t="shared" si="233"/>
        <v/>
      </c>
      <c r="IT12" s="506" t="str">
        <f t="shared" si="234"/>
        <v/>
      </c>
      <c r="IU12" s="506" t="str">
        <f t="shared" si="235"/>
        <v/>
      </c>
      <c r="IV12" s="506" t="str">
        <f t="shared" si="236"/>
        <v/>
      </c>
      <c r="IW12" s="506" t="str">
        <f t="shared" si="237"/>
        <v/>
      </c>
      <c r="IX12" s="506" t="str">
        <f t="shared" si="238"/>
        <v/>
      </c>
      <c r="IY12" s="506" t="str">
        <f t="shared" si="239"/>
        <v/>
      </c>
      <c r="IZ12" s="506" t="str">
        <f t="shared" si="240"/>
        <v/>
      </c>
      <c r="JA12" s="506" t="str">
        <f t="shared" si="241"/>
        <v/>
      </c>
      <c r="JB12" s="506" t="str">
        <f t="shared" si="242"/>
        <v/>
      </c>
      <c r="JC12" s="515">
        <f t="shared" si="244"/>
        <v>0</v>
      </c>
      <c r="JD12" s="515">
        <f t="shared" si="245"/>
        <v>0</v>
      </c>
      <c r="JE12" s="515">
        <f t="shared" si="246"/>
        <v>0</v>
      </c>
      <c r="JF12" s="515">
        <f t="shared" si="247"/>
        <v>2</v>
      </c>
      <c r="JG12" s="515">
        <f t="shared" si="248"/>
        <v>0</v>
      </c>
      <c r="JH12" s="515">
        <f t="shared" si="249"/>
        <v>0</v>
      </c>
      <c r="JI12" s="515">
        <f t="shared" si="250"/>
        <v>0</v>
      </c>
      <c r="JJ12" s="515">
        <f t="shared" si="251"/>
        <v>0</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f t="shared" si="0"/>
        <v>1</v>
      </c>
      <c r="B13" s="2524" t="s">
        <v>1203</v>
      </c>
      <c r="C13" s="2525">
        <v>1</v>
      </c>
      <c r="D13" s="2516">
        <v>1</v>
      </c>
      <c r="E13" s="2527">
        <v>3</v>
      </c>
      <c r="F13" s="2527">
        <v>608</v>
      </c>
      <c r="G13" s="2527">
        <v>548</v>
      </c>
      <c r="H13" s="2527">
        <v>476</v>
      </c>
      <c r="I13" s="2527">
        <v>116</v>
      </c>
      <c r="J13" s="2528"/>
      <c r="K13" s="825">
        <f t="shared" si="1"/>
        <v>360</v>
      </c>
      <c r="L13" s="825">
        <f t="shared" si="2"/>
        <v>1080</v>
      </c>
      <c r="M13" s="1301" t="s">
        <v>3424</v>
      </c>
      <c r="N13" s="1301" t="s">
        <v>2731</v>
      </c>
      <c r="O13" s="1300" t="s">
        <v>4438</v>
      </c>
      <c r="P13" s="2529"/>
      <c r="Q13" s="2530">
        <f t="shared" si="243"/>
        <v>19040</v>
      </c>
      <c r="R13" s="2531">
        <f>IF(H13="","",IF(C13="Efficiency",Q13/($O$6*VLOOKUP(0,'DCA Underwriting Assumptions'!$J$118:$K$123,2,FALSE)),Q13/($O$6*VLOOKUP(C13,'DCA Underwriting Assumptions'!$J$118:$K$123,2,FALSE))))</f>
        <v>0.50370370370370365</v>
      </c>
      <c r="S13" s="2532"/>
      <c r="T13" s="2531"/>
      <c r="U13" s="2533"/>
      <c r="V13" s="2458"/>
      <c r="W13" s="506" t="str">
        <f t="shared" si="3"/>
        <v/>
      </c>
      <c r="X13" s="506">
        <f t="shared" si="4"/>
        <v>3</v>
      </c>
      <c r="Y13" s="506" t="str">
        <f t="shared" si="5"/>
        <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53"/>
        <v/>
      </c>
      <c r="BV13" s="506" t="str">
        <f t="shared" si="54"/>
        <v/>
      </c>
      <c r="BW13" s="506" t="str">
        <f t="shared" si="55"/>
        <v/>
      </c>
      <c r="BX13" s="506" t="str">
        <f t="shared" si="56"/>
        <v/>
      </c>
      <c r="BY13" s="506" t="str">
        <f t="shared" si="57"/>
        <v/>
      </c>
      <c r="BZ13" s="506" t="str">
        <f t="shared" si="58"/>
        <v/>
      </c>
      <c r="CA13" s="506">
        <f t="shared" si="59"/>
        <v>1824</v>
      </c>
      <c r="CB13" s="506" t="str">
        <f t="shared" si="60"/>
        <v/>
      </c>
      <c r="CC13" s="506" t="str">
        <f t="shared" si="61"/>
        <v/>
      </c>
      <c r="CD13" s="506" t="str">
        <f t="shared" si="62"/>
        <v/>
      </c>
      <c r="CE13" s="506" t="str">
        <f t="shared" si="63"/>
        <v/>
      </c>
      <c r="CF13" s="506" t="str">
        <f t="shared" si="64"/>
        <v/>
      </c>
      <c r="CG13" s="506" t="str">
        <f t="shared" si="65"/>
        <v/>
      </c>
      <c r="CH13" s="506" t="str">
        <f t="shared" si="66"/>
        <v/>
      </c>
      <c r="CI13" s="506" t="str">
        <f t="shared" si="67"/>
        <v/>
      </c>
      <c r="CJ13" s="506" t="str">
        <f t="shared" si="68"/>
        <v/>
      </c>
      <c r="CK13" s="506" t="str">
        <f t="shared" si="69"/>
        <v/>
      </c>
      <c r="CL13" s="506" t="str">
        <f t="shared" si="70"/>
        <v/>
      </c>
      <c r="CM13" s="506" t="str">
        <f t="shared" si="71"/>
        <v/>
      </c>
      <c r="CN13" s="506" t="str">
        <f t="shared" si="72"/>
        <v/>
      </c>
      <c r="CO13" s="506" t="str">
        <f t="shared" si="73"/>
        <v/>
      </c>
      <c r="CP13" s="506" t="str">
        <f t="shared" si="74"/>
        <v/>
      </c>
      <c r="CQ13" s="506" t="str">
        <f t="shared" si="75"/>
        <v/>
      </c>
      <c r="CR13" s="506" t="str">
        <f t="shared" si="76"/>
        <v/>
      </c>
      <c r="CS13" s="506" t="str">
        <f t="shared" si="77"/>
        <v/>
      </c>
      <c r="CT13" s="506" t="str">
        <f t="shared" si="78"/>
        <v/>
      </c>
      <c r="CU13" s="506" t="str">
        <f t="shared" si="79"/>
        <v/>
      </c>
      <c r="CV13" s="506" t="str">
        <f t="shared" si="80"/>
        <v/>
      </c>
      <c r="CW13" s="506" t="str">
        <f t="shared" si="81"/>
        <v/>
      </c>
      <c r="CX13" s="506" t="str">
        <f t="shared" si="82"/>
        <v/>
      </c>
      <c r="CY13" s="506" t="str">
        <f t="shared" si="83"/>
        <v/>
      </c>
      <c r="CZ13" s="506" t="str">
        <f t="shared" si="84"/>
        <v/>
      </c>
      <c r="DA13" s="506" t="str">
        <f t="shared" si="85"/>
        <v/>
      </c>
      <c r="DB13" s="506" t="str">
        <f t="shared" si="86"/>
        <v/>
      </c>
      <c r="DC13" s="506" t="str">
        <f t="shared" si="87"/>
        <v/>
      </c>
      <c r="DD13" s="506" t="str">
        <f t="shared" si="88"/>
        <v/>
      </c>
      <c r="DE13" s="506" t="str">
        <f t="shared" si="89"/>
        <v/>
      </c>
      <c r="DF13" s="506" t="str">
        <f t="shared" si="90"/>
        <v/>
      </c>
      <c r="DG13" s="506" t="str">
        <f t="shared" si="91"/>
        <v/>
      </c>
      <c r="DH13" s="506" t="str">
        <f t="shared" si="92"/>
        <v/>
      </c>
      <c r="DI13" s="506" t="str">
        <f t="shared" si="93"/>
        <v/>
      </c>
      <c r="DJ13" s="506" t="str">
        <f t="shared" si="94"/>
        <v/>
      </c>
      <c r="DK13" s="506" t="str">
        <f t="shared" si="95"/>
        <v/>
      </c>
      <c r="DL13" s="506" t="str">
        <f t="shared" si="96"/>
        <v/>
      </c>
      <c r="DM13" s="506" t="str">
        <f t="shared" si="97"/>
        <v/>
      </c>
      <c r="DN13" s="506" t="str">
        <f t="shared" si="98"/>
        <v/>
      </c>
      <c r="DO13" s="506" t="str">
        <f t="shared" si="99"/>
        <v/>
      </c>
      <c r="DP13" s="506" t="str">
        <f t="shared" si="100"/>
        <v/>
      </c>
      <c r="DQ13" s="506" t="str">
        <f t="shared" si="101"/>
        <v/>
      </c>
      <c r="DR13" s="506" t="str">
        <f t="shared" si="102"/>
        <v/>
      </c>
      <c r="DS13" s="506" t="str">
        <f t="shared" si="103"/>
        <v/>
      </c>
      <c r="DT13" s="506">
        <f t="shared" si="104"/>
        <v>3</v>
      </c>
      <c r="DU13" s="506" t="str">
        <f t="shared" si="105"/>
        <v/>
      </c>
      <c r="DV13" s="506" t="str">
        <f t="shared" si="106"/>
        <v/>
      </c>
      <c r="DW13" s="506" t="str">
        <f t="shared" si="107"/>
        <v/>
      </c>
      <c r="DX13" s="506" t="str">
        <f t="shared" si="108"/>
        <v/>
      </c>
      <c r="DY13" s="506" t="str">
        <f t="shared" si="109"/>
        <v/>
      </c>
      <c r="DZ13" s="506" t="str">
        <f t="shared" si="110"/>
        <v/>
      </c>
      <c r="EA13" s="506" t="str">
        <f t="shared" si="111"/>
        <v/>
      </c>
      <c r="EB13" s="506" t="str">
        <f t="shared" si="112"/>
        <v/>
      </c>
      <c r="EC13" s="506" t="str">
        <f t="shared" si="113"/>
        <v/>
      </c>
      <c r="ED13" s="506" t="str">
        <f t="shared" si="114"/>
        <v/>
      </c>
      <c r="EE13" s="506" t="str">
        <f t="shared" si="115"/>
        <v/>
      </c>
      <c r="EF13" s="506" t="str">
        <f t="shared" si="116"/>
        <v/>
      </c>
      <c r="EG13" s="506" t="str">
        <f t="shared" si="117"/>
        <v/>
      </c>
      <c r="EH13" s="506" t="str">
        <f t="shared" si="118"/>
        <v/>
      </c>
      <c r="EI13" s="506" t="str">
        <f t="shared" si="119"/>
        <v/>
      </c>
      <c r="EJ13" s="506" t="str">
        <f t="shared" si="120"/>
        <v/>
      </c>
      <c r="EK13" s="506" t="str">
        <f t="shared" si="121"/>
        <v/>
      </c>
      <c r="EL13" s="506" t="str">
        <f t="shared" si="122"/>
        <v/>
      </c>
      <c r="EM13" s="506" t="str">
        <f t="shared" si="123"/>
        <v/>
      </c>
      <c r="EN13" s="506" t="str">
        <f t="shared" si="124"/>
        <v/>
      </c>
      <c r="EO13" s="506" t="str">
        <f t="shared" si="125"/>
        <v/>
      </c>
      <c r="EP13" s="506" t="str">
        <f t="shared" si="126"/>
        <v/>
      </c>
      <c r="EQ13" s="506" t="str">
        <f t="shared" si="127"/>
        <v/>
      </c>
      <c r="ER13" s="506" t="str">
        <f t="shared" si="128"/>
        <v/>
      </c>
      <c r="ES13" s="506" t="str">
        <f t="shared" si="129"/>
        <v/>
      </c>
      <c r="ET13" s="506" t="str">
        <f t="shared" si="130"/>
        <v/>
      </c>
      <c r="EU13" s="506" t="str">
        <f t="shared" si="131"/>
        <v/>
      </c>
      <c r="EV13" s="506" t="str">
        <f t="shared" si="132"/>
        <v/>
      </c>
      <c r="EW13" s="516" t="str">
        <f t="shared" si="133"/>
        <v/>
      </c>
      <c r="EX13" s="516">
        <f t="shared" si="134"/>
        <v>3</v>
      </c>
      <c r="EY13" s="516" t="str">
        <f t="shared" si="135"/>
        <v/>
      </c>
      <c r="EZ13" s="516" t="str">
        <f t="shared" si="136"/>
        <v/>
      </c>
      <c r="FA13" s="516" t="str">
        <f t="shared" si="137"/>
        <v/>
      </c>
      <c r="FB13" s="516" t="str">
        <f t="shared" si="138"/>
        <v/>
      </c>
      <c r="FC13" s="516" t="str">
        <f t="shared" si="139"/>
        <v/>
      </c>
      <c r="FD13" s="516" t="str">
        <f t="shared" si="140"/>
        <v/>
      </c>
      <c r="FE13" s="516" t="str">
        <f t="shared" si="141"/>
        <v/>
      </c>
      <c r="FF13" s="516" t="str">
        <f t="shared" si="142"/>
        <v/>
      </c>
      <c r="FG13" s="516" t="str">
        <f t="shared" si="143"/>
        <v/>
      </c>
      <c r="FH13" s="516" t="str">
        <f t="shared" si="144"/>
        <v/>
      </c>
      <c r="FI13" s="516" t="str">
        <f t="shared" si="145"/>
        <v/>
      </c>
      <c r="FJ13" s="516" t="str">
        <f t="shared" si="146"/>
        <v/>
      </c>
      <c r="FK13" s="516" t="str">
        <f t="shared" si="147"/>
        <v/>
      </c>
      <c r="FL13" s="516" t="str">
        <f t="shared" si="148"/>
        <v/>
      </c>
      <c r="FM13" s="516" t="str">
        <f t="shared" si="149"/>
        <v/>
      </c>
      <c r="FN13" s="516" t="str">
        <f t="shared" si="150"/>
        <v/>
      </c>
      <c r="FO13" s="516" t="str">
        <f t="shared" si="151"/>
        <v/>
      </c>
      <c r="FP13" s="516" t="str">
        <f t="shared" si="152"/>
        <v/>
      </c>
      <c r="FQ13" s="516" t="str">
        <f t="shared" si="153"/>
        <v/>
      </c>
      <c r="FR13" s="516" t="str">
        <f t="shared" si="154"/>
        <v/>
      </c>
      <c r="FS13" s="516" t="str">
        <f t="shared" si="155"/>
        <v/>
      </c>
      <c r="FT13" s="516" t="str">
        <f t="shared" si="156"/>
        <v/>
      </c>
      <c r="FU13" s="516" t="str">
        <f t="shared" si="157"/>
        <v/>
      </c>
      <c r="FV13" s="516" t="str">
        <f t="shared" si="158"/>
        <v/>
      </c>
      <c r="FW13" s="516" t="str">
        <f t="shared" si="159"/>
        <v/>
      </c>
      <c r="FX13" s="516" t="str">
        <f t="shared" si="160"/>
        <v/>
      </c>
      <c r="FY13" s="516" t="str">
        <f t="shared" si="161"/>
        <v/>
      </c>
      <c r="FZ13" s="516" t="str">
        <f t="shared" si="162"/>
        <v/>
      </c>
      <c r="GA13" s="516" t="str">
        <f t="shared" si="163"/>
        <v/>
      </c>
      <c r="GB13" s="516" t="str">
        <f t="shared" si="164"/>
        <v/>
      </c>
      <c r="GC13" s="516" t="str">
        <f t="shared" si="165"/>
        <v/>
      </c>
      <c r="GD13" s="516" t="str">
        <f t="shared" si="166"/>
        <v/>
      </c>
      <c r="GE13" s="516" t="str">
        <f t="shared" si="167"/>
        <v/>
      </c>
      <c r="GF13" s="516" t="str">
        <f t="shared" si="168"/>
        <v/>
      </c>
      <c r="GG13" s="516" t="str">
        <f t="shared" si="169"/>
        <v/>
      </c>
      <c r="GH13" s="516" t="str">
        <f t="shared" si="170"/>
        <v/>
      </c>
      <c r="GI13" s="516" t="str">
        <f t="shared" si="171"/>
        <v/>
      </c>
      <c r="GJ13" s="516" t="str">
        <f t="shared" si="172"/>
        <v/>
      </c>
      <c r="GK13" s="516" t="str">
        <f t="shared" si="173"/>
        <v/>
      </c>
      <c r="GL13" s="516" t="str">
        <f t="shared" si="174"/>
        <v/>
      </c>
      <c r="GM13" s="516" t="str">
        <f t="shared" si="175"/>
        <v/>
      </c>
      <c r="GN13" s="516" t="str">
        <f t="shared" si="176"/>
        <v/>
      </c>
      <c r="GO13" s="516" t="str">
        <f t="shared" si="177"/>
        <v/>
      </c>
      <c r="GP13" s="516" t="str">
        <f t="shared" si="178"/>
        <v/>
      </c>
      <c r="GQ13" s="516">
        <f t="shared" si="179"/>
        <v>3</v>
      </c>
      <c r="GR13" s="516" t="str">
        <f t="shared" si="180"/>
        <v/>
      </c>
      <c r="GS13" s="516" t="str">
        <f t="shared" si="181"/>
        <v/>
      </c>
      <c r="GT13" s="516" t="str">
        <f t="shared" si="182"/>
        <v/>
      </c>
      <c r="GU13" s="516" t="str">
        <f t="shared" si="183"/>
        <v/>
      </c>
      <c r="GV13" s="516" t="str">
        <f t="shared" si="184"/>
        <v/>
      </c>
      <c r="GW13" s="516" t="str">
        <f t="shared" si="185"/>
        <v/>
      </c>
      <c r="GX13" s="516" t="str">
        <f t="shared" si="186"/>
        <v/>
      </c>
      <c r="GY13" s="516" t="str">
        <f t="shared" si="187"/>
        <v/>
      </c>
      <c r="GZ13" s="516" t="str">
        <f t="shared" si="188"/>
        <v/>
      </c>
      <c r="HA13" s="516" t="str">
        <f t="shared" si="189"/>
        <v/>
      </c>
      <c r="HB13" s="516" t="str">
        <f t="shared" si="190"/>
        <v/>
      </c>
      <c r="HC13" s="516" t="str">
        <f t="shared" si="191"/>
        <v/>
      </c>
      <c r="HD13" s="516" t="str">
        <f t="shared" si="192"/>
        <v/>
      </c>
      <c r="HE13" s="516" t="str">
        <f t="shared" si="193"/>
        <v/>
      </c>
      <c r="HF13" s="516" t="str">
        <f t="shared" si="194"/>
        <v/>
      </c>
      <c r="HG13" s="516" t="str">
        <f t="shared" si="195"/>
        <v/>
      </c>
      <c r="HH13" s="516" t="str">
        <f t="shared" si="196"/>
        <v/>
      </c>
      <c r="HI13" s="516" t="str">
        <f t="shared" si="197"/>
        <v/>
      </c>
      <c r="HJ13" s="516" t="str">
        <f t="shared" si="198"/>
        <v/>
      </c>
      <c r="HK13" s="516" t="str">
        <f t="shared" si="199"/>
        <v/>
      </c>
      <c r="HL13" s="516" t="str">
        <f t="shared" si="200"/>
        <v/>
      </c>
      <c r="HM13" s="516" t="str">
        <f t="shared" si="201"/>
        <v/>
      </c>
      <c r="HN13" s="516" t="str">
        <f t="shared" si="202"/>
        <v/>
      </c>
      <c r="HO13" s="516" t="str">
        <f t="shared" si="203"/>
        <v/>
      </c>
      <c r="HP13" s="516" t="str">
        <f t="shared" si="204"/>
        <v/>
      </c>
      <c r="HQ13" s="516" t="str">
        <f t="shared" si="205"/>
        <v/>
      </c>
      <c r="HR13" s="516" t="str">
        <f t="shared" si="206"/>
        <v/>
      </c>
      <c r="HS13" s="516" t="str">
        <f t="shared" si="207"/>
        <v/>
      </c>
      <c r="HT13" s="516" t="str">
        <f t="shared" si="208"/>
        <v/>
      </c>
      <c r="HU13" s="516" t="str">
        <f t="shared" si="209"/>
        <v/>
      </c>
      <c r="HV13" s="516" t="str">
        <f t="shared" si="210"/>
        <v/>
      </c>
      <c r="HW13" s="516" t="str">
        <f t="shared" si="211"/>
        <v/>
      </c>
      <c r="HX13" s="516" t="str">
        <f t="shared" si="212"/>
        <v/>
      </c>
      <c r="HY13" s="516" t="str">
        <f t="shared" si="213"/>
        <v/>
      </c>
      <c r="HZ13" s="516" t="str">
        <f t="shared" si="214"/>
        <v/>
      </c>
      <c r="IA13" s="516" t="str">
        <f t="shared" si="215"/>
        <v/>
      </c>
      <c r="IB13" s="516" t="str">
        <f t="shared" si="216"/>
        <v/>
      </c>
      <c r="IC13" s="516" t="str">
        <f t="shared" si="217"/>
        <v/>
      </c>
      <c r="ID13" s="517" t="str">
        <f t="shared" si="218"/>
        <v/>
      </c>
      <c r="IE13" s="517" t="str">
        <f t="shared" si="219"/>
        <v/>
      </c>
      <c r="IF13" s="517" t="str">
        <f t="shared" si="220"/>
        <v/>
      </c>
      <c r="IG13" s="517" t="str">
        <f t="shared" si="221"/>
        <v/>
      </c>
      <c r="IH13" s="517" t="str">
        <f t="shared" si="222"/>
        <v/>
      </c>
      <c r="II13" s="506" t="str">
        <f t="shared" si="223"/>
        <v/>
      </c>
      <c r="IJ13" s="506" t="str">
        <f t="shared" si="224"/>
        <v/>
      </c>
      <c r="IK13" s="506" t="str">
        <f t="shared" si="225"/>
        <v/>
      </c>
      <c r="IL13" s="506" t="str">
        <f t="shared" si="226"/>
        <v/>
      </c>
      <c r="IM13" s="506" t="str">
        <f t="shared" si="227"/>
        <v/>
      </c>
      <c r="IN13" s="506" t="str">
        <f t="shared" si="228"/>
        <v/>
      </c>
      <c r="IO13" s="506" t="str">
        <f t="shared" si="229"/>
        <v/>
      </c>
      <c r="IP13" s="506" t="str">
        <f t="shared" si="230"/>
        <v/>
      </c>
      <c r="IQ13" s="506" t="str">
        <f t="shared" si="231"/>
        <v/>
      </c>
      <c r="IR13" s="506" t="str">
        <f t="shared" si="232"/>
        <v/>
      </c>
      <c r="IS13" s="506" t="str">
        <f t="shared" si="233"/>
        <v/>
      </c>
      <c r="IT13" s="506" t="str">
        <f t="shared" si="234"/>
        <v/>
      </c>
      <c r="IU13" s="506" t="str">
        <f t="shared" si="235"/>
        <v/>
      </c>
      <c r="IV13" s="506" t="str">
        <f t="shared" si="236"/>
        <v/>
      </c>
      <c r="IW13" s="506" t="str">
        <f t="shared" si="237"/>
        <v/>
      </c>
      <c r="IX13" s="506" t="str">
        <f t="shared" si="238"/>
        <v/>
      </c>
      <c r="IY13" s="506" t="str">
        <f t="shared" si="239"/>
        <v/>
      </c>
      <c r="IZ13" s="506" t="str">
        <f t="shared" si="240"/>
        <v/>
      </c>
      <c r="JA13" s="506" t="str">
        <f t="shared" si="241"/>
        <v/>
      </c>
      <c r="JB13" s="506" t="str">
        <f t="shared" si="242"/>
        <v/>
      </c>
      <c r="JC13" s="515">
        <f t="shared" si="244"/>
        <v>0</v>
      </c>
      <c r="JD13" s="515">
        <f t="shared" si="245"/>
        <v>3</v>
      </c>
      <c r="JE13" s="515">
        <f t="shared" si="246"/>
        <v>0</v>
      </c>
      <c r="JF13" s="515">
        <f t="shared" si="247"/>
        <v>0</v>
      </c>
      <c r="JG13" s="515">
        <f t="shared" si="248"/>
        <v>0</v>
      </c>
      <c r="JH13" s="515">
        <f t="shared" si="249"/>
        <v>0</v>
      </c>
      <c r="JI13" s="515">
        <f t="shared" si="250"/>
        <v>0</v>
      </c>
      <c r="JJ13" s="515">
        <f t="shared" si="251"/>
        <v>0</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f t="shared" si="0"/>
        <v>1</v>
      </c>
      <c r="B14" s="2524" t="s">
        <v>1203</v>
      </c>
      <c r="C14" s="2525">
        <v>2</v>
      </c>
      <c r="D14" s="2526">
        <v>2</v>
      </c>
      <c r="E14" s="2527">
        <v>24</v>
      </c>
      <c r="F14" s="2527">
        <v>837</v>
      </c>
      <c r="G14" s="2527">
        <v>658</v>
      </c>
      <c r="H14" s="2527">
        <v>529</v>
      </c>
      <c r="I14" s="2527">
        <v>129</v>
      </c>
      <c r="J14" s="2528"/>
      <c r="K14" s="825">
        <f t="shared" si="1"/>
        <v>400</v>
      </c>
      <c r="L14" s="825">
        <f t="shared" si="2"/>
        <v>9600</v>
      </c>
      <c r="M14" s="1301" t="s">
        <v>3424</v>
      </c>
      <c r="N14" s="1301" t="s">
        <v>43</v>
      </c>
      <c r="O14" s="1300" t="s">
        <v>4438</v>
      </c>
      <c r="P14" s="2529"/>
      <c r="Q14" s="2530">
        <f t="shared" si="243"/>
        <v>21160</v>
      </c>
      <c r="R14" s="2531">
        <f>IF(H14="","",IF(C14="Efficiency",Q14/($O$6*VLOOKUP(0,'DCA Underwriting Assumptions'!$J$118:$K$123,2,FALSE)),Q14/($O$6*VLOOKUP(C14,'DCA Underwriting Assumptions'!$J$118:$K$123,2,FALSE))))</f>
        <v>0.46649029982363316</v>
      </c>
      <c r="S14" s="2532"/>
      <c r="T14" s="2531"/>
      <c r="U14" s="2533"/>
      <c r="V14" s="2458"/>
      <c r="W14" s="506" t="str">
        <f t="shared" si="3"/>
        <v/>
      </c>
      <c r="X14" s="506" t="str">
        <f t="shared" si="4"/>
        <v/>
      </c>
      <c r="Y14" s="506">
        <f t="shared" si="5"/>
        <v>24</v>
      </c>
      <c r="Z14" s="506" t="str">
        <f t="shared" si="6"/>
        <v/>
      </c>
      <c r="AA14" s="506" t="str">
        <f t="shared" si="7"/>
        <v/>
      </c>
      <c r="AB14" s="506" t="str">
        <f t="shared" si="8"/>
        <v/>
      </c>
      <c r="AC14" s="506" t="str">
        <f t="shared" si="9"/>
        <v/>
      </c>
      <c r="AD14" s="506" t="str">
        <f t="shared" si="10"/>
        <v/>
      </c>
      <c r="AE14" s="506" t="str">
        <f t="shared" si="11"/>
        <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53"/>
        <v/>
      </c>
      <c r="BV14" s="506" t="str">
        <f t="shared" si="54"/>
        <v/>
      </c>
      <c r="BW14" s="506" t="str">
        <f t="shared" si="55"/>
        <v/>
      </c>
      <c r="BX14" s="506" t="str">
        <f t="shared" si="56"/>
        <v/>
      </c>
      <c r="BY14" s="506" t="str">
        <f t="shared" si="57"/>
        <v/>
      </c>
      <c r="BZ14" s="506" t="str">
        <f t="shared" si="58"/>
        <v/>
      </c>
      <c r="CA14" s="506" t="str">
        <f t="shared" si="59"/>
        <v/>
      </c>
      <c r="CB14" s="506">
        <f t="shared" si="60"/>
        <v>20088</v>
      </c>
      <c r="CC14" s="506" t="str">
        <f t="shared" si="61"/>
        <v/>
      </c>
      <c r="CD14" s="506" t="str">
        <f t="shared" si="62"/>
        <v/>
      </c>
      <c r="CE14" s="506" t="str">
        <f t="shared" si="63"/>
        <v/>
      </c>
      <c r="CF14" s="506" t="str">
        <f t="shared" si="64"/>
        <v/>
      </c>
      <c r="CG14" s="506" t="str">
        <f t="shared" si="65"/>
        <v/>
      </c>
      <c r="CH14" s="506" t="str">
        <f t="shared" si="66"/>
        <v/>
      </c>
      <c r="CI14" s="506" t="str">
        <f t="shared" si="67"/>
        <v/>
      </c>
      <c r="CJ14" s="506" t="str">
        <f t="shared" si="68"/>
        <v/>
      </c>
      <c r="CK14" s="506" t="str">
        <f t="shared" si="69"/>
        <v/>
      </c>
      <c r="CL14" s="506" t="str">
        <f t="shared" si="70"/>
        <v/>
      </c>
      <c r="CM14" s="506" t="str">
        <f t="shared" si="71"/>
        <v/>
      </c>
      <c r="CN14" s="506" t="str">
        <f t="shared" si="72"/>
        <v/>
      </c>
      <c r="CO14" s="506" t="str">
        <f t="shared" si="73"/>
        <v/>
      </c>
      <c r="CP14" s="506" t="str">
        <f t="shared" si="74"/>
        <v/>
      </c>
      <c r="CQ14" s="506" t="str">
        <f t="shared" si="75"/>
        <v/>
      </c>
      <c r="CR14" s="506" t="str">
        <f t="shared" si="76"/>
        <v/>
      </c>
      <c r="CS14" s="506" t="str">
        <f t="shared" si="77"/>
        <v/>
      </c>
      <c r="CT14" s="506" t="str">
        <f t="shared" si="78"/>
        <v/>
      </c>
      <c r="CU14" s="506" t="str">
        <f t="shared" si="79"/>
        <v/>
      </c>
      <c r="CV14" s="506" t="str">
        <f t="shared" si="80"/>
        <v/>
      </c>
      <c r="CW14" s="506" t="str">
        <f t="shared" si="81"/>
        <v/>
      </c>
      <c r="CX14" s="506" t="str">
        <f t="shared" si="82"/>
        <v/>
      </c>
      <c r="CY14" s="506" t="str">
        <f t="shared" si="83"/>
        <v/>
      </c>
      <c r="CZ14" s="506" t="str">
        <f t="shared" si="84"/>
        <v/>
      </c>
      <c r="DA14" s="506" t="str">
        <f t="shared" si="85"/>
        <v/>
      </c>
      <c r="DB14" s="506" t="str">
        <f t="shared" si="86"/>
        <v/>
      </c>
      <c r="DC14" s="506" t="str">
        <f t="shared" si="87"/>
        <v/>
      </c>
      <c r="DD14" s="506" t="str">
        <f t="shared" si="88"/>
        <v/>
      </c>
      <c r="DE14" s="506" t="str">
        <f t="shared" si="89"/>
        <v/>
      </c>
      <c r="DF14" s="506" t="str">
        <f t="shared" si="90"/>
        <v/>
      </c>
      <c r="DG14" s="506" t="str">
        <f t="shared" si="91"/>
        <v/>
      </c>
      <c r="DH14" s="506" t="str">
        <f t="shared" si="92"/>
        <v/>
      </c>
      <c r="DI14" s="506" t="str">
        <f t="shared" si="93"/>
        <v/>
      </c>
      <c r="DJ14" s="506" t="str">
        <f t="shared" si="94"/>
        <v/>
      </c>
      <c r="DK14" s="506" t="str">
        <f t="shared" si="95"/>
        <v/>
      </c>
      <c r="DL14" s="506" t="str">
        <f t="shared" si="96"/>
        <v/>
      </c>
      <c r="DM14" s="506" t="str">
        <f t="shared" si="97"/>
        <v/>
      </c>
      <c r="DN14" s="506" t="str">
        <f t="shared" si="98"/>
        <v/>
      </c>
      <c r="DO14" s="506" t="str">
        <f t="shared" si="99"/>
        <v/>
      </c>
      <c r="DP14" s="506" t="str">
        <f t="shared" si="100"/>
        <v/>
      </c>
      <c r="DQ14" s="506" t="str">
        <f t="shared" si="101"/>
        <v/>
      </c>
      <c r="DR14" s="506" t="str">
        <f t="shared" si="102"/>
        <v/>
      </c>
      <c r="DS14" s="506" t="str">
        <f t="shared" si="103"/>
        <v/>
      </c>
      <c r="DT14" s="506" t="str">
        <f t="shared" si="104"/>
        <v/>
      </c>
      <c r="DU14" s="506">
        <f t="shared" si="105"/>
        <v>24</v>
      </c>
      <c r="DV14" s="506" t="str">
        <f t="shared" si="106"/>
        <v/>
      </c>
      <c r="DW14" s="506" t="str">
        <f t="shared" si="107"/>
        <v/>
      </c>
      <c r="DX14" s="506" t="str">
        <f t="shared" si="108"/>
        <v/>
      </c>
      <c r="DY14" s="506" t="str">
        <f t="shared" si="109"/>
        <v/>
      </c>
      <c r="DZ14" s="506" t="str">
        <f t="shared" si="110"/>
        <v/>
      </c>
      <c r="EA14" s="506" t="str">
        <f t="shared" si="111"/>
        <v/>
      </c>
      <c r="EB14" s="506" t="str">
        <f t="shared" si="112"/>
        <v/>
      </c>
      <c r="EC14" s="506" t="str">
        <f t="shared" si="113"/>
        <v/>
      </c>
      <c r="ED14" s="506" t="str">
        <f t="shared" si="114"/>
        <v/>
      </c>
      <c r="EE14" s="506" t="str">
        <f t="shared" si="115"/>
        <v/>
      </c>
      <c r="EF14" s="506" t="str">
        <f t="shared" si="116"/>
        <v/>
      </c>
      <c r="EG14" s="506" t="str">
        <f t="shared" si="117"/>
        <v/>
      </c>
      <c r="EH14" s="506" t="str">
        <f t="shared" si="118"/>
        <v/>
      </c>
      <c r="EI14" s="506" t="str">
        <f t="shared" si="119"/>
        <v/>
      </c>
      <c r="EJ14" s="506" t="str">
        <f t="shared" si="120"/>
        <v/>
      </c>
      <c r="EK14" s="506" t="str">
        <f t="shared" si="121"/>
        <v/>
      </c>
      <c r="EL14" s="506" t="str">
        <f t="shared" si="122"/>
        <v/>
      </c>
      <c r="EM14" s="506" t="str">
        <f t="shared" si="123"/>
        <v/>
      </c>
      <c r="EN14" s="506" t="str">
        <f t="shared" si="124"/>
        <v/>
      </c>
      <c r="EO14" s="506" t="str">
        <f t="shared" si="125"/>
        <v/>
      </c>
      <c r="EP14" s="506" t="str">
        <f t="shared" si="126"/>
        <v/>
      </c>
      <c r="EQ14" s="506" t="str">
        <f t="shared" si="127"/>
        <v/>
      </c>
      <c r="ER14" s="506" t="str">
        <f t="shared" si="128"/>
        <v/>
      </c>
      <c r="ES14" s="506" t="str">
        <f t="shared" si="129"/>
        <v/>
      </c>
      <c r="ET14" s="506" t="str">
        <f t="shared" si="130"/>
        <v/>
      </c>
      <c r="EU14" s="506" t="str">
        <f t="shared" si="131"/>
        <v/>
      </c>
      <c r="EV14" s="506" t="str">
        <f t="shared" si="132"/>
        <v/>
      </c>
      <c r="EW14" s="516" t="str">
        <f t="shared" si="133"/>
        <v/>
      </c>
      <c r="EX14" s="516" t="str">
        <f t="shared" si="134"/>
        <v/>
      </c>
      <c r="EY14" s="516" t="str">
        <f t="shared" si="135"/>
        <v/>
      </c>
      <c r="EZ14" s="516" t="str">
        <f t="shared" si="136"/>
        <v/>
      </c>
      <c r="FA14" s="516" t="str">
        <f t="shared" si="137"/>
        <v/>
      </c>
      <c r="FB14" s="516" t="str">
        <f t="shared" si="138"/>
        <v/>
      </c>
      <c r="FC14" s="516" t="str">
        <f t="shared" si="139"/>
        <v/>
      </c>
      <c r="FD14" s="516" t="str">
        <f t="shared" si="140"/>
        <v/>
      </c>
      <c r="FE14" s="516" t="str">
        <f t="shared" si="141"/>
        <v/>
      </c>
      <c r="FF14" s="516" t="str">
        <f t="shared" si="142"/>
        <v/>
      </c>
      <c r="FG14" s="516" t="str">
        <f t="shared" si="143"/>
        <v/>
      </c>
      <c r="FH14" s="516" t="str">
        <f t="shared" si="144"/>
        <v/>
      </c>
      <c r="FI14" s="516" t="str">
        <f t="shared" si="145"/>
        <v/>
      </c>
      <c r="FJ14" s="516" t="str">
        <f t="shared" si="146"/>
        <v/>
      </c>
      <c r="FK14" s="516" t="str">
        <f t="shared" si="147"/>
        <v/>
      </c>
      <c r="FL14" s="516" t="str">
        <f t="shared" si="148"/>
        <v/>
      </c>
      <c r="FM14" s="516" t="str">
        <f t="shared" si="149"/>
        <v/>
      </c>
      <c r="FN14" s="516" t="str">
        <f t="shared" si="150"/>
        <v/>
      </c>
      <c r="FO14" s="516" t="str">
        <f t="shared" si="151"/>
        <v/>
      </c>
      <c r="FP14" s="516" t="str">
        <f t="shared" si="152"/>
        <v/>
      </c>
      <c r="FQ14" s="516" t="str">
        <f t="shared" si="153"/>
        <v/>
      </c>
      <c r="FR14" s="516" t="str">
        <f t="shared" si="154"/>
        <v/>
      </c>
      <c r="FS14" s="516" t="str">
        <f t="shared" si="155"/>
        <v/>
      </c>
      <c r="FT14" s="516" t="str">
        <f t="shared" si="156"/>
        <v/>
      </c>
      <c r="FU14" s="516" t="str">
        <f t="shared" si="157"/>
        <v/>
      </c>
      <c r="FV14" s="516" t="str">
        <f t="shared" si="158"/>
        <v/>
      </c>
      <c r="FW14" s="516" t="str">
        <f t="shared" si="159"/>
        <v/>
      </c>
      <c r="FX14" s="516" t="str">
        <f t="shared" si="160"/>
        <v/>
      </c>
      <c r="FY14" s="516" t="str">
        <f t="shared" si="161"/>
        <v/>
      </c>
      <c r="FZ14" s="516" t="str">
        <f t="shared" si="162"/>
        <v/>
      </c>
      <c r="GA14" s="516" t="str">
        <f t="shared" si="163"/>
        <v/>
      </c>
      <c r="GB14" s="516" t="str">
        <f t="shared" si="164"/>
        <v/>
      </c>
      <c r="GC14" s="516" t="str">
        <f t="shared" si="165"/>
        <v/>
      </c>
      <c r="GD14" s="516" t="str">
        <f t="shared" si="166"/>
        <v/>
      </c>
      <c r="GE14" s="516" t="str">
        <f t="shared" si="167"/>
        <v/>
      </c>
      <c r="GF14" s="516" t="str">
        <f t="shared" si="168"/>
        <v/>
      </c>
      <c r="GG14" s="516" t="str">
        <f t="shared" si="169"/>
        <v/>
      </c>
      <c r="GH14" s="516">
        <f t="shared" si="170"/>
        <v>24</v>
      </c>
      <c r="GI14" s="516" t="str">
        <f t="shared" si="171"/>
        <v/>
      </c>
      <c r="GJ14" s="516" t="str">
        <f t="shared" si="172"/>
        <v/>
      </c>
      <c r="GK14" s="516" t="str">
        <f t="shared" si="173"/>
        <v/>
      </c>
      <c r="GL14" s="516" t="str">
        <f t="shared" si="174"/>
        <v/>
      </c>
      <c r="GM14" s="516" t="str">
        <f t="shared" si="175"/>
        <v/>
      </c>
      <c r="GN14" s="516" t="str">
        <f t="shared" si="176"/>
        <v/>
      </c>
      <c r="GO14" s="516" t="str">
        <f t="shared" si="177"/>
        <v/>
      </c>
      <c r="GP14" s="516" t="str">
        <f t="shared" si="178"/>
        <v/>
      </c>
      <c r="GQ14" s="516" t="str">
        <f t="shared" si="179"/>
        <v/>
      </c>
      <c r="GR14" s="516" t="str">
        <f t="shared" si="180"/>
        <v/>
      </c>
      <c r="GS14" s="516" t="str">
        <f t="shared" si="181"/>
        <v/>
      </c>
      <c r="GT14" s="516" t="str">
        <f t="shared" si="182"/>
        <v/>
      </c>
      <c r="GU14" s="516" t="str">
        <f t="shared" si="183"/>
        <v/>
      </c>
      <c r="GV14" s="516" t="str">
        <f t="shared" si="184"/>
        <v/>
      </c>
      <c r="GW14" s="516" t="str">
        <f t="shared" si="185"/>
        <v/>
      </c>
      <c r="GX14" s="516" t="str">
        <f t="shared" si="186"/>
        <v/>
      </c>
      <c r="GY14" s="516" t="str">
        <f t="shared" si="187"/>
        <v/>
      </c>
      <c r="GZ14" s="516" t="str">
        <f t="shared" si="188"/>
        <v/>
      </c>
      <c r="HA14" s="516" t="str">
        <f t="shared" si="189"/>
        <v/>
      </c>
      <c r="HB14" s="516" t="str">
        <f t="shared" si="190"/>
        <v/>
      </c>
      <c r="HC14" s="516" t="str">
        <f t="shared" si="191"/>
        <v/>
      </c>
      <c r="HD14" s="516" t="str">
        <f t="shared" si="192"/>
        <v/>
      </c>
      <c r="HE14" s="516" t="str">
        <f t="shared" si="193"/>
        <v/>
      </c>
      <c r="HF14" s="516" t="str">
        <f t="shared" si="194"/>
        <v/>
      </c>
      <c r="HG14" s="516" t="str">
        <f t="shared" si="195"/>
        <v/>
      </c>
      <c r="HH14" s="516" t="str">
        <f t="shared" si="196"/>
        <v/>
      </c>
      <c r="HI14" s="516" t="str">
        <f t="shared" si="197"/>
        <v/>
      </c>
      <c r="HJ14" s="516" t="str">
        <f t="shared" si="198"/>
        <v/>
      </c>
      <c r="HK14" s="516" t="str">
        <f t="shared" si="199"/>
        <v/>
      </c>
      <c r="HL14" s="516" t="str">
        <f t="shared" si="200"/>
        <v/>
      </c>
      <c r="HM14" s="516" t="str">
        <f t="shared" si="201"/>
        <v/>
      </c>
      <c r="HN14" s="516" t="str">
        <f t="shared" si="202"/>
        <v/>
      </c>
      <c r="HO14" s="516" t="str">
        <f t="shared" si="203"/>
        <v/>
      </c>
      <c r="HP14" s="516" t="str">
        <f t="shared" si="204"/>
        <v/>
      </c>
      <c r="HQ14" s="516" t="str">
        <f t="shared" si="205"/>
        <v/>
      </c>
      <c r="HR14" s="516" t="str">
        <f t="shared" si="206"/>
        <v/>
      </c>
      <c r="HS14" s="516" t="str">
        <f t="shared" si="207"/>
        <v/>
      </c>
      <c r="HT14" s="516" t="str">
        <f t="shared" si="208"/>
        <v/>
      </c>
      <c r="HU14" s="516" t="str">
        <f t="shared" si="209"/>
        <v/>
      </c>
      <c r="HV14" s="516" t="str">
        <f t="shared" si="210"/>
        <v/>
      </c>
      <c r="HW14" s="516" t="str">
        <f t="shared" si="211"/>
        <v/>
      </c>
      <c r="HX14" s="516" t="str">
        <f t="shared" si="212"/>
        <v/>
      </c>
      <c r="HY14" s="516" t="str">
        <f t="shared" si="213"/>
        <v/>
      </c>
      <c r="HZ14" s="516" t="str">
        <f t="shared" si="214"/>
        <v/>
      </c>
      <c r="IA14" s="516" t="str">
        <f t="shared" si="215"/>
        <v/>
      </c>
      <c r="IB14" s="516" t="str">
        <f t="shared" si="216"/>
        <v/>
      </c>
      <c r="IC14" s="516" t="str">
        <f t="shared" si="217"/>
        <v/>
      </c>
      <c r="ID14" s="517" t="str">
        <f t="shared" si="218"/>
        <v/>
      </c>
      <c r="IE14" s="517" t="str">
        <f t="shared" si="219"/>
        <v/>
      </c>
      <c r="IF14" s="517" t="str">
        <f t="shared" si="220"/>
        <v/>
      </c>
      <c r="IG14" s="517" t="str">
        <f t="shared" si="221"/>
        <v/>
      </c>
      <c r="IH14" s="517" t="str">
        <f t="shared" si="222"/>
        <v/>
      </c>
      <c r="II14" s="506" t="str">
        <f t="shared" si="223"/>
        <v/>
      </c>
      <c r="IJ14" s="506" t="str">
        <f t="shared" si="224"/>
        <v/>
      </c>
      <c r="IK14" s="506" t="str">
        <f t="shared" si="225"/>
        <v/>
      </c>
      <c r="IL14" s="506" t="str">
        <f t="shared" si="226"/>
        <v/>
      </c>
      <c r="IM14" s="506" t="str">
        <f t="shared" si="227"/>
        <v/>
      </c>
      <c r="IN14" s="506" t="str">
        <f t="shared" si="228"/>
        <v/>
      </c>
      <c r="IO14" s="506" t="str">
        <f t="shared" si="229"/>
        <v/>
      </c>
      <c r="IP14" s="506" t="str">
        <f t="shared" si="230"/>
        <v/>
      </c>
      <c r="IQ14" s="506" t="str">
        <f t="shared" si="231"/>
        <v/>
      </c>
      <c r="IR14" s="506" t="str">
        <f t="shared" si="232"/>
        <v/>
      </c>
      <c r="IS14" s="506" t="str">
        <f t="shared" si="233"/>
        <v/>
      </c>
      <c r="IT14" s="506" t="str">
        <f t="shared" si="234"/>
        <v/>
      </c>
      <c r="IU14" s="506" t="str">
        <f t="shared" si="235"/>
        <v/>
      </c>
      <c r="IV14" s="506" t="str">
        <f t="shared" si="236"/>
        <v/>
      </c>
      <c r="IW14" s="506" t="str">
        <f t="shared" si="237"/>
        <v/>
      </c>
      <c r="IX14" s="506" t="str">
        <f t="shared" si="238"/>
        <v/>
      </c>
      <c r="IY14" s="506" t="str">
        <f t="shared" si="239"/>
        <v/>
      </c>
      <c r="IZ14" s="506" t="str">
        <f t="shared" si="240"/>
        <v/>
      </c>
      <c r="JA14" s="506" t="str">
        <f t="shared" si="241"/>
        <v/>
      </c>
      <c r="JB14" s="506" t="str">
        <f t="shared" si="242"/>
        <v/>
      </c>
      <c r="JC14" s="515">
        <f t="shared" si="244"/>
        <v>0</v>
      </c>
      <c r="JD14" s="515">
        <f t="shared" si="245"/>
        <v>0</v>
      </c>
      <c r="JE14" s="515">
        <f t="shared" si="246"/>
        <v>24</v>
      </c>
      <c r="JF14" s="515">
        <f t="shared" si="247"/>
        <v>0</v>
      </c>
      <c r="JG14" s="515">
        <f t="shared" si="248"/>
        <v>0</v>
      </c>
      <c r="JH14" s="515">
        <f t="shared" si="249"/>
        <v>0</v>
      </c>
      <c r="JI14" s="515">
        <f t="shared" si="250"/>
        <v>0</v>
      </c>
      <c r="JJ14" s="515">
        <f t="shared" si="251"/>
        <v>0</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f t="shared" si="0"/>
        <v>1</v>
      </c>
      <c r="B15" s="2524" t="s">
        <v>1203</v>
      </c>
      <c r="C15" s="2525">
        <v>3</v>
      </c>
      <c r="D15" s="2526">
        <v>2</v>
      </c>
      <c r="E15" s="2527">
        <v>6</v>
      </c>
      <c r="F15" s="2527">
        <v>1100</v>
      </c>
      <c r="G15" s="2527">
        <v>759</v>
      </c>
      <c r="H15" s="2527">
        <v>603</v>
      </c>
      <c r="I15" s="2527">
        <v>168</v>
      </c>
      <c r="J15" s="2528"/>
      <c r="K15" s="825">
        <f t="shared" si="1"/>
        <v>435</v>
      </c>
      <c r="L15" s="825">
        <f t="shared" si="2"/>
        <v>2610</v>
      </c>
      <c r="M15" s="1301" t="s">
        <v>3424</v>
      </c>
      <c r="N15" s="1301" t="s">
        <v>2731</v>
      </c>
      <c r="O15" s="1300" t="s">
        <v>4438</v>
      </c>
      <c r="P15" s="2529"/>
      <c r="Q15" s="2530">
        <f t="shared" si="243"/>
        <v>24120</v>
      </c>
      <c r="R15" s="2531">
        <f>IF(H15="","",IF(C15="Efficiency",Q15/($O$6*VLOOKUP(0,'DCA Underwriting Assumptions'!$J$118:$K$123,2,FALSE)),Q15/($O$6*VLOOKUP(C15,'DCA Underwriting Assumptions'!$J$118:$K$123,2,FALSE))))</f>
        <v>0.46016483516483514</v>
      </c>
      <c r="S15" s="2532"/>
      <c r="T15" s="2531"/>
      <c r="U15" s="2533"/>
      <c r="V15" s="2458"/>
      <c r="W15" s="506" t="str">
        <f t="shared" si="3"/>
        <v/>
      </c>
      <c r="X15" s="506" t="str">
        <f t="shared" si="4"/>
        <v/>
      </c>
      <c r="Y15" s="506" t="str">
        <f t="shared" si="5"/>
        <v/>
      </c>
      <c r="Z15" s="506">
        <f t="shared" si="6"/>
        <v>6</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53"/>
        <v/>
      </c>
      <c r="BV15" s="506" t="str">
        <f t="shared" si="54"/>
        <v/>
      </c>
      <c r="BW15" s="506" t="str">
        <f t="shared" si="55"/>
        <v/>
      </c>
      <c r="BX15" s="506" t="str">
        <f t="shared" si="56"/>
        <v/>
      </c>
      <c r="BY15" s="506" t="str">
        <f t="shared" si="57"/>
        <v/>
      </c>
      <c r="BZ15" s="506" t="str">
        <f t="shared" si="58"/>
        <v/>
      </c>
      <c r="CA15" s="506" t="str">
        <f t="shared" si="59"/>
        <v/>
      </c>
      <c r="CB15" s="506" t="str">
        <f t="shared" si="60"/>
        <v/>
      </c>
      <c r="CC15" s="506">
        <f t="shared" si="61"/>
        <v>6600</v>
      </c>
      <c r="CD15" s="506" t="str">
        <f t="shared" si="62"/>
        <v/>
      </c>
      <c r="CE15" s="506" t="str">
        <f t="shared" si="63"/>
        <v/>
      </c>
      <c r="CF15" s="506" t="str">
        <f t="shared" si="64"/>
        <v/>
      </c>
      <c r="CG15" s="506" t="str">
        <f t="shared" si="65"/>
        <v/>
      </c>
      <c r="CH15" s="506" t="str">
        <f t="shared" si="66"/>
        <v/>
      </c>
      <c r="CI15" s="506" t="str">
        <f t="shared" si="67"/>
        <v/>
      </c>
      <c r="CJ15" s="506" t="str">
        <f t="shared" si="68"/>
        <v/>
      </c>
      <c r="CK15" s="506" t="str">
        <f t="shared" si="69"/>
        <v/>
      </c>
      <c r="CL15" s="506" t="str">
        <f t="shared" si="70"/>
        <v/>
      </c>
      <c r="CM15" s="506" t="str">
        <f t="shared" si="71"/>
        <v/>
      </c>
      <c r="CN15" s="506" t="str">
        <f t="shared" si="72"/>
        <v/>
      </c>
      <c r="CO15" s="506" t="str">
        <f t="shared" si="73"/>
        <v/>
      </c>
      <c r="CP15" s="506" t="str">
        <f t="shared" si="74"/>
        <v/>
      </c>
      <c r="CQ15" s="506" t="str">
        <f t="shared" si="75"/>
        <v/>
      </c>
      <c r="CR15" s="506" t="str">
        <f t="shared" si="76"/>
        <v/>
      </c>
      <c r="CS15" s="506" t="str">
        <f t="shared" si="77"/>
        <v/>
      </c>
      <c r="CT15" s="506" t="str">
        <f t="shared" si="78"/>
        <v/>
      </c>
      <c r="CU15" s="506" t="str">
        <f t="shared" si="79"/>
        <v/>
      </c>
      <c r="CV15" s="506" t="str">
        <f t="shared" si="80"/>
        <v/>
      </c>
      <c r="CW15" s="506" t="str">
        <f t="shared" si="81"/>
        <v/>
      </c>
      <c r="CX15" s="506" t="str">
        <f t="shared" si="82"/>
        <v/>
      </c>
      <c r="CY15" s="506" t="str">
        <f t="shared" si="83"/>
        <v/>
      </c>
      <c r="CZ15" s="506" t="str">
        <f t="shared" si="84"/>
        <v/>
      </c>
      <c r="DA15" s="506" t="str">
        <f t="shared" si="85"/>
        <v/>
      </c>
      <c r="DB15" s="506" t="str">
        <f t="shared" si="86"/>
        <v/>
      </c>
      <c r="DC15" s="506" t="str">
        <f t="shared" si="87"/>
        <v/>
      </c>
      <c r="DD15" s="506" t="str">
        <f t="shared" si="88"/>
        <v/>
      </c>
      <c r="DE15" s="506" t="str">
        <f t="shared" si="89"/>
        <v/>
      </c>
      <c r="DF15" s="506" t="str">
        <f t="shared" si="90"/>
        <v/>
      </c>
      <c r="DG15" s="506" t="str">
        <f t="shared" si="91"/>
        <v/>
      </c>
      <c r="DH15" s="506" t="str">
        <f t="shared" si="92"/>
        <v/>
      </c>
      <c r="DI15" s="506" t="str">
        <f t="shared" si="93"/>
        <v/>
      </c>
      <c r="DJ15" s="506" t="str">
        <f t="shared" si="94"/>
        <v/>
      </c>
      <c r="DK15" s="506" t="str">
        <f t="shared" si="95"/>
        <v/>
      </c>
      <c r="DL15" s="506" t="str">
        <f t="shared" si="96"/>
        <v/>
      </c>
      <c r="DM15" s="506" t="str">
        <f t="shared" si="97"/>
        <v/>
      </c>
      <c r="DN15" s="506" t="str">
        <f t="shared" si="98"/>
        <v/>
      </c>
      <c r="DO15" s="506" t="str">
        <f t="shared" si="99"/>
        <v/>
      </c>
      <c r="DP15" s="506" t="str">
        <f t="shared" si="100"/>
        <v/>
      </c>
      <c r="DQ15" s="506" t="str">
        <f t="shared" si="101"/>
        <v/>
      </c>
      <c r="DR15" s="506" t="str">
        <f t="shared" si="102"/>
        <v/>
      </c>
      <c r="DS15" s="506" t="str">
        <f t="shared" si="103"/>
        <v/>
      </c>
      <c r="DT15" s="506" t="str">
        <f t="shared" si="104"/>
        <v/>
      </c>
      <c r="DU15" s="506" t="str">
        <f t="shared" si="105"/>
        <v/>
      </c>
      <c r="DV15" s="506">
        <f t="shared" si="106"/>
        <v>6</v>
      </c>
      <c r="DW15" s="506" t="str">
        <f t="shared" si="107"/>
        <v/>
      </c>
      <c r="DX15" s="506" t="str">
        <f t="shared" si="108"/>
        <v/>
      </c>
      <c r="DY15" s="506" t="str">
        <f t="shared" si="109"/>
        <v/>
      </c>
      <c r="DZ15" s="506" t="str">
        <f t="shared" si="110"/>
        <v/>
      </c>
      <c r="EA15" s="506" t="str">
        <f t="shared" si="111"/>
        <v/>
      </c>
      <c r="EB15" s="506" t="str">
        <f t="shared" si="112"/>
        <v/>
      </c>
      <c r="EC15" s="506" t="str">
        <f t="shared" si="113"/>
        <v/>
      </c>
      <c r="ED15" s="506" t="str">
        <f t="shared" si="114"/>
        <v/>
      </c>
      <c r="EE15" s="506" t="str">
        <f t="shared" si="115"/>
        <v/>
      </c>
      <c r="EF15" s="506" t="str">
        <f t="shared" si="116"/>
        <v/>
      </c>
      <c r="EG15" s="506" t="str">
        <f t="shared" si="117"/>
        <v/>
      </c>
      <c r="EH15" s="506" t="str">
        <f t="shared" si="118"/>
        <v/>
      </c>
      <c r="EI15" s="506" t="str">
        <f t="shared" si="119"/>
        <v/>
      </c>
      <c r="EJ15" s="506" t="str">
        <f t="shared" si="120"/>
        <v/>
      </c>
      <c r="EK15" s="506" t="str">
        <f t="shared" si="121"/>
        <v/>
      </c>
      <c r="EL15" s="506" t="str">
        <f t="shared" si="122"/>
        <v/>
      </c>
      <c r="EM15" s="506" t="str">
        <f t="shared" si="123"/>
        <v/>
      </c>
      <c r="EN15" s="506" t="str">
        <f t="shared" si="124"/>
        <v/>
      </c>
      <c r="EO15" s="506" t="str">
        <f t="shared" si="125"/>
        <v/>
      </c>
      <c r="EP15" s="506" t="str">
        <f t="shared" si="126"/>
        <v/>
      </c>
      <c r="EQ15" s="506" t="str">
        <f t="shared" si="127"/>
        <v/>
      </c>
      <c r="ER15" s="506" t="str">
        <f t="shared" si="128"/>
        <v/>
      </c>
      <c r="ES15" s="506" t="str">
        <f t="shared" si="129"/>
        <v/>
      </c>
      <c r="ET15" s="506" t="str">
        <f t="shared" si="130"/>
        <v/>
      </c>
      <c r="EU15" s="506" t="str">
        <f t="shared" si="131"/>
        <v/>
      </c>
      <c r="EV15" s="506" t="str">
        <f t="shared" si="132"/>
        <v/>
      </c>
      <c r="EW15" s="516" t="str">
        <f t="shared" si="133"/>
        <v/>
      </c>
      <c r="EX15" s="516" t="str">
        <f t="shared" si="134"/>
        <v/>
      </c>
      <c r="EY15" s="516" t="str">
        <f t="shared" si="135"/>
        <v/>
      </c>
      <c r="EZ15" s="516">
        <f t="shared" si="136"/>
        <v>6</v>
      </c>
      <c r="FA15" s="516" t="str">
        <f t="shared" si="137"/>
        <v/>
      </c>
      <c r="FB15" s="516" t="str">
        <f t="shared" si="138"/>
        <v/>
      </c>
      <c r="FC15" s="516" t="str">
        <f t="shared" si="139"/>
        <v/>
      </c>
      <c r="FD15" s="516" t="str">
        <f t="shared" si="140"/>
        <v/>
      </c>
      <c r="FE15" s="516" t="str">
        <f t="shared" si="141"/>
        <v/>
      </c>
      <c r="FF15" s="516" t="str">
        <f t="shared" si="142"/>
        <v/>
      </c>
      <c r="FG15" s="516" t="str">
        <f t="shared" si="143"/>
        <v/>
      </c>
      <c r="FH15" s="516" t="str">
        <f t="shared" si="144"/>
        <v/>
      </c>
      <c r="FI15" s="516" t="str">
        <f t="shared" si="145"/>
        <v/>
      </c>
      <c r="FJ15" s="516" t="str">
        <f t="shared" si="146"/>
        <v/>
      </c>
      <c r="FK15" s="516" t="str">
        <f t="shared" si="147"/>
        <v/>
      </c>
      <c r="FL15" s="516" t="str">
        <f t="shared" si="148"/>
        <v/>
      </c>
      <c r="FM15" s="516" t="str">
        <f t="shared" si="149"/>
        <v/>
      </c>
      <c r="FN15" s="516" t="str">
        <f t="shared" si="150"/>
        <v/>
      </c>
      <c r="FO15" s="516" t="str">
        <f t="shared" si="151"/>
        <v/>
      </c>
      <c r="FP15" s="516" t="str">
        <f t="shared" si="152"/>
        <v/>
      </c>
      <c r="FQ15" s="516" t="str">
        <f t="shared" si="153"/>
        <v/>
      </c>
      <c r="FR15" s="516" t="str">
        <f t="shared" si="154"/>
        <v/>
      </c>
      <c r="FS15" s="516" t="str">
        <f t="shared" si="155"/>
        <v/>
      </c>
      <c r="FT15" s="516" t="str">
        <f t="shared" si="156"/>
        <v/>
      </c>
      <c r="FU15" s="516" t="str">
        <f t="shared" si="157"/>
        <v/>
      </c>
      <c r="FV15" s="516" t="str">
        <f t="shared" si="158"/>
        <v/>
      </c>
      <c r="FW15" s="516" t="str">
        <f t="shared" si="159"/>
        <v/>
      </c>
      <c r="FX15" s="516" t="str">
        <f t="shared" si="160"/>
        <v/>
      </c>
      <c r="FY15" s="516" t="str">
        <f t="shared" si="161"/>
        <v/>
      </c>
      <c r="FZ15" s="516" t="str">
        <f t="shared" si="162"/>
        <v/>
      </c>
      <c r="GA15" s="516" t="str">
        <f t="shared" si="163"/>
        <v/>
      </c>
      <c r="GB15" s="516" t="str">
        <f t="shared" si="164"/>
        <v/>
      </c>
      <c r="GC15" s="516" t="str">
        <f t="shared" si="165"/>
        <v/>
      </c>
      <c r="GD15" s="516" t="str">
        <f t="shared" si="166"/>
        <v/>
      </c>
      <c r="GE15" s="516" t="str">
        <f t="shared" si="167"/>
        <v/>
      </c>
      <c r="GF15" s="516" t="str">
        <f t="shared" si="168"/>
        <v/>
      </c>
      <c r="GG15" s="516" t="str">
        <f t="shared" si="169"/>
        <v/>
      </c>
      <c r="GH15" s="516" t="str">
        <f t="shared" si="170"/>
        <v/>
      </c>
      <c r="GI15" s="516" t="str">
        <f t="shared" si="171"/>
        <v/>
      </c>
      <c r="GJ15" s="516" t="str">
        <f t="shared" si="172"/>
        <v/>
      </c>
      <c r="GK15" s="516" t="str">
        <f t="shared" si="173"/>
        <v/>
      </c>
      <c r="GL15" s="516" t="str">
        <f t="shared" si="174"/>
        <v/>
      </c>
      <c r="GM15" s="516" t="str">
        <f t="shared" si="175"/>
        <v/>
      </c>
      <c r="GN15" s="516" t="str">
        <f t="shared" si="176"/>
        <v/>
      </c>
      <c r="GO15" s="516" t="str">
        <f t="shared" si="177"/>
        <v/>
      </c>
      <c r="GP15" s="516" t="str">
        <f t="shared" si="178"/>
        <v/>
      </c>
      <c r="GQ15" s="516" t="str">
        <f t="shared" si="179"/>
        <v/>
      </c>
      <c r="GR15" s="516" t="str">
        <f t="shared" si="180"/>
        <v/>
      </c>
      <c r="GS15" s="516">
        <f t="shared" si="181"/>
        <v>6</v>
      </c>
      <c r="GT15" s="516" t="str">
        <f t="shared" si="182"/>
        <v/>
      </c>
      <c r="GU15" s="516" t="str">
        <f t="shared" si="183"/>
        <v/>
      </c>
      <c r="GV15" s="516" t="str">
        <f t="shared" si="184"/>
        <v/>
      </c>
      <c r="GW15" s="516" t="str">
        <f t="shared" si="185"/>
        <v/>
      </c>
      <c r="GX15" s="516" t="str">
        <f t="shared" si="186"/>
        <v/>
      </c>
      <c r="GY15" s="516" t="str">
        <f t="shared" si="187"/>
        <v/>
      </c>
      <c r="GZ15" s="516" t="str">
        <f t="shared" si="188"/>
        <v/>
      </c>
      <c r="HA15" s="516" t="str">
        <f t="shared" si="189"/>
        <v/>
      </c>
      <c r="HB15" s="516" t="str">
        <f t="shared" si="190"/>
        <v/>
      </c>
      <c r="HC15" s="516" t="str">
        <f t="shared" si="191"/>
        <v/>
      </c>
      <c r="HD15" s="516" t="str">
        <f t="shared" si="192"/>
        <v/>
      </c>
      <c r="HE15" s="516" t="str">
        <f t="shared" si="193"/>
        <v/>
      </c>
      <c r="HF15" s="516" t="str">
        <f t="shared" si="194"/>
        <v/>
      </c>
      <c r="HG15" s="516" t="str">
        <f t="shared" si="195"/>
        <v/>
      </c>
      <c r="HH15" s="516" t="str">
        <f t="shared" si="196"/>
        <v/>
      </c>
      <c r="HI15" s="516" t="str">
        <f t="shared" si="197"/>
        <v/>
      </c>
      <c r="HJ15" s="516" t="str">
        <f t="shared" si="198"/>
        <v/>
      </c>
      <c r="HK15" s="516" t="str">
        <f t="shared" si="199"/>
        <v/>
      </c>
      <c r="HL15" s="516" t="str">
        <f t="shared" si="200"/>
        <v/>
      </c>
      <c r="HM15" s="516" t="str">
        <f t="shared" si="201"/>
        <v/>
      </c>
      <c r="HN15" s="516" t="str">
        <f t="shared" si="202"/>
        <v/>
      </c>
      <c r="HO15" s="516" t="str">
        <f t="shared" si="203"/>
        <v/>
      </c>
      <c r="HP15" s="516" t="str">
        <f t="shared" si="204"/>
        <v/>
      </c>
      <c r="HQ15" s="516" t="str">
        <f t="shared" si="205"/>
        <v/>
      </c>
      <c r="HR15" s="516" t="str">
        <f t="shared" si="206"/>
        <v/>
      </c>
      <c r="HS15" s="516" t="str">
        <f t="shared" si="207"/>
        <v/>
      </c>
      <c r="HT15" s="516" t="str">
        <f t="shared" si="208"/>
        <v/>
      </c>
      <c r="HU15" s="516" t="str">
        <f t="shared" si="209"/>
        <v/>
      </c>
      <c r="HV15" s="516" t="str">
        <f t="shared" si="210"/>
        <v/>
      </c>
      <c r="HW15" s="516" t="str">
        <f t="shared" si="211"/>
        <v/>
      </c>
      <c r="HX15" s="516" t="str">
        <f t="shared" si="212"/>
        <v/>
      </c>
      <c r="HY15" s="516" t="str">
        <f t="shared" si="213"/>
        <v/>
      </c>
      <c r="HZ15" s="516" t="str">
        <f t="shared" si="214"/>
        <v/>
      </c>
      <c r="IA15" s="516" t="str">
        <f t="shared" si="215"/>
        <v/>
      </c>
      <c r="IB15" s="516" t="str">
        <f t="shared" si="216"/>
        <v/>
      </c>
      <c r="IC15" s="516" t="str">
        <f t="shared" si="217"/>
        <v/>
      </c>
      <c r="ID15" s="517" t="str">
        <f t="shared" si="218"/>
        <v/>
      </c>
      <c r="IE15" s="517" t="str">
        <f t="shared" si="219"/>
        <v/>
      </c>
      <c r="IF15" s="517" t="str">
        <f t="shared" si="220"/>
        <v/>
      </c>
      <c r="IG15" s="517" t="str">
        <f t="shared" si="221"/>
        <v/>
      </c>
      <c r="IH15" s="517" t="str">
        <f t="shared" si="222"/>
        <v/>
      </c>
      <c r="II15" s="506" t="str">
        <f t="shared" si="223"/>
        <v/>
      </c>
      <c r="IJ15" s="506" t="str">
        <f t="shared" si="224"/>
        <v/>
      </c>
      <c r="IK15" s="506" t="str">
        <f t="shared" si="225"/>
        <v/>
      </c>
      <c r="IL15" s="506" t="str">
        <f t="shared" si="226"/>
        <v/>
      </c>
      <c r="IM15" s="506" t="str">
        <f t="shared" si="227"/>
        <v/>
      </c>
      <c r="IN15" s="506" t="str">
        <f t="shared" si="228"/>
        <v/>
      </c>
      <c r="IO15" s="506" t="str">
        <f t="shared" si="229"/>
        <v/>
      </c>
      <c r="IP15" s="506" t="str">
        <f t="shared" si="230"/>
        <v/>
      </c>
      <c r="IQ15" s="506" t="str">
        <f t="shared" si="231"/>
        <v/>
      </c>
      <c r="IR15" s="506" t="str">
        <f t="shared" si="232"/>
        <v/>
      </c>
      <c r="IS15" s="506" t="str">
        <f t="shared" si="233"/>
        <v/>
      </c>
      <c r="IT15" s="506" t="str">
        <f t="shared" si="234"/>
        <v/>
      </c>
      <c r="IU15" s="506" t="str">
        <f t="shared" si="235"/>
        <v/>
      </c>
      <c r="IV15" s="506" t="str">
        <f t="shared" si="236"/>
        <v/>
      </c>
      <c r="IW15" s="506" t="str">
        <f t="shared" si="237"/>
        <v/>
      </c>
      <c r="IX15" s="506" t="str">
        <f t="shared" si="238"/>
        <v/>
      </c>
      <c r="IY15" s="506" t="str">
        <f t="shared" si="239"/>
        <v/>
      </c>
      <c r="IZ15" s="506" t="str">
        <f t="shared" si="240"/>
        <v/>
      </c>
      <c r="JA15" s="506" t="str">
        <f t="shared" si="241"/>
        <v/>
      </c>
      <c r="JB15" s="506" t="str">
        <f t="shared" si="242"/>
        <v/>
      </c>
      <c r="JC15" s="515">
        <f t="shared" si="244"/>
        <v>0</v>
      </c>
      <c r="JD15" s="515">
        <f t="shared" si="245"/>
        <v>0</v>
      </c>
      <c r="JE15" s="515">
        <f t="shared" si="246"/>
        <v>0</v>
      </c>
      <c r="JF15" s="515">
        <f t="shared" si="247"/>
        <v>6</v>
      </c>
      <c r="JG15" s="515">
        <f t="shared" si="248"/>
        <v>0</v>
      </c>
      <c r="JH15" s="515">
        <f t="shared" si="249"/>
        <v>0</v>
      </c>
      <c r="JI15" s="515">
        <f t="shared" si="250"/>
        <v>0</v>
      </c>
      <c r="JJ15" s="515">
        <f t="shared" si="251"/>
        <v>0</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24" t="s">
        <v>1858</v>
      </c>
      <c r="C16" s="2525"/>
      <c r="D16" s="2526"/>
      <c r="E16" s="2527"/>
      <c r="F16" s="2527"/>
      <c r="G16" s="2527"/>
      <c r="H16" s="2527"/>
      <c r="I16" s="2527"/>
      <c r="J16" s="2528"/>
      <c r="K16" s="825">
        <f t="shared" si="1"/>
        <v>0</v>
      </c>
      <c r="L16" s="825">
        <f t="shared" si="2"/>
        <v>0</v>
      </c>
      <c r="M16" s="1301"/>
      <c r="N16" s="1301"/>
      <c r="O16" s="1301"/>
      <c r="P16" s="2529"/>
      <c r="Q16" s="2530" t="str">
        <f t="shared" si="243"/>
        <v/>
      </c>
      <c r="R16" s="2531" t="str">
        <f>IF(H16="","",IF(C16="Efficiency",Q16/($O$6*VLOOKUP(0,'DCA Underwriting Assumptions'!$J$118:$K$123,2,FALSE)),Q16/($O$6*VLOOKUP(C16,'DCA Underwriting Assumptions'!$J$118:$K$123,2,FALSE))))</f>
        <v/>
      </c>
      <c r="S16" s="2532"/>
      <c r="T16" s="2531"/>
      <c r="U16" s="2533"/>
      <c r="V16" s="2458"/>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53"/>
        <v/>
      </c>
      <c r="BV16" s="506" t="str">
        <f t="shared" si="54"/>
        <v/>
      </c>
      <c r="BW16" s="506" t="str">
        <f t="shared" si="55"/>
        <v/>
      </c>
      <c r="BX16" s="506" t="str">
        <f t="shared" si="56"/>
        <v/>
      </c>
      <c r="BY16" s="506" t="str">
        <f t="shared" si="57"/>
        <v/>
      </c>
      <c r="BZ16" s="506" t="str">
        <f t="shared" si="58"/>
        <v/>
      </c>
      <c r="CA16" s="506" t="str">
        <f t="shared" si="59"/>
        <v/>
      </c>
      <c r="CB16" s="506" t="str">
        <f t="shared" si="60"/>
        <v/>
      </c>
      <c r="CC16" s="506" t="str">
        <f t="shared" si="61"/>
        <v/>
      </c>
      <c r="CD16" s="506" t="str">
        <f t="shared" si="62"/>
        <v/>
      </c>
      <c r="CE16" s="506" t="str">
        <f t="shared" si="63"/>
        <v/>
      </c>
      <c r="CF16" s="506" t="str">
        <f t="shared" si="64"/>
        <v/>
      </c>
      <c r="CG16" s="506" t="str">
        <f t="shared" si="65"/>
        <v/>
      </c>
      <c r="CH16" s="506" t="str">
        <f t="shared" si="66"/>
        <v/>
      </c>
      <c r="CI16" s="506" t="str">
        <f t="shared" si="67"/>
        <v/>
      </c>
      <c r="CJ16" s="506" t="str">
        <f t="shared" si="68"/>
        <v/>
      </c>
      <c r="CK16" s="506" t="str">
        <f t="shared" si="69"/>
        <v/>
      </c>
      <c r="CL16" s="506" t="str">
        <f t="shared" si="70"/>
        <v/>
      </c>
      <c r="CM16" s="506" t="str">
        <f t="shared" si="71"/>
        <v/>
      </c>
      <c r="CN16" s="506" t="str">
        <f t="shared" si="72"/>
        <v/>
      </c>
      <c r="CO16" s="506" t="str">
        <f t="shared" si="73"/>
        <v/>
      </c>
      <c r="CP16" s="506" t="str">
        <f t="shared" si="74"/>
        <v/>
      </c>
      <c r="CQ16" s="506" t="str">
        <f t="shared" si="75"/>
        <v/>
      </c>
      <c r="CR16" s="506" t="str">
        <f t="shared" si="76"/>
        <v/>
      </c>
      <c r="CS16" s="506" t="str">
        <f t="shared" si="77"/>
        <v/>
      </c>
      <c r="CT16" s="506" t="str">
        <f t="shared" si="78"/>
        <v/>
      </c>
      <c r="CU16" s="506" t="str">
        <f t="shared" si="79"/>
        <v/>
      </c>
      <c r="CV16" s="506" t="str">
        <f t="shared" si="80"/>
        <v/>
      </c>
      <c r="CW16" s="506" t="str">
        <f t="shared" si="81"/>
        <v/>
      </c>
      <c r="CX16" s="506" t="str">
        <f t="shared" si="82"/>
        <v/>
      </c>
      <c r="CY16" s="506" t="str">
        <f t="shared" si="83"/>
        <v/>
      </c>
      <c r="CZ16" s="506" t="str">
        <f t="shared" si="84"/>
        <v/>
      </c>
      <c r="DA16" s="506" t="str">
        <f t="shared" si="85"/>
        <v/>
      </c>
      <c r="DB16" s="506" t="str">
        <f t="shared" si="86"/>
        <v/>
      </c>
      <c r="DC16" s="506" t="str">
        <f t="shared" si="87"/>
        <v/>
      </c>
      <c r="DD16" s="506" t="str">
        <f t="shared" si="88"/>
        <v/>
      </c>
      <c r="DE16" s="506" t="str">
        <f t="shared" si="89"/>
        <v/>
      </c>
      <c r="DF16" s="506" t="str">
        <f t="shared" si="90"/>
        <v/>
      </c>
      <c r="DG16" s="506" t="str">
        <f t="shared" si="91"/>
        <v/>
      </c>
      <c r="DH16" s="506" t="str">
        <f t="shared" si="92"/>
        <v/>
      </c>
      <c r="DI16" s="506" t="str">
        <f t="shared" si="93"/>
        <v/>
      </c>
      <c r="DJ16" s="506" t="str">
        <f t="shared" si="94"/>
        <v/>
      </c>
      <c r="DK16" s="506" t="str">
        <f t="shared" si="95"/>
        <v/>
      </c>
      <c r="DL16" s="506" t="str">
        <f t="shared" si="96"/>
        <v/>
      </c>
      <c r="DM16" s="506" t="str">
        <f t="shared" si="97"/>
        <v/>
      </c>
      <c r="DN16" s="506" t="str">
        <f t="shared" si="98"/>
        <v/>
      </c>
      <c r="DO16" s="506" t="str">
        <f t="shared" si="99"/>
        <v/>
      </c>
      <c r="DP16" s="506" t="str">
        <f t="shared" si="100"/>
        <v/>
      </c>
      <c r="DQ16" s="506" t="str">
        <f t="shared" si="101"/>
        <v/>
      </c>
      <c r="DR16" s="506" t="str">
        <f t="shared" si="102"/>
        <v/>
      </c>
      <c r="DS16" s="506" t="str">
        <f t="shared" si="103"/>
        <v/>
      </c>
      <c r="DT16" s="506" t="str">
        <f t="shared" si="104"/>
        <v/>
      </c>
      <c r="DU16" s="506" t="str">
        <f t="shared" si="105"/>
        <v/>
      </c>
      <c r="DV16" s="506" t="str">
        <f t="shared" si="106"/>
        <v/>
      </c>
      <c r="DW16" s="506" t="str">
        <f t="shared" si="107"/>
        <v/>
      </c>
      <c r="DX16" s="506" t="str">
        <f t="shared" si="108"/>
        <v/>
      </c>
      <c r="DY16" s="506" t="str">
        <f t="shared" si="109"/>
        <v/>
      </c>
      <c r="DZ16" s="506" t="str">
        <f t="shared" si="110"/>
        <v/>
      </c>
      <c r="EA16" s="506" t="str">
        <f t="shared" si="111"/>
        <v/>
      </c>
      <c r="EB16" s="506" t="str">
        <f t="shared" si="112"/>
        <v/>
      </c>
      <c r="EC16" s="506" t="str">
        <f t="shared" si="113"/>
        <v/>
      </c>
      <c r="ED16" s="506" t="str">
        <f t="shared" si="114"/>
        <v/>
      </c>
      <c r="EE16" s="506" t="str">
        <f t="shared" si="115"/>
        <v/>
      </c>
      <c r="EF16" s="506" t="str">
        <f t="shared" si="116"/>
        <v/>
      </c>
      <c r="EG16" s="506" t="str">
        <f t="shared" si="117"/>
        <v/>
      </c>
      <c r="EH16" s="506" t="str">
        <f t="shared" si="118"/>
        <v/>
      </c>
      <c r="EI16" s="506" t="str">
        <f t="shared" si="119"/>
        <v/>
      </c>
      <c r="EJ16" s="506" t="str">
        <f t="shared" si="120"/>
        <v/>
      </c>
      <c r="EK16" s="506" t="str">
        <f t="shared" si="121"/>
        <v/>
      </c>
      <c r="EL16" s="506" t="str">
        <f t="shared" si="122"/>
        <v/>
      </c>
      <c r="EM16" s="506" t="str">
        <f t="shared" si="123"/>
        <v/>
      </c>
      <c r="EN16" s="506" t="str">
        <f t="shared" si="124"/>
        <v/>
      </c>
      <c r="EO16" s="506" t="str">
        <f t="shared" si="125"/>
        <v/>
      </c>
      <c r="EP16" s="506" t="str">
        <f t="shared" si="126"/>
        <v/>
      </c>
      <c r="EQ16" s="506" t="str">
        <f t="shared" si="127"/>
        <v/>
      </c>
      <c r="ER16" s="506" t="str">
        <f t="shared" si="128"/>
        <v/>
      </c>
      <c r="ES16" s="506" t="str">
        <f t="shared" si="129"/>
        <v/>
      </c>
      <c r="ET16" s="506" t="str">
        <f t="shared" si="130"/>
        <v/>
      </c>
      <c r="EU16" s="506" t="str">
        <f t="shared" si="131"/>
        <v/>
      </c>
      <c r="EV16" s="506" t="str">
        <f t="shared" si="132"/>
        <v/>
      </c>
      <c r="EW16" s="516" t="str">
        <f t="shared" si="133"/>
        <v/>
      </c>
      <c r="EX16" s="516" t="str">
        <f t="shared" si="134"/>
        <v/>
      </c>
      <c r="EY16" s="516" t="str">
        <f t="shared" si="135"/>
        <v/>
      </c>
      <c r="EZ16" s="516" t="str">
        <f t="shared" si="136"/>
        <v/>
      </c>
      <c r="FA16" s="516" t="str">
        <f t="shared" si="137"/>
        <v/>
      </c>
      <c r="FB16" s="516" t="str">
        <f t="shared" si="138"/>
        <v/>
      </c>
      <c r="FC16" s="516" t="str">
        <f t="shared" si="139"/>
        <v/>
      </c>
      <c r="FD16" s="516" t="str">
        <f t="shared" si="140"/>
        <v/>
      </c>
      <c r="FE16" s="516" t="str">
        <f t="shared" si="141"/>
        <v/>
      </c>
      <c r="FF16" s="516" t="str">
        <f t="shared" si="142"/>
        <v/>
      </c>
      <c r="FG16" s="516" t="str">
        <f t="shared" si="143"/>
        <v/>
      </c>
      <c r="FH16" s="516" t="str">
        <f t="shared" si="144"/>
        <v/>
      </c>
      <c r="FI16" s="516" t="str">
        <f t="shared" si="145"/>
        <v/>
      </c>
      <c r="FJ16" s="516" t="str">
        <f t="shared" si="146"/>
        <v/>
      </c>
      <c r="FK16" s="516" t="str">
        <f t="shared" si="147"/>
        <v/>
      </c>
      <c r="FL16" s="516" t="str">
        <f t="shared" si="148"/>
        <v/>
      </c>
      <c r="FM16" s="516" t="str">
        <f t="shared" si="149"/>
        <v/>
      </c>
      <c r="FN16" s="516" t="str">
        <f t="shared" si="150"/>
        <v/>
      </c>
      <c r="FO16" s="516" t="str">
        <f t="shared" si="151"/>
        <v/>
      </c>
      <c r="FP16" s="516" t="str">
        <f t="shared" si="152"/>
        <v/>
      </c>
      <c r="FQ16" s="516" t="str">
        <f t="shared" si="153"/>
        <v/>
      </c>
      <c r="FR16" s="516" t="str">
        <f t="shared" si="154"/>
        <v/>
      </c>
      <c r="FS16" s="516" t="str">
        <f t="shared" si="155"/>
        <v/>
      </c>
      <c r="FT16" s="516" t="str">
        <f t="shared" si="156"/>
        <v/>
      </c>
      <c r="FU16" s="516" t="str">
        <f t="shared" si="157"/>
        <v/>
      </c>
      <c r="FV16" s="516" t="str">
        <f t="shared" si="158"/>
        <v/>
      </c>
      <c r="FW16" s="516" t="str">
        <f t="shared" si="159"/>
        <v/>
      </c>
      <c r="FX16" s="516" t="str">
        <f t="shared" si="160"/>
        <v/>
      </c>
      <c r="FY16" s="516" t="str">
        <f t="shared" si="161"/>
        <v/>
      </c>
      <c r="FZ16" s="516" t="str">
        <f t="shared" si="162"/>
        <v/>
      </c>
      <c r="GA16" s="516" t="str">
        <f t="shared" si="163"/>
        <v/>
      </c>
      <c r="GB16" s="516" t="str">
        <f t="shared" si="164"/>
        <v/>
      </c>
      <c r="GC16" s="516" t="str">
        <f t="shared" si="165"/>
        <v/>
      </c>
      <c r="GD16" s="516" t="str">
        <f t="shared" si="166"/>
        <v/>
      </c>
      <c r="GE16" s="516" t="str">
        <f t="shared" si="167"/>
        <v/>
      </c>
      <c r="GF16" s="516" t="str">
        <f t="shared" si="168"/>
        <v/>
      </c>
      <c r="GG16" s="516" t="str">
        <f t="shared" si="169"/>
        <v/>
      </c>
      <c r="GH16" s="516" t="str">
        <f t="shared" si="170"/>
        <v/>
      </c>
      <c r="GI16" s="516" t="str">
        <f t="shared" si="171"/>
        <v/>
      </c>
      <c r="GJ16" s="516" t="str">
        <f t="shared" si="172"/>
        <v/>
      </c>
      <c r="GK16" s="516" t="str">
        <f t="shared" si="173"/>
        <v/>
      </c>
      <c r="GL16" s="516" t="str">
        <f t="shared" si="174"/>
        <v/>
      </c>
      <c r="GM16" s="516" t="str">
        <f t="shared" si="175"/>
        <v/>
      </c>
      <c r="GN16" s="516" t="str">
        <f t="shared" si="176"/>
        <v/>
      </c>
      <c r="GO16" s="516" t="str">
        <f t="shared" si="177"/>
        <v/>
      </c>
      <c r="GP16" s="516" t="str">
        <f t="shared" si="178"/>
        <v/>
      </c>
      <c r="GQ16" s="516" t="str">
        <f t="shared" si="179"/>
        <v/>
      </c>
      <c r="GR16" s="516" t="str">
        <f t="shared" si="180"/>
        <v/>
      </c>
      <c r="GS16" s="516" t="str">
        <f t="shared" si="181"/>
        <v/>
      </c>
      <c r="GT16" s="516" t="str">
        <f t="shared" si="182"/>
        <v/>
      </c>
      <c r="GU16" s="516" t="str">
        <f t="shared" si="183"/>
        <v/>
      </c>
      <c r="GV16" s="516" t="str">
        <f t="shared" si="184"/>
        <v/>
      </c>
      <c r="GW16" s="516" t="str">
        <f t="shared" si="185"/>
        <v/>
      </c>
      <c r="GX16" s="516" t="str">
        <f t="shared" si="186"/>
        <v/>
      </c>
      <c r="GY16" s="516" t="str">
        <f t="shared" si="187"/>
        <v/>
      </c>
      <c r="GZ16" s="516" t="str">
        <f t="shared" si="188"/>
        <v/>
      </c>
      <c r="HA16" s="516" t="str">
        <f t="shared" si="189"/>
        <v/>
      </c>
      <c r="HB16" s="516" t="str">
        <f t="shared" si="190"/>
        <v/>
      </c>
      <c r="HC16" s="516" t="str">
        <f t="shared" si="191"/>
        <v/>
      </c>
      <c r="HD16" s="516" t="str">
        <f t="shared" si="192"/>
        <v/>
      </c>
      <c r="HE16" s="516" t="str">
        <f t="shared" si="193"/>
        <v/>
      </c>
      <c r="HF16" s="516" t="str">
        <f t="shared" si="194"/>
        <v/>
      </c>
      <c r="HG16" s="516" t="str">
        <f t="shared" si="195"/>
        <v/>
      </c>
      <c r="HH16" s="516" t="str">
        <f t="shared" si="196"/>
        <v/>
      </c>
      <c r="HI16" s="516" t="str">
        <f t="shared" si="197"/>
        <v/>
      </c>
      <c r="HJ16" s="516" t="str">
        <f t="shared" si="198"/>
        <v/>
      </c>
      <c r="HK16" s="516" t="str">
        <f t="shared" si="199"/>
        <v/>
      </c>
      <c r="HL16" s="516" t="str">
        <f t="shared" si="200"/>
        <v/>
      </c>
      <c r="HM16" s="516" t="str">
        <f t="shared" si="201"/>
        <v/>
      </c>
      <c r="HN16" s="516" t="str">
        <f t="shared" si="202"/>
        <v/>
      </c>
      <c r="HO16" s="516" t="str">
        <f t="shared" si="203"/>
        <v/>
      </c>
      <c r="HP16" s="516" t="str">
        <f t="shared" si="204"/>
        <v/>
      </c>
      <c r="HQ16" s="516" t="str">
        <f t="shared" si="205"/>
        <v/>
      </c>
      <c r="HR16" s="516" t="str">
        <f t="shared" si="206"/>
        <v/>
      </c>
      <c r="HS16" s="516" t="str">
        <f t="shared" si="207"/>
        <v/>
      </c>
      <c r="HT16" s="516" t="str">
        <f t="shared" si="208"/>
        <v/>
      </c>
      <c r="HU16" s="516" t="str">
        <f t="shared" si="209"/>
        <v/>
      </c>
      <c r="HV16" s="516" t="str">
        <f t="shared" si="210"/>
        <v/>
      </c>
      <c r="HW16" s="516" t="str">
        <f t="shared" si="211"/>
        <v/>
      </c>
      <c r="HX16" s="516" t="str">
        <f t="shared" si="212"/>
        <v/>
      </c>
      <c r="HY16" s="516" t="str">
        <f t="shared" si="213"/>
        <v/>
      </c>
      <c r="HZ16" s="516" t="str">
        <f t="shared" si="214"/>
        <v/>
      </c>
      <c r="IA16" s="516" t="str">
        <f t="shared" si="215"/>
        <v/>
      </c>
      <c r="IB16" s="516" t="str">
        <f t="shared" si="216"/>
        <v/>
      </c>
      <c r="IC16" s="516" t="str">
        <f t="shared" si="217"/>
        <v/>
      </c>
      <c r="ID16" s="517" t="str">
        <f t="shared" si="218"/>
        <v/>
      </c>
      <c r="IE16" s="517" t="str">
        <f t="shared" si="219"/>
        <v/>
      </c>
      <c r="IF16" s="517" t="str">
        <f t="shared" si="220"/>
        <v/>
      </c>
      <c r="IG16" s="517" t="str">
        <f t="shared" si="221"/>
        <v/>
      </c>
      <c r="IH16" s="517" t="str">
        <f t="shared" si="222"/>
        <v/>
      </c>
      <c r="II16" s="506" t="str">
        <f t="shared" si="223"/>
        <v/>
      </c>
      <c r="IJ16" s="506" t="str">
        <f t="shared" si="224"/>
        <v/>
      </c>
      <c r="IK16" s="506" t="str">
        <f t="shared" si="225"/>
        <v/>
      </c>
      <c r="IL16" s="506" t="str">
        <f t="shared" si="226"/>
        <v/>
      </c>
      <c r="IM16" s="506" t="str">
        <f t="shared" si="227"/>
        <v/>
      </c>
      <c r="IN16" s="506" t="str">
        <f t="shared" si="228"/>
        <v/>
      </c>
      <c r="IO16" s="506" t="str">
        <f t="shared" si="229"/>
        <v/>
      </c>
      <c r="IP16" s="506" t="str">
        <f t="shared" si="230"/>
        <v/>
      </c>
      <c r="IQ16" s="506" t="str">
        <f t="shared" si="231"/>
        <v/>
      </c>
      <c r="IR16" s="506" t="str">
        <f t="shared" si="232"/>
        <v/>
      </c>
      <c r="IS16" s="506" t="str">
        <f t="shared" si="233"/>
        <v/>
      </c>
      <c r="IT16" s="506" t="str">
        <f t="shared" si="234"/>
        <v/>
      </c>
      <c r="IU16" s="506" t="str">
        <f t="shared" si="235"/>
        <v/>
      </c>
      <c r="IV16" s="506" t="str">
        <f t="shared" si="236"/>
        <v/>
      </c>
      <c r="IW16" s="506" t="str">
        <f t="shared" si="237"/>
        <v/>
      </c>
      <c r="IX16" s="506" t="str">
        <f t="shared" si="238"/>
        <v/>
      </c>
      <c r="IY16" s="506" t="str">
        <f t="shared" si="239"/>
        <v/>
      </c>
      <c r="IZ16" s="506" t="str">
        <f t="shared" si="240"/>
        <v/>
      </c>
      <c r="JA16" s="506" t="str">
        <f t="shared" si="241"/>
        <v/>
      </c>
      <c r="JB16" s="506" t="str">
        <f t="shared" si="242"/>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24" t="s">
        <v>1858</v>
      </c>
      <c r="C17" s="2525"/>
      <c r="D17" s="2526"/>
      <c r="E17" s="2527"/>
      <c r="F17" s="2527"/>
      <c r="G17" s="2527"/>
      <c r="H17" s="2527"/>
      <c r="I17" s="2527"/>
      <c r="J17" s="2528"/>
      <c r="K17" s="825">
        <f t="shared" si="1"/>
        <v>0</v>
      </c>
      <c r="L17" s="825">
        <f t="shared" si="2"/>
        <v>0</v>
      </c>
      <c r="M17" s="1301"/>
      <c r="N17" s="1301"/>
      <c r="O17" s="1301"/>
      <c r="P17" s="2529"/>
      <c r="Q17" s="2530" t="str">
        <f t="shared" si="243"/>
        <v/>
      </c>
      <c r="R17" s="2531" t="str">
        <f>IF(H17="","",IF(C17="Efficiency",Q17/($O$6*VLOOKUP(0,'DCA Underwriting Assumptions'!$J$118:$K$123,2,FALSE)),Q17/($O$6*VLOOKUP(C17,'DCA Underwriting Assumptions'!$J$118:$K$123,2,FALSE))))</f>
        <v/>
      </c>
      <c r="S17" s="2532"/>
      <c r="T17" s="2531"/>
      <c r="U17" s="2533"/>
      <c r="V17" s="2458"/>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53"/>
        <v/>
      </c>
      <c r="BV17" s="506" t="str">
        <f t="shared" si="54"/>
        <v/>
      </c>
      <c r="BW17" s="506" t="str">
        <f t="shared" si="55"/>
        <v/>
      </c>
      <c r="BX17" s="506" t="str">
        <f t="shared" si="56"/>
        <v/>
      </c>
      <c r="BY17" s="506" t="str">
        <f t="shared" si="57"/>
        <v/>
      </c>
      <c r="BZ17" s="506" t="str">
        <f t="shared" si="58"/>
        <v/>
      </c>
      <c r="CA17" s="506" t="str">
        <f t="shared" si="59"/>
        <v/>
      </c>
      <c r="CB17" s="506" t="str">
        <f t="shared" si="60"/>
        <v/>
      </c>
      <c r="CC17" s="506" t="str">
        <f t="shared" si="61"/>
        <v/>
      </c>
      <c r="CD17" s="506" t="str">
        <f t="shared" si="62"/>
        <v/>
      </c>
      <c r="CE17" s="506" t="str">
        <f t="shared" si="63"/>
        <v/>
      </c>
      <c r="CF17" s="506" t="str">
        <f t="shared" si="64"/>
        <v/>
      </c>
      <c r="CG17" s="506" t="str">
        <f t="shared" si="65"/>
        <v/>
      </c>
      <c r="CH17" s="506" t="str">
        <f t="shared" si="66"/>
        <v/>
      </c>
      <c r="CI17" s="506" t="str">
        <f t="shared" si="67"/>
        <v/>
      </c>
      <c r="CJ17" s="506" t="str">
        <f t="shared" si="68"/>
        <v/>
      </c>
      <c r="CK17" s="506" t="str">
        <f t="shared" si="69"/>
        <v/>
      </c>
      <c r="CL17" s="506" t="str">
        <f t="shared" si="70"/>
        <v/>
      </c>
      <c r="CM17" s="506" t="str">
        <f t="shared" si="71"/>
        <v/>
      </c>
      <c r="CN17" s="506" t="str">
        <f t="shared" si="72"/>
        <v/>
      </c>
      <c r="CO17" s="506" t="str">
        <f t="shared" si="73"/>
        <v/>
      </c>
      <c r="CP17" s="506" t="str">
        <f t="shared" si="74"/>
        <v/>
      </c>
      <c r="CQ17" s="506" t="str">
        <f t="shared" si="75"/>
        <v/>
      </c>
      <c r="CR17" s="506" t="str">
        <f t="shared" si="76"/>
        <v/>
      </c>
      <c r="CS17" s="506" t="str">
        <f t="shared" si="77"/>
        <v/>
      </c>
      <c r="CT17" s="506" t="str">
        <f t="shared" si="78"/>
        <v/>
      </c>
      <c r="CU17" s="506" t="str">
        <f t="shared" si="79"/>
        <v/>
      </c>
      <c r="CV17" s="506" t="str">
        <f t="shared" si="80"/>
        <v/>
      </c>
      <c r="CW17" s="506" t="str">
        <f t="shared" si="81"/>
        <v/>
      </c>
      <c r="CX17" s="506" t="str">
        <f t="shared" si="82"/>
        <v/>
      </c>
      <c r="CY17" s="506" t="str">
        <f t="shared" si="83"/>
        <v/>
      </c>
      <c r="CZ17" s="506" t="str">
        <f t="shared" si="84"/>
        <v/>
      </c>
      <c r="DA17" s="506" t="str">
        <f t="shared" si="85"/>
        <v/>
      </c>
      <c r="DB17" s="506" t="str">
        <f t="shared" si="86"/>
        <v/>
      </c>
      <c r="DC17" s="506" t="str">
        <f t="shared" si="87"/>
        <v/>
      </c>
      <c r="DD17" s="506" t="str">
        <f t="shared" si="88"/>
        <v/>
      </c>
      <c r="DE17" s="506" t="str">
        <f t="shared" si="89"/>
        <v/>
      </c>
      <c r="DF17" s="506" t="str">
        <f t="shared" si="90"/>
        <v/>
      </c>
      <c r="DG17" s="506" t="str">
        <f t="shared" si="91"/>
        <v/>
      </c>
      <c r="DH17" s="506" t="str">
        <f t="shared" si="92"/>
        <v/>
      </c>
      <c r="DI17" s="506" t="str">
        <f t="shared" si="93"/>
        <v/>
      </c>
      <c r="DJ17" s="506" t="str">
        <f t="shared" si="94"/>
        <v/>
      </c>
      <c r="DK17" s="506" t="str">
        <f t="shared" si="95"/>
        <v/>
      </c>
      <c r="DL17" s="506" t="str">
        <f t="shared" si="96"/>
        <v/>
      </c>
      <c r="DM17" s="506" t="str">
        <f t="shared" si="97"/>
        <v/>
      </c>
      <c r="DN17" s="506" t="str">
        <f t="shared" si="98"/>
        <v/>
      </c>
      <c r="DO17" s="506" t="str">
        <f t="shared" si="99"/>
        <v/>
      </c>
      <c r="DP17" s="506" t="str">
        <f t="shared" si="100"/>
        <v/>
      </c>
      <c r="DQ17" s="506" t="str">
        <f t="shared" si="101"/>
        <v/>
      </c>
      <c r="DR17" s="506" t="str">
        <f t="shared" si="102"/>
        <v/>
      </c>
      <c r="DS17" s="506" t="str">
        <f t="shared" si="103"/>
        <v/>
      </c>
      <c r="DT17" s="506" t="str">
        <f t="shared" si="104"/>
        <v/>
      </c>
      <c r="DU17" s="506" t="str">
        <f t="shared" si="105"/>
        <v/>
      </c>
      <c r="DV17" s="506" t="str">
        <f t="shared" si="106"/>
        <v/>
      </c>
      <c r="DW17" s="506" t="str">
        <f t="shared" si="107"/>
        <v/>
      </c>
      <c r="DX17" s="506" t="str">
        <f t="shared" si="108"/>
        <v/>
      </c>
      <c r="DY17" s="506" t="str">
        <f t="shared" si="109"/>
        <v/>
      </c>
      <c r="DZ17" s="506" t="str">
        <f t="shared" si="110"/>
        <v/>
      </c>
      <c r="EA17" s="506" t="str">
        <f t="shared" si="111"/>
        <v/>
      </c>
      <c r="EB17" s="506" t="str">
        <f t="shared" si="112"/>
        <v/>
      </c>
      <c r="EC17" s="506" t="str">
        <f t="shared" si="113"/>
        <v/>
      </c>
      <c r="ED17" s="506" t="str">
        <f t="shared" si="114"/>
        <v/>
      </c>
      <c r="EE17" s="506" t="str">
        <f t="shared" si="115"/>
        <v/>
      </c>
      <c r="EF17" s="506" t="str">
        <f t="shared" si="116"/>
        <v/>
      </c>
      <c r="EG17" s="506" t="str">
        <f t="shared" si="117"/>
        <v/>
      </c>
      <c r="EH17" s="506" t="str">
        <f t="shared" si="118"/>
        <v/>
      </c>
      <c r="EI17" s="506" t="str">
        <f t="shared" si="119"/>
        <v/>
      </c>
      <c r="EJ17" s="506" t="str">
        <f t="shared" si="120"/>
        <v/>
      </c>
      <c r="EK17" s="506" t="str">
        <f t="shared" si="121"/>
        <v/>
      </c>
      <c r="EL17" s="506" t="str">
        <f t="shared" si="122"/>
        <v/>
      </c>
      <c r="EM17" s="506" t="str">
        <f t="shared" si="123"/>
        <v/>
      </c>
      <c r="EN17" s="506" t="str">
        <f t="shared" si="124"/>
        <v/>
      </c>
      <c r="EO17" s="506" t="str">
        <f t="shared" si="125"/>
        <v/>
      </c>
      <c r="EP17" s="506" t="str">
        <f t="shared" si="126"/>
        <v/>
      </c>
      <c r="EQ17" s="506" t="str">
        <f t="shared" si="127"/>
        <v/>
      </c>
      <c r="ER17" s="506" t="str">
        <f t="shared" si="128"/>
        <v/>
      </c>
      <c r="ES17" s="506" t="str">
        <f t="shared" si="129"/>
        <v/>
      </c>
      <c r="ET17" s="506" t="str">
        <f t="shared" si="130"/>
        <v/>
      </c>
      <c r="EU17" s="506" t="str">
        <f t="shared" si="131"/>
        <v/>
      </c>
      <c r="EV17" s="506" t="str">
        <f t="shared" si="132"/>
        <v/>
      </c>
      <c r="EW17" s="516" t="str">
        <f t="shared" si="133"/>
        <v/>
      </c>
      <c r="EX17" s="516" t="str">
        <f t="shared" si="134"/>
        <v/>
      </c>
      <c r="EY17" s="516" t="str">
        <f t="shared" si="135"/>
        <v/>
      </c>
      <c r="EZ17" s="516" t="str">
        <f t="shared" si="136"/>
        <v/>
      </c>
      <c r="FA17" s="516" t="str">
        <f t="shared" si="137"/>
        <v/>
      </c>
      <c r="FB17" s="516" t="str">
        <f t="shared" si="138"/>
        <v/>
      </c>
      <c r="FC17" s="516" t="str">
        <f t="shared" si="139"/>
        <v/>
      </c>
      <c r="FD17" s="516" t="str">
        <f t="shared" si="140"/>
        <v/>
      </c>
      <c r="FE17" s="516" t="str">
        <f t="shared" si="141"/>
        <v/>
      </c>
      <c r="FF17" s="516" t="str">
        <f t="shared" si="142"/>
        <v/>
      </c>
      <c r="FG17" s="516" t="str">
        <f t="shared" si="143"/>
        <v/>
      </c>
      <c r="FH17" s="516" t="str">
        <f t="shared" si="144"/>
        <v/>
      </c>
      <c r="FI17" s="516" t="str">
        <f t="shared" si="145"/>
        <v/>
      </c>
      <c r="FJ17" s="516" t="str">
        <f t="shared" si="146"/>
        <v/>
      </c>
      <c r="FK17" s="516" t="str">
        <f t="shared" si="147"/>
        <v/>
      </c>
      <c r="FL17" s="516" t="str">
        <f t="shared" si="148"/>
        <v/>
      </c>
      <c r="FM17" s="516" t="str">
        <f t="shared" si="149"/>
        <v/>
      </c>
      <c r="FN17" s="516" t="str">
        <f t="shared" si="150"/>
        <v/>
      </c>
      <c r="FO17" s="516" t="str">
        <f t="shared" si="151"/>
        <v/>
      </c>
      <c r="FP17" s="516" t="str">
        <f t="shared" si="152"/>
        <v/>
      </c>
      <c r="FQ17" s="516" t="str">
        <f t="shared" si="153"/>
        <v/>
      </c>
      <c r="FR17" s="516" t="str">
        <f t="shared" si="154"/>
        <v/>
      </c>
      <c r="FS17" s="516" t="str">
        <f t="shared" si="155"/>
        <v/>
      </c>
      <c r="FT17" s="516" t="str">
        <f t="shared" si="156"/>
        <v/>
      </c>
      <c r="FU17" s="516" t="str">
        <f t="shared" si="157"/>
        <v/>
      </c>
      <c r="FV17" s="516" t="str">
        <f t="shared" si="158"/>
        <v/>
      </c>
      <c r="FW17" s="516" t="str">
        <f t="shared" si="159"/>
        <v/>
      </c>
      <c r="FX17" s="516" t="str">
        <f t="shared" si="160"/>
        <v/>
      </c>
      <c r="FY17" s="516" t="str">
        <f t="shared" si="161"/>
        <v/>
      </c>
      <c r="FZ17" s="516" t="str">
        <f t="shared" si="162"/>
        <v/>
      </c>
      <c r="GA17" s="516" t="str">
        <f t="shared" si="163"/>
        <v/>
      </c>
      <c r="GB17" s="516" t="str">
        <f t="shared" si="164"/>
        <v/>
      </c>
      <c r="GC17" s="516" t="str">
        <f t="shared" si="165"/>
        <v/>
      </c>
      <c r="GD17" s="516" t="str">
        <f t="shared" si="166"/>
        <v/>
      </c>
      <c r="GE17" s="516" t="str">
        <f t="shared" si="167"/>
        <v/>
      </c>
      <c r="GF17" s="516" t="str">
        <f t="shared" si="168"/>
        <v/>
      </c>
      <c r="GG17" s="516" t="str">
        <f t="shared" si="169"/>
        <v/>
      </c>
      <c r="GH17" s="516" t="str">
        <f t="shared" si="170"/>
        <v/>
      </c>
      <c r="GI17" s="516" t="str">
        <f t="shared" si="171"/>
        <v/>
      </c>
      <c r="GJ17" s="516" t="str">
        <f t="shared" si="172"/>
        <v/>
      </c>
      <c r="GK17" s="516" t="str">
        <f t="shared" si="173"/>
        <v/>
      </c>
      <c r="GL17" s="516" t="str">
        <f t="shared" si="174"/>
        <v/>
      </c>
      <c r="GM17" s="516" t="str">
        <f t="shared" si="175"/>
        <v/>
      </c>
      <c r="GN17" s="516" t="str">
        <f t="shared" si="176"/>
        <v/>
      </c>
      <c r="GO17" s="516" t="str">
        <f t="shared" si="177"/>
        <v/>
      </c>
      <c r="GP17" s="516" t="str">
        <f t="shared" si="178"/>
        <v/>
      </c>
      <c r="GQ17" s="516" t="str">
        <f t="shared" si="179"/>
        <v/>
      </c>
      <c r="GR17" s="516" t="str">
        <f t="shared" si="180"/>
        <v/>
      </c>
      <c r="GS17" s="516" t="str">
        <f t="shared" si="181"/>
        <v/>
      </c>
      <c r="GT17" s="516" t="str">
        <f t="shared" si="182"/>
        <v/>
      </c>
      <c r="GU17" s="516" t="str">
        <f t="shared" si="183"/>
        <v/>
      </c>
      <c r="GV17" s="516" t="str">
        <f t="shared" si="184"/>
        <v/>
      </c>
      <c r="GW17" s="516" t="str">
        <f t="shared" si="185"/>
        <v/>
      </c>
      <c r="GX17" s="516" t="str">
        <f t="shared" si="186"/>
        <v/>
      </c>
      <c r="GY17" s="516" t="str">
        <f t="shared" si="187"/>
        <v/>
      </c>
      <c r="GZ17" s="516" t="str">
        <f t="shared" si="188"/>
        <v/>
      </c>
      <c r="HA17" s="516" t="str">
        <f t="shared" si="189"/>
        <v/>
      </c>
      <c r="HB17" s="516" t="str">
        <f t="shared" si="190"/>
        <v/>
      </c>
      <c r="HC17" s="516" t="str">
        <f t="shared" si="191"/>
        <v/>
      </c>
      <c r="HD17" s="516" t="str">
        <f t="shared" si="192"/>
        <v/>
      </c>
      <c r="HE17" s="516" t="str">
        <f t="shared" si="193"/>
        <v/>
      </c>
      <c r="HF17" s="516" t="str">
        <f t="shared" si="194"/>
        <v/>
      </c>
      <c r="HG17" s="516" t="str">
        <f t="shared" si="195"/>
        <v/>
      </c>
      <c r="HH17" s="516" t="str">
        <f t="shared" si="196"/>
        <v/>
      </c>
      <c r="HI17" s="516" t="str">
        <f t="shared" si="197"/>
        <v/>
      </c>
      <c r="HJ17" s="516" t="str">
        <f t="shared" si="198"/>
        <v/>
      </c>
      <c r="HK17" s="516" t="str">
        <f t="shared" si="199"/>
        <v/>
      </c>
      <c r="HL17" s="516" t="str">
        <f t="shared" si="200"/>
        <v/>
      </c>
      <c r="HM17" s="516" t="str">
        <f t="shared" si="201"/>
        <v/>
      </c>
      <c r="HN17" s="516" t="str">
        <f t="shared" si="202"/>
        <v/>
      </c>
      <c r="HO17" s="516" t="str">
        <f t="shared" si="203"/>
        <v/>
      </c>
      <c r="HP17" s="516" t="str">
        <f t="shared" si="204"/>
        <v/>
      </c>
      <c r="HQ17" s="516" t="str">
        <f t="shared" si="205"/>
        <v/>
      </c>
      <c r="HR17" s="516" t="str">
        <f t="shared" si="206"/>
        <v/>
      </c>
      <c r="HS17" s="516" t="str">
        <f t="shared" si="207"/>
        <v/>
      </c>
      <c r="HT17" s="516" t="str">
        <f t="shared" si="208"/>
        <v/>
      </c>
      <c r="HU17" s="516" t="str">
        <f t="shared" si="209"/>
        <v/>
      </c>
      <c r="HV17" s="516" t="str">
        <f t="shared" si="210"/>
        <v/>
      </c>
      <c r="HW17" s="516" t="str">
        <f t="shared" si="211"/>
        <v/>
      </c>
      <c r="HX17" s="516" t="str">
        <f t="shared" si="212"/>
        <v/>
      </c>
      <c r="HY17" s="516" t="str">
        <f t="shared" si="213"/>
        <v/>
      </c>
      <c r="HZ17" s="516" t="str">
        <f t="shared" si="214"/>
        <v/>
      </c>
      <c r="IA17" s="516" t="str">
        <f t="shared" si="215"/>
        <v/>
      </c>
      <c r="IB17" s="516" t="str">
        <f t="shared" si="216"/>
        <v/>
      </c>
      <c r="IC17" s="516" t="str">
        <f t="shared" si="217"/>
        <v/>
      </c>
      <c r="ID17" s="517" t="str">
        <f t="shared" si="218"/>
        <v/>
      </c>
      <c r="IE17" s="517" t="str">
        <f t="shared" si="219"/>
        <v/>
      </c>
      <c r="IF17" s="517" t="str">
        <f t="shared" si="220"/>
        <v/>
      </c>
      <c r="IG17" s="517" t="str">
        <f t="shared" si="221"/>
        <v/>
      </c>
      <c r="IH17" s="517" t="str">
        <f t="shared" si="222"/>
        <v/>
      </c>
      <c r="II17" s="506" t="str">
        <f t="shared" si="223"/>
        <v/>
      </c>
      <c r="IJ17" s="506" t="str">
        <f t="shared" si="224"/>
        <v/>
      </c>
      <c r="IK17" s="506" t="str">
        <f t="shared" si="225"/>
        <v/>
      </c>
      <c r="IL17" s="506" t="str">
        <f t="shared" si="226"/>
        <v/>
      </c>
      <c r="IM17" s="506" t="str">
        <f t="shared" si="227"/>
        <v/>
      </c>
      <c r="IN17" s="506" t="str">
        <f t="shared" si="228"/>
        <v/>
      </c>
      <c r="IO17" s="506" t="str">
        <f t="shared" si="229"/>
        <v/>
      </c>
      <c r="IP17" s="506" t="str">
        <f t="shared" si="230"/>
        <v/>
      </c>
      <c r="IQ17" s="506" t="str">
        <f t="shared" si="231"/>
        <v/>
      </c>
      <c r="IR17" s="506" t="str">
        <f t="shared" si="232"/>
        <v/>
      </c>
      <c r="IS17" s="506" t="str">
        <f t="shared" si="233"/>
        <v/>
      </c>
      <c r="IT17" s="506" t="str">
        <f t="shared" si="234"/>
        <v/>
      </c>
      <c r="IU17" s="506" t="str">
        <f t="shared" si="235"/>
        <v/>
      </c>
      <c r="IV17" s="506" t="str">
        <f t="shared" si="236"/>
        <v/>
      </c>
      <c r="IW17" s="506" t="str">
        <f t="shared" si="237"/>
        <v/>
      </c>
      <c r="IX17" s="506" t="str">
        <f t="shared" si="238"/>
        <v/>
      </c>
      <c r="IY17" s="506" t="str">
        <f t="shared" si="239"/>
        <v/>
      </c>
      <c r="IZ17" s="506" t="str">
        <f t="shared" si="240"/>
        <v/>
      </c>
      <c r="JA17" s="506" t="str">
        <f t="shared" si="241"/>
        <v/>
      </c>
      <c r="JB17" s="506" t="str">
        <f t="shared" si="242"/>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24" t="s">
        <v>1858</v>
      </c>
      <c r="C18" s="2525"/>
      <c r="D18" s="2526"/>
      <c r="E18" s="2527"/>
      <c r="F18" s="2527"/>
      <c r="G18" s="2527"/>
      <c r="H18" s="2527"/>
      <c r="I18" s="2527"/>
      <c r="J18" s="2528"/>
      <c r="K18" s="825">
        <f t="shared" si="1"/>
        <v>0</v>
      </c>
      <c r="L18" s="825">
        <f t="shared" si="2"/>
        <v>0</v>
      </c>
      <c r="M18" s="1301"/>
      <c r="N18" s="1301"/>
      <c r="O18" s="1301"/>
      <c r="P18" s="2529"/>
      <c r="Q18" s="2530" t="str">
        <f t="shared" si="243"/>
        <v/>
      </c>
      <c r="R18" s="2531" t="str">
        <f>IF(H18="","",IF(C18="Efficiency",Q18/($O$6*VLOOKUP(0,'DCA Underwriting Assumptions'!$J$118:$K$123,2,FALSE)),Q18/($O$6*VLOOKUP(C18,'DCA Underwriting Assumptions'!$J$118:$K$123,2,FALSE))))</f>
        <v/>
      </c>
      <c r="S18" s="2532"/>
      <c r="T18" s="2531"/>
      <c r="U18" s="2533"/>
      <c r="V18" s="2458"/>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53"/>
        <v/>
      </c>
      <c r="BV18" s="506" t="str">
        <f t="shared" si="54"/>
        <v/>
      </c>
      <c r="BW18" s="506" t="str">
        <f t="shared" si="55"/>
        <v/>
      </c>
      <c r="BX18" s="506" t="str">
        <f t="shared" si="56"/>
        <v/>
      </c>
      <c r="BY18" s="506" t="str">
        <f t="shared" si="57"/>
        <v/>
      </c>
      <c r="BZ18" s="506" t="str">
        <f t="shared" si="58"/>
        <v/>
      </c>
      <c r="CA18" s="506" t="str">
        <f t="shared" si="59"/>
        <v/>
      </c>
      <c r="CB18" s="506" t="str">
        <f t="shared" si="60"/>
        <v/>
      </c>
      <c r="CC18" s="506" t="str">
        <f t="shared" si="61"/>
        <v/>
      </c>
      <c r="CD18" s="506" t="str">
        <f t="shared" si="62"/>
        <v/>
      </c>
      <c r="CE18" s="506" t="str">
        <f t="shared" si="63"/>
        <v/>
      </c>
      <c r="CF18" s="506" t="str">
        <f t="shared" si="64"/>
        <v/>
      </c>
      <c r="CG18" s="506" t="str">
        <f t="shared" si="65"/>
        <v/>
      </c>
      <c r="CH18" s="506" t="str">
        <f t="shared" si="66"/>
        <v/>
      </c>
      <c r="CI18" s="506" t="str">
        <f t="shared" si="67"/>
        <v/>
      </c>
      <c r="CJ18" s="506" t="str">
        <f t="shared" si="68"/>
        <v/>
      </c>
      <c r="CK18" s="506" t="str">
        <f t="shared" si="69"/>
        <v/>
      </c>
      <c r="CL18" s="506" t="str">
        <f t="shared" si="70"/>
        <v/>
      </c>
      <c r="CM18" s="506" t="str">
        <f t="shared" si="71"/>
        <v/>
      </c>
      <c r="CN18" s="506" t="str">
        <f t="shared" si="72"/>
        <v/>
      </c>
      <c r="CO18" s="506" t="str">
        <f t="shared" si="73"/>
        <v/>
      </c>
      <c r="CP18" s="506" t="str">
        <f t="shared" si="74"/>
        <v/>
      </c>
      <c r="CQ18" s="506" t="str">
        <f t="shared" si="75"/>
        <v/>
      </c>
      <c r="CR18" s="506" t="str">
        <f t="shared" si="76"/>
        <v/>
      </c>
      <c r="CS18" s="506" t="str">
        <f t="shared" si="77"/>
        <v/>
      </c>
      <c r="CT18" s="506" t="str">
        <f t="shared" si="78"/>
        <v/>
      </c>
      <c r="CU18" s="506" t="str">
        <f t="shared" si="79"/>
        <v/>
      </c>
      <c r="CV18" s="506" t="str">
        <f t="shared" si="80"/>
        <v/>
      </c>
      <c r="CW18" s="506" t="str">
        <f t="shared" si="81"/>
        <v/>
      </c>
      <c r="CX18" s="506" t="str">
        <f t="shared" si="82"/>
        <v/>
      </c>
      <c r="CY18" s="506" t="str">
        <f t="shared" si="83"/>
        <v/>
      </c>
      <c r="CZ18" s="506" t="str">
        <f t="shared" si="84"/>
        <v/>
      </c>
      <c r="DA18" s="506" t="str">
        <f t="shared" si="85"/>
        <v/>
      </c>
      <c r="DB18" s="506" t="str">
        <f t="shared" si="86"/>
        <v/>
      </c>
      <c r="DC18" s="506" t="str">
        <f t="shared" si="87"/>
        <v/>
      </c>
      <c r="DD18" s="506" t="str">
        <f t="shared" si="88"/>
        <v/>
      </c>
      <c r="DE18" s="506" t="str">
        <f t="shared" si="89"/>
        <v/>
      </c>
      <c r="DF18" s="506" t="str">
        <f t="shared" si="90"/>
        <v/>
      </c>
      <c r="DG18" s="506" t="str">
        <f t="shared" si="91"/>
        <v/>
      </c>
      <c r="DH18" s="506" t="str">
        <f t="shared" si="92"/>
        <v/>
      </c>
      <c r="DI18" s="506" t="str">
        <f t="shared" si="93"/>
        <v/>
      </c>
      <c r="DJ18" s="506" t="str">
        <f t="shared" si="94"/>
        <v/>
      </c>
      <c r="DK18" s="506" t="str">
        <f t="shared" si="95"/>
        <v/>
      </c>
      <c r="DL18" s="506" t="str">
        <f t="shared" si="96"/>
        <v/>
      </c>
      <c r="DM18" s="506" t="str">
        <f t="shared" si="97"/>
        <v/>
      </c>
      <c r="DN18" s="506" t="str">
        <f t="shared" si="98"/>
        <v/>
      </c>
      <c r="DO18" s="506" t="str">
        <f t="shared" si="99"/>
        <v/>
      </c>
      <c r="DP18" s="506" t="str">
        <f t="shared" si="100"/>
        <v/>
      </c>
      <c r="DQ18" s="506" t="str">
        <f t="shared" si="101"/>
        <v/>
      </c>
      <c r="DR18" s="506" t="str">
        <f t="shared" si="102"/>
        <v/>
      </c>
      <c r="DS18" s="506" t="str">
        <f t="shared" si="103"/>
        <v/>
      </c>
      <c r="DT18" s="506" t="str">
        <f t="shared" si="104"/>
        <v/>
      </c>
      <c r="DU18" s="506" t="str">
        <f t="shared" si="105"/>
        <v/>
      </c>
      <c r="DV18" s="506" t="str">
        <f t="shared" si="106"/>
        <v/>
      </c>
      <c r="DW18" s="506" t="str">
        <f t="shared" si="107"/>
        <v/>
      </c>
      <c r="DX18" s="506" t="str">
        <f t="shared" si="108"/>
        <v/>
      </c>
      <c r="DY18" s="506" t="str">
        <f t="shared" si="109"/>
        <v/>
      </c>
      <c r="DZ18" s="506" t="str">
        <f t="shared" si="110"/>
        <v/>
      </c>
      <c r="EA18" s="506" t="str">
        <f t="shared" si="111"/>
        <v/>
      </c>
      <c r="EB18" s="506" t="str">
        <f t="shared" si="112"/>
        <v/>
      </c>
      <c r="EC18" s="506" t="str">
        <f t="shared" si="113"/>
        <v/>
      </c>
      <c r="ED18" s="506" t="str">
        <f t="shared" si="114"/>
        <v/>
      </c>
      <c r="EE18" s="506" t="str">
        <f t="shared" si="115"/>
        <v/>
      </c>
      <c r="EF18" s="506" t="str">
        <f t="shared" si="116"/>
        <v/>
      </c>
      <c r="EG18" s="506" t="str">
        <f t="shared" si="117"/>
        <v/>
      </c>
      <c r="EH18" s="506" t="str">
        <f t="shared" si="118"/>
        <v/>
      </c>
      <c r="EI18" s="506" t="str">
        <f t="shared" si="119"/>
        <v/>
      </c>
      <c r="EJ18" s="506" t="str">
        <f t="shared" si="120"/>
        <v/>
      </c>
      <c r="EK18" s="506" t="str">
        <f t="shared" si="121"/>
        <v/>
      </c>
      <c r="EL18" s="506" t="str">
        <f t="shared" si="122"/>
        <v/>
      </c>
      <c r="EM18" s="506" t="str">
        <f t="shared" si="123"/>
        <v/>
      </c>
      <c r="EN18" s="506" t="str">
        <f t="shared" si="124"/>
        <v/>
      </c>
      <c r="EO18" s="506" t="str">
        <f t="shared" si="125"/>
        <v/>
      </c>
      <c r="EP18" s="506" t="str">
        <f t="shared" si="126"/>
        <v/>
      </c>
      <c r="EQ18" s="506" t="str">
        <f t="shared" si="127"/>
        <v/>
      </c>
      <c r="ER18" s="506" t="str">
        <f t="shared" si="128"/>
        <v/>
      </c>
      <c r="ES18" s="506" t="str">
        <f t="shared" si="129"/>
        <v/>
      </c>
      <c r="ET18" s="506" t="str">
        <f t="shared" si="130"/>
        <v/>
      </c>
      <c r="EU18" s="506" t="str">
        <f t="shared" si="131"/>
        <v/>
      </c>
      <c r="EV18" s="506" t="str">
        <f t="shared" si="132"/>
        <v/>
      </c>
      <c r="EW18" s="516" t="str">
        <f t="shared" si="133"/>
        <v/>
      </c>
      <c r="EX18" s="516" t="str">
        <f t="shared" si="134"/>
        <v/>
      </c>
      <c r="EY18" s="516" t="str">
        <f t="shared" si="135"/>
        <v/>
      </c>
      <c r="EZ18" s="516" t="str">
        <f t="shared" si="136"/>
        <v/>
      </c>
      <c r="FA18" s="516" t="str">
        <f t="shared" si="137"/>
        <v/>
      </c>
      <c r="FB18" s="516" t="str">
        <f t="shared" si="138"/>
        <v/>
      </c>
      <c r="FC18" s="516" t="str">
        <f t="shared" si="139"/>
        <v/>
      </c>
      <c r="FD18" s="516" t="str">
        <f t="shared" si="140"/>
        <v/>
      </c>
      <c r="FE18" s="516" t="str">
        <f t="shared" si="141"/>
        <v/>
      </c>
      <c r="FF18" s="516" t="str">
        <f t="shared" si="142"/>
        <v/>
      </c>
      <c r="FG18" s="516" t="str">
        <f t="shared" si="143"/>
        <v/>
      </c>
      <c r="FH18" s="516" t="str">
        <f t="shared" si="144"/>
        <v/>
      </c>
      <c r="FI18" s="516" t="str">
        <f t="shared" si="145"/>
        <v/>
      </c>
      <c r="FJ18" s="516" t="str">
        <f t="shared" si="146"/>
        <v/>
      </c>
      <c r="FK18" s="516" t="str">
        <f t="shared" si="147"/>
        <v/>
      </c>
      <c r="FL18" s="516" t="str">
        <f t="shared" si="148"/>
        <v/>
      </c>
      <c r="FM18" s="516" t="str">
        <f t="shared" si="149"/>
        <v/>
      </c>
      <c r="FN18" s="516" t="str">
        <f t="shared" si="150"/>
        <v/>
      </c>
      <c r="FO18" s="516" t="str">
        <f t="shared" si="151"/>
        <v/>
      </c>
      <c r="FP18" s="516" t="str">
        <f t="shared" si="152"/>
        <v/>
      </c>
      <c r="FQ18" s="516" t="str">
        <f t="shared" si="153"/>
        <v/>
      </c>
      <c r="FR18" s="516" t="str">
        <f t="shared" si="154"/>
        <v/>
      </c>
      <c r="FS18" s="516" t="str">
        <f t="shared" si="155"/>
        <v/>
      </c>
      <c r="FT18" s="516" t="str">
        <f t="shared" si="156"/>
        <v/>
      </c>
      <c r="FU18" s="516" t="str">
        <f t="shared" si="157"/>
        <v/>
      </c>
      <c r="FV18" s="516" t="str">
        <f t="shared" si="158"/>
        <v/>
      </c>
      <c r="FW18" s="516" t="str">
        <f t="shared" si="159"/>
        <v/>
      </c>
      <c r="FX18" s="516" t="str">
        <f t="shared" si="160"/>
        <v/>
      </c>
      <c r="FY18" s="516" t="str">
        <f t="shared" si="161"/>
        <v/>
      </c>
      <c r="FZ18" s="516" t="str">
        <f t="shared" si="162"/>
        <v/>
      </c>
      <c r="GA18" s="516" t="str">
        <f t="shared" si="163"/>
        <v/>
      </c>
      <c r="GB18" s="516" t="str">
        <f t="shared" si="164"/>
        <v/>
      </c>
      <c r="GC18" s="516" t="str">
        <f t="shared" si="165"/>
        <v/>
      </c>
      <c r="GD18" s="516" t="str">
        <f t="shared" si="166"/>
        <v/>
      </c>
      <c r="GE18" s="516" t="str">
        <f t="shared" si="167"/>
        <v/>
      </c>
      <c r="GF18" s="516" t="str">
        <f t="shared" si="168"/>
        <v/>
      </c>
      <c r="GG18" s="516" t="str">
        <f t="shared" si="169"/>
        <v/>
      </c>
      <c r="GH18" s="516" t="str">
        <f t="shared" si="170"/>
        <v/>
      </c>
      <c r="GI18" s="516" t="str">
        <f t="shared" si="171"/>
        <v/>
      </c>
      <c r="GJ18" s="516" t="str">
        <f t="shared" si="172"/>
        <v/>
      </c>
      <c r="GK18" s="516" t="str">
        <f t="shared" si="173"/>
        <v/>
      </c>
      <c r="GL18" s="516" t="str">
        <f t="shared" si="174"/>
        <v/>
      </c>
      <c r="GM18" s="516" t="str">
        <f t="shared" si="175"/>
        <v/>
      </c>
      <c r="GN18" s="516" t="str">
        <f t="shared" si="176"/>
        <v/>
      </c>
      <c r="GO18" s="516" t="str">
        <f t="shared" si="177"/>
        <v/>
      </c>
      <c r="GP18" s="516" t="str">
        <f t="shared" si="178"/>
        <v/>
      </c>
      <c r="GQ18" s="516" t="str">
        <f t="shared" si="179"/>
        <v/>
      </c>
      <c r="GR18" s="516" t="str">
        <f t="shared" si="180"/>
        <v/>
      </c>
      <c r="GS18" s="516" t="str">
        <f t="shared" si="181"/>
        <v/>
      </c>
      <c r="GT18" s="516" t="str">
        <f t="shared" si="182"/>
        <v/>
      </c>
      <c r="GU18" s="516" t="str">
        <f t="shared" si="183"/>
        <v/>
      </c>
      <c r="GV18" s="516" t="str">
        <f t="shared" si="184"/>
        <v/>
      </c>
      <c r="GW18" s="516" t="str">
        <f t="shared" si="185"/>
        <v/>
      </c>
      <c r="GX18" s="516" t="str">
        <f t="shared" si="186"/>
        <v/>
      </c>
      <c r="GY18" s="516" t="str">
        <f t="shared" si="187"/>
        <v/>
      </c>
      <c r="GZ18" s="516" t="str">
        <f t="shared" si="188"/>
        <v/>
      </c>
      <c r="HA18" s="516" t="str">
        <f t="shared" si="189"/>
        <v/>
      </c>
      <c r="HB18" s="516" t="str">
        <f t="shared" si="190"/>
        <v/>
      </c>
      <c r="HC18" s="516" t="str">
        <f t="shared" si="191"/>
        <v/>
      </c>
      <c r="HD18" s="516" t="str">
        <f t="shared" si="192"/>
        <v/>
      </c>
      <c r="HE18" s="516" t="str">
        <f t="shared" si="193"/>
        <v/>
      </c>
      <c r="HF18" s="516" t="str">
        <f t="shared" si="194"/>
        <v/>
      </c>
      <c r="HG18" s="516" t="str">
        <f t="shared" si="195"/>
        <v/>
      </c>
      <c r="HH18" s="516" t="str">
        <f t="shared" si="196"/>
        <v/>
      </c>
      <c r="HI18" s="516" t="str">
        <f t="shared" si="197"/>
        <v/>
      </c>
      <c r="HJ18" s="516" t="str">
        <f t="shared" si="198"/>
        <v/>
      </c>
      <c r="HK18" s="516" t="str">
        <f t="shared" si="199"/>
        <v/>
      </c>
      <c r="HL18" s="516" t="str">
        <f t="shared" si="200"/>
        <v/>
      </c>
      <c r="HM18" s="516" t="str">
        <f t="shared" si="201"/>
        <v/>
      </c>
      <c r="HN18" s="516" t="str">
        <f t="shared" si="202"/>
        <v/>
      </c>
      <c r="HO18" s="516" t="str">
        <f t="shared" si="203"/>
        <v/>
      </c>
      <c r="HP18" s="516" t="str">
        <f t="shared" si="204"/>
        <v/>
      </c>
      <c r="HQ18" s="516" t="str">
        <f t="shared" si="205"/>
        <v/>
      </c>
      <c r="HR18" s="516" t="str">
        <f t="shared" si="206"/>
        <v/>
      </c>
      <c r="HS18" s="516" t="str">
        <f t="shared" si="207"/>
        <v/>
      </c>
      <c r="HT18" s="516" t="str">
        <f t="shared" si="208"/>
        <v/>
      </c>
      <c r="HU18" s="516" t="str">
        <f t="shared" si="209"/>
        <v/>
      </c>
      <c r="HV18" s="516" t="str">
        <f t="shared" si="210"/>
        <v/>
      </c>
      <c r="HW18" s="516" t="str">
        <f t="shared" si="211"/>
        <v/>
      </c>
      <c r="HX18" s="516" t="str">
        <f t="shared" si="212"/>
        <v/>
      </c>
      <c r="HY18" s="516" t="str">
        <f t="shared" si="213"/>
        <v/>
      </c>
      <c r="HZ18" s="516" t="str">
        <f t="shared" si="214"/>
        <v/>
      </c>
      <c r="IA18" s="516" t="str">
        <f t="shared" si="215"/>
        <v/>
      </c>
      <c r="IB18" s="516" t="str">
        <f t="shared" si="216"/>
        <v/>
      </c>
      <c r="IC18" s="516" t="str">
        <f t="shared" si="217"/>
        <v/>
      </c>
      <c r="ID18" s="517" t="str">
        <f t="shared" si="218"/>
        <v/>
      </c>
      <c r="IE18" s="517" t="str">
        <f t="shared" si="219"/>
        <v/>
      </c>
      <c r="IF18" s="517" t="str">
        <f t="shared" si="220"/>
        <v/>
      </c>
      <c r="IG18" s="517" t="str">
        <f t="shared" si="221"/>
        <v/>
      </c>
      <c r="IH18" s="517" t="str">
        <f t="shared" si="222"/>
        <v/>
      </c>
      <c r="II18" s="506" t="str">
        <f t="shared" si="223"/>
        <v/>
      </c>
      <c r="IJ18" s="506" t="str">
        <f t="shared" si="224"/>
        <v/>
      </c>
      <c r="IK18" s="506" t="str">
        <f t="shared" si="225"/>
        <v/>
      </c>
      <c r="IL18" s="506" t="str">
        <f t="shared" si="226"/>
        <v/>
      </c>
      <c r="IM18" s="506" t="str">
        <f t="shared" si="227"/>
        <v/>
      </c>
      <c r="IN18" s="506" t="str">
        <f t="shared" si="228"/>
        <v/>
      </c>
      <c r="IO18" s="506" t="str">
        <f t="shared" si="229"/>
        <v/>
      </c>
      <c r="IP18" s="506" t="str">
        <f t="shared" si="230"/>
        <v/>
      </c>
      <c r="IQ18" s="506" t="str">
        <f t="shared" si="231"/>
        <v/>
      </c>
      <c r="IR18" s="506" t="str">
        <f t="shared" si="232"/>
        <v/>
      </c>
      <c r="IS18" s="506" t="str">
        <f t="shared" si="233"/>
        <v/>
      </c>
      <c r="IT18" s="506" t="str">
        <f t="shared" si="234"/>
        <v/>
      </c>
      <c r="IU18" s="506" t="str">
        <f t="shared" si="235"/>
        <v/>
      </c>
      <c r="IV18" s="506" t="str">
        <f t="shared" si="236"/>
        <v/>
      </c>
      <c r="IW18" s="506" t="str">
        <f t="shared" si="237"/>
        <v/>
      </c>
      <c r="IX18" s="506" t="str">
        <f t="shared" si="238"/>
        <v/>
      </c>
      <c r="IY18" s="506" t="str">
        <f t="shared" si="239"/>
        <v/>
      </c>
      <c r="IZ18" s="506" t="str">
        <f t="shared" si="240"/>
        <v/>
      </c>
      <c r="JA18" s="506" t="str">
        <f t="shared" si="241"/>
        <v/>
      </c>
      <c r="JB18" s="506" t="str">
        <f t="shared" si="242"/>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24" t="s">
        <v>1858</v>
      </c>
      <c r="C19" s="2525"/>
      <c r="D19" s="2526"/>
      <c r="E19" s="2527"/>
      <c r="F19" s="2527"/>
      <c r="G19" s="2527"/>
      <c r="H19" s="2527"/>
      <c r="I19" s="2527"/>
      <c r="J19" s="2528"/>
      <c r="K19" s="825">
        <f t="shared" si="1"/>
        <v>0</v>
      </c>
      <c r="L19" s="825">
        <f t="shared" si="2"/>
        <v>0</v>
      </c>
      <c r="M19" s="1301"/>
      <c r="N19" s="1301"/>
      <c r="O19" s="1301"/>
      <c r="P19" s="2529"/>
      <c r="Q19" s="2530" t="str">
        <f t="shared" si="243"/>
        <v/>
      </c>
      <c r="R19" s="2531" t="str">
        <f>IF(H19="","",IF(C19="Efficiency",Q19/($O$6*VLOOKUP(0,'DCA Underwriting Assumptions'!$J$118:$K$123,2,FALSE)),Q19/($O$6*VLOOKUP(C19,'DCA Underwriting Assumptions'!$J$118:$K$123,2,FALSE))))</f>
        <v/>
      </c>
      <c r="S19" s="2532"/>
      <c r="T19" s="2531"/>
      <c r="U19" s="2533"/>
      <c r="V19" s="2458"/>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53"/>
        <v/>
      </c>
      <c r="BV19" s="506" t="str">
        <f t="shared" si="54"/>
        <v/>
      </c>
      <c r="BW19" s="506" t="str">
        <f t="shared" si="55"/>
        <v/>
      </c>
      <c r="BX19" s="506" t="str">
        <f t="shared" si="56"/>
        <v/>
      </c>
      <c r="BY19" s="506" t="str">
        <f t="shared" si="57"/>
        <v/>
      </c>
      <c r="BZ19" s="506" t="str">
        <f t="shared" si="58"/>
        <v/>
      </c>
      <c r="CA19" s="506" t="str">
        <f t="shared" si="59"/>
        <v/>
      </c>
      <c r="CB19" s="506" t="str">
        <f t="shared" si="60"/>
        <v/>
      </c>
      <c r="CC19" s="506" t="str">
        <f t="shared" si="61"/>
        <v/>
      </c>
      <c r="CD19" s="506" t="str">
        <f t="shared" si="62"/>
        <v/>
      </c>
      <c r="CE19" s="506" t="str">
        <f t="shared" si="63"/>
        <v/>
      </c>
      <c r="CF19" s="506" t="str">
        <f t="shared" si="64"/>
        <v/>
      </c>
      <c r="CG19" s="506" t="str">
        <f t="shared" si="65"/>
        <v/>
      </c>
      <c r="CH19" s="506" t="str">
        <f t="shared" si="66"/>
        <v/>
      </c>
      <c r="CI19" s="506" t="str">
        <f t="shared" si="67"/>
        <v/>
      </c>
      <c r="CJ19" s="506" t="str">
        <f t="shared" si="68"/>
        <v/>
      </c>
      <c r="CK19" s="506" t="str">
        <f t="shared" si="69"/>
        <v/>
      </c>
      <c r="CL19" s="506" t="str">
        <f t="shared" si="70"/>
        <v/>
      </c>
      <c r="CM19" s="506" t="str">
        <f t="shared" si="71"/>
        <v/>
      </c>
      <c r="CN19" s="506" t="str">
        <f t="shared" si="72"/>
        <v/>
      </c>
      <c r="CO19" s="506" t="str">
        <f t="shared" si="73"/>
        <v/>
      </c>
      <c r="CP19" s="506" t="str">
        <f t="shared" si="74"/>
        <v/>
      </c>
      <c r="CQ19" s="506" t="str">
        <f t="shared" si="75"/>
        <v/>
      </c>
      <c r="CR19" s="506" t="str">
        <f t="shared" si="76"/>
        <v/>
      </c>
      <c r="CS19" s="506" t="str">
        <f t="shared" si="77"/>
        <v/>
      </c>
      <c r="CT19" s="506" t="str">
        <f t="shared" si="78"/>
        <v/>
      </c>
      <c r="CU19" s="506" t="str">
        <f t="shared" si="79"/>
        <v/>
      </c>
      <c r="CV19" s="506" t="str">
        <f t="shared" si="80"/>
        <v/>
      </c>
      <c r="CW19" s="506" t="str">
        <f t="shared" si="81"/>
        <v/>
      </c>
      <c r="CX19" s="506" t="str">
        <f t="shared" si="82"/>
        <v/>
      </c>
      <c r="CY19" s="506" t="str">
        <f t="shared" si="83"/>
        <v/>
      </c>
      <c r="CZ19" s="506" t="str">
        <f t="shared" si="84"/>
        <v/>
      </c>
      <c r="DA19" s="506" t="str">
        <f t="shared" si="85"/>
        <v/>
      </c>
      <c r="DB19" s="506" t="str">
        <f t="shared" si="86"/>
        <v/>
      </c>
      <c r="DC19" s="506" t="str">
        <f t="shared" si="87"/>
        <v/>
      </c>
      <c r="DD19" s="506" t="str">
        <f t="shared" si="88"/>
        <v/>
      </c>
      <c r="DE19" s="506" t="str">
        <f t="shared" si="89"/>
        <v/>
      </c>
      <c r="DF19" s="506" t="str">
        <f t="shared" si="90"/>
        <v/>
      </c>
      <c r="DG19" s="506" t="str">
        <f t="shared" si="91"/>
        <v/>
      </c>
      <c r="DH19" s="506" t="str">
        <f t="shared" si="92"/>
        <v/>
      </c>
      <c r="DI19" s="506" t="str">
        <f t="shared" si="93"/>
        <v/>
      </c>
      <c r="DJ19" s="506" t="str">
        <f t="shared" si="94"/>
        <v/>
      </c>
      <c r="DK19" s="506" t="str">
        <f t="shared" si="95"/>
        <v/>
      </c>
      <c r="DL19" s="506" t="str">
        <f t="shared" si="96"/>
        <v/>
      </c>
      <c r="DM19" s="506" t="str">
        <f t="shared" si="97"/>
        <v/>
      </c>
      <c r="DN19" s="506" t="str">
        <f t="shared" si="98"/>
        <v/>
      </c>
      <c r="DO19" s="506" t="str">
        <f t="shared" si="99"/>
        <v/>
      </c>
      <c r="DP19" s="506" t="str">
        <f t="shared" si="100"/>
        <v/>
      </c>
      <c r="DQ19" s="506" t="str">
        <f t="shared" si="101"/>
        <v/>
      </c>
      <c r="DR19" s="506" t="str">
        <f t="shared" si="102"/>
        <v/>
      </c>
      <c r="DS19" s="506" t="str">
        <f t="shared" si="103"/>
        <v/>
      </c>
      <c r="DT19" s="506" t="str">
        <f t="shared" si="104"/>
        <v/>
      </c>
      <c r="DU19" s="506" t="str">
        <f t="shared" si="105"/>
        <v/>
      </c>
      <c r="DV19" s="506" t="str">
        <f t="shared" si="106"/>
        <v/>
      </c>
      <c r="DW19" s="506" t="str">
        <f t="shared" si="107"/>
        <v/>
      </c>
      <c r="DX19" s="506" t="str">
        <f t="shared" si="108"/>
        <v/>
      </c>
      <c r="DY19" s="506" t="str">
        <f t="shared" si="109"/>
        <v/>
      </c>
      <c r="DZ19" s="506" t="str">
        <f t="shared" si="110"/>
        <v/>
      </c>
      <c r="EA19" s="506" t="str">
        <f t="shared" si="111"/>
        <v/>
      </c>
      <c r="EB19" s="506" t="str">
        <f t="shared" si="112"/>
        <v/>
      </c>
      <c r="EC19" s="506" t="str">
        <f t="shared" si="113"/>
        <v/>
      </c>
      <c r="ED19" s="506" t="str">
        <f t="shared" si="114"/>
        <v/>
      </c>
      <c r="EE19" s="506" t="str">
        <f t="shared" si="115"/>
        <v/>
      </c>
      <c r="EF19" s="506" t="str">
        <f t="shared" si="116"/>
        <v/>
      </c>
      <c r="EG19" s="506" t="str">
        <f t="shared" si="117"/>
        <v/>
      </c>
      <c r="EH19" s="506" t="str">
        <f t="shared" si="118"/>
        <v/>
      </c>
      <c r="EI19" s="506" t="str">
        <f t="shared" si="119"/>
        <v/>
      </c>
      <c r="EJ19" s="506" t="str">
        <f t="shared" si="120"/>
        <v/>
      </c>
      <c r="EK19" s="506" t="str">
        <f t="shared" si="121"/>
        <v/>
      </c>
      <c r="EL19" s="506" t="str">
        <f t="shared" si="122"/>
        <v/>
      </c>
      <c r="EM19" s="506" t="str">
        <f t="shared" si="123"/>
        <v/>
      </c>
      <c r="EN19" s="506" t="str">
        <f t="shared" si="124"/>
        <v/>
      </c>
      <c r="EO19" s="506" t="str">
        <f t="shared" si="125"/>
        <v/>
      </c>
      <c r="EP19" s="506" t="str">
        <f t="shared" si="126"/>
        <v/>
      </c>
      <c r="EQ19" s="506" t="str">
        <f t="shared" si="127"/>
        <v/>
      </c>
      <c r="ER19" s="506" t="str">
        <f t="shared" si="128"/>
        <v/>
      </c>
      <c r="ES19" s="506" t="str">
        <f t="shared" si="129"/>
        <v/>
      </c>
      <c r="ET19" s="506" t="str">
        <f t="shared" si="130"/>
        <v/>
      </c>
      <c r="EU19" s="506" t="str">
        <f t="shared" si="131"/>
        <v/>
      </c>
      <c r="EV19" s="506" t="str">
        <f t="shared" si="132"/>
        <v/>
      </c>
      <c r="EW19" s="516" t="str">
        <f t="shared" si="133"/>
        <v/>
      </c>
      <c r="EX19" s="516" t="str">
        <f t="shared" si="134"/>
        <v/>
      </c>
      <c r="EY19" s="516" t="str">
        <f t="shared" si="135"/>
        <v/>
      </c>
      <c r="EZ19" s="516" t="str">
        <f t="shared" si="136"/>
        <v/>
      </c>
      <c r="FA19" s="516" t="str">
        <f t="shared" si="137"/>
        <v/>
      </c>
      <c r="FB19" s="516" t="str">
        <f t="shared" si="138"/>
        <v/>
      </c>
      <c r="FC19" s="516" t="str">
        <f t="shared" si="139"/>
        <v/>
      </c>
      <c r="FD19" s="516" t="str">
        <f t="shared" si="140"/>
        <v/>
      </c>
      <c r="FE19" s="516" t="str">
        <f t="shared" si="141"/>
        <v/>
      </c>
      <c r="FF19" s="516" t="str">
        <f t="shared" si="142"/>
        <v/>
      </c>
      <c r="FG19" s="516" t="str">
        <f t="shared" si="143"/>
        <v/>
      </c>
      <c r="FH19" s="516" t="str">
        <f t="shared" si="144"/>
        <v/>
      </c>
      <c r="FI19" s="516" t="str">
        <f t="shared" si="145"/>
        <v/>
      </c>
      <c r="FJ19" s="516" t="str">
        <f t="shared" si="146"/>
        <v/>
      </c>
      <c r="FK19" s="516" t="str">
        <f t="shared" si="147"/>
        <v/>
      </c>
      <c r="FL19" s="516" t="str">
        <f t="shared" si="148"/>
        <v/>
      </c>
      <c r="FM19" s="516" t="str">
        <f t="shared" si="149"/>
        <v/>
      </c>
      <c r="FN19" s="516" t="str">
        <f t="shared" si="150"/>
        <v/>
      </c>
      <c r="FO19" s="516" t="str">
        <f t="shared" si="151"/>
        <v/>
      </c>
      <c r="FP19" s="516" t="str">
        <f t="shared" si="152"/>
        <v/>
      </c>
      <c r="FQ19" s="516" t="str">
        <f t="shared" si="153"/>
        <v/>
      </c>
      <c r="FR19" s="516" t="str">
        <f t="shared" si="154"/>
        <v/>
      </c>
      <c r="FS19" s="516" t="str">
        <f t="shared" si="155"/>
        <v/>
      </c>
      <c r="FT19" s="516" t="str">
        <f t="shared" si="156"/>
        <v/>
      </c>
      <c r="FU19" s="516" t="str">
        <f t="shared" si="157"/>
        <v/>
      </c>
      <c r="FV19" s="516" t="str">
        <f t="shared" si="158"/>
        <v/>
      </c>
      <c r="FW19" s="516" t="str">
        <f t="shared" si="159"/>
        <v/>
      </c>
      <c r="FX19" s="516" t="str">
        <f t="shared" si="160"/>
        <v/>
      </c>
      <c r="FY19" s="516" t="str">
        <f t="shared" si="161"/>
        <v/>
      </c>
      <c r="FZ19" s="516" t="str">
        <f t="shared" si="162"/>
        <v/>
      </c>
      <c r="GA19" s="516" t="str">
        <f t="shared" si="163"/>
        <v/>
      </c>
      <c r="GB19" s="516" t="str">
        <f t="shared" si="164"/>
        <v/>
      </c>
      <c r="GC19" s="516" t="str">
        <f t="shared" si="165"/>
        <v/>
      </c>
      <c r="GD19" s="516" t="str">
        <f t="shared" si="166"/>
        <v/>
      </c>
      <c r="GE19" s="516" t="str">
        <f t="shared" si="167"/>
        <v/>
      </c>
      <c r="GF19" s="516" t="str">
        <f t="shared" si="168"/>
        <v/>
      </c>
      <c r="GG19" s="516" t="str">
        <f t="shared" si="169"/>
        <v/>
      </c>
      <c r="GH19" s="516" t="str">
        <f t="shared" si="170"/>
        <v/>
      </c>
      <c r="GI19" s="516" t="str">
        <f t="shared" si="171"/>
        <v/>
      </c>
      <c r="GJ19" s="516" t="str">
        <f t="shared" si="172"/>
        <v/>
      </c>
      <c r="GK19" s="516" t="str">
        <f t="shared" si="173"/>
        <v/>
      </c>
      <c r="GL19" s="516" t="str">
        <f t="shared" si="174"/>
        <v/>
      </c>
      <c r="GM19" s="516" t="str">
        <f t="shared" si="175"/>
        <v/>
      </c>
      <c r="GN19" s="516" t="str">
        <f t="shared" si="176"/>
        <v/>
      </c>
      <c r="GO19" s="516" t="str">
        <f t="shared" si="177"/>
        <v/>
      </c>
      <c r="GP19" s="516" t="str">
        <f t="shared" si="178"/>
        <v/>
      </c>
      <c r="GQ19" s="516" t="str">
        <f t="shared" si="179"/>
        <v/>
      </c>
      <c r="GR19" s="516" t="str">
        <f t="shared" si="180"/>
        <v/>
      </c>
      <c r="GS19" s="516" t="str">
        <f t="shared" si="181"/>
        <v/>
      </c>
      <c r="GT19" s="516" t="str">
        <f t="shared" si="182"/>
        <v/>
      </c>
      <c r="GU19" s="516" t="str">
        <f t="shared" si="183"/>
        <v/>
      </c>
      <c r="GV19" s="516" t="str">
        <f t="shared" si="184"/>
        <v/>
      </c>
      <c r="GW19" s="516" t="str">
        <f t="shared" si="185"/>
        <v/>
      </c>
      <c r="GX19" s="516" t="str">
        <f t="shared" si="186"/>
        <v/>
      </c>
      <c r="GY19" s="516" t="str">
        <f t="shared" si="187"/>
        <v/>
      </c>
      <c r="GZ19" s="516" t="str">
        <f t="shared" si="188"/>
        <v/>
      </c>
      <c r="HA19" s="516" t="str">
        <f t="shared" si="189"/>
        <v/>
      </c>
      <c r="HB19" s="516" t="str">
        <f t="shared" si="190"/>
        <v/>
      </c>
      <c r="HC19" s="516" t="str">
        <f t="shared" si="191"/>
        <v/>
      </c>
      <c r="HD19" s="516" t="str">
        <f t="shared" si="192"/>
        <v/>
      </c>
      <c r="HE19" s="516" t="str">
        <f t="shared" si="193"/>
        <v/>
      </c>
      <c r="HF19" s="516" t="str">
        <f t="shared" si="194"/>
        <v/>
      </c>
      <c r="HG19" s="516" t="str">
        <f t="shared" si="195"/>
        <v/>
      </c>
      <c r="HH19" s="516" t="str">
        <f t="shared" si="196"/>
        <v/>
      </c>
      <c r="HI19" s="516" t="str">
        <f t="shared" si="197"/>
        <v/>
      </c>
      <c r="HJ19" s="516" t="str">
        <f t="shared" si="198"/>
        <v/>
      </c>
      <c r="HK19" s="516" t="str">
        <f t="shared" si="199"/>
        <v/>
      </c>
      <c r="HL19" s="516" t="str">
        <f t="shared" si="200"/>
        <v/>
      </c>
      <c r="HM19" s="516" t="str">
        <f t="shared" si="201"/>
        <v/>
      </c>
      <c r="HN19" s="516" t="str">
        <f t="shared" si="202"/>
        <v/>
      </c>
      <c r="HO19" s="516" t="str">
        <f t="shared" si="203"/>
        <v/>
      </c>
      <c r="HP19" s="516" t="str">
        <f t="shared" si="204"/>
        <v/>
      </c>
      <c r="HQ19" s="516" t="str">
        <f t="shared" si="205"/>
        <v/>
      </c>
      <c r="HR19" s="516" t="str">
        <f t="shared" si="206"/>
        <v/>
      </c>
      <c r="HS19" s="516" t="str">
        <f t="shared" si="207"/>
        <v/>
      </c>
      <c r="HT19" s="516" t="str">
        <f t="shared" si="208"/>
        <v/>
      </c>
      <c r="HU19" s="516" t="str">
        <f t="shared" si="209"/>
        <v/>
      </c>
      <c r="HV19" s="516" t="str">
        <f t="shared" si="210"/>
        <v/>
      </c>
      <c r="HW19" s="516" t="str">
        <f t="shared" si="211"/>
        <v/>
      </c>
      <c r="HX19" s="516" t="str">
        <f t="shared" si="212"/>
        <v/>
      </c>
      <c r="HY19" s="516" t="str">
        <f t="shared" si="213"/>
        <v/>
      </c>
      <c r="HZ19" s="516" t="str">
        <f t="shared" si="214"/>
        <v/>
      </c>
      <c r="IA19" s="516" t="str">
        <f t="shared" si="215"/>
        <v/>
      </c>
      <c r="IB19" s="516" t="str">
        <f t="shared" si="216"/>
        <v/>
      </c>
      <c r="IC19" s="516" t="str">
        <f t="shared" si="217"/>
        <v/>
      </c>
      <c r="ID19" s="517" t="str">
        <f t="shared" si="218"/>
        <v/>
      </c>
      <c r="IE19" s="517" t="str">
        <f t="shared" si="219"/>
        <v/>
      </c>
      <c r="IF19" s="517" t="str">
        <f t="shared" si="220"/>
        <v/>
      </c>
      <c r="IG19" s="517" t="str">
        <f t="shared" si="221"/>
        <v/>
      </c>
      <c r="IH19" s="517" t="str">
        <f t="shared" si="222"/>
        <v/>
      </c>
      <c r="II19" s="506" t="str">
        <f t="shared" si="223"/>
        <v/>
      </c>
      <c r="IJ19" s="506" t="str">
        <f t="shared" si="224"/>
        <v/>
      </c>
      <c r="IK19" s="506" t="str">
        <f t="shared" si="225"/>
        <v/>
      </c>
      <c r="IL19" s="506" t="str">
        <f t="shared" si="226"/>
        <v/>
      </c>
      <c r="IM19" s="506" t="str">
        <f t="shared" si="227"/>
        <v/>
      </c>
      <c r="IN19" s="506" t="str">
        <f t="shared" si="228"/>
        <v/>
      </c>
      <c r="IO19" s="506" t="str">
        <f t="shared" si="229"/>
        <v/>
      </c>
      <c r="IP19" s="506" t="str">
        <f t="shared" si="230"/>
        <v/>
      </c>
      <c r="IQ19" s="506" t="str">
        <f t="shared" si="231"/>
        <v/>
      </c>
      <c r="IR19" s="506" t="str">
        <f t="shared" si="232"/>
        <v/>
      </c>
      <c r="IS19" s="506" t="str">
        <f t="shared" si="233"/>
        <v/>
      </c>
      <c r="IT19" s="506" t="str">
        <f t="shared" si="234"/>
        <v/>
      </c>
      <c r="IU19" s="506" t="str">
        <f t="shared" si="235"/>
        <v/>
      </c>
      <c r="IV19" s="506" t="str">
        <f t="shared" si="236"/>
        <v/>
      </c>
      <c r="IW19" s="506" t="str">
        <f t="shared" si="237"/>
        <v/>
      </c>
      <c r="IX19" s="506" t="str">
        <f t="shared" si="238"/>
        <v/>
      </c>
      <c r="IY19" s="506" t="str">
        <f t="shared" si="239"/>
        <v/>
      </c>
      <c r="IZ19" s="506" t="str">
        <f t="shared" si="240"/>
        <v/>
      </c>
      <c r="JA19" s="506" t="str">
        <f t="shared" si="241"/>
        <v/>
      </c>
      <c r="JB19" s="506" t="str">
        <f t="shared" si="242"/>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24" t="s">
        <v>1858</v>
      </c>
      <c r="C20" s="2525"/>
      <c r="D20" s="2526"/>
      <c r="E20" s="2527"/>
      <c r="F20" s="2527"/>
      <c r="G20" s="2527"/>
      <c r="H20" s="2527"/>
      <c r="I20" s="2527"/>
      <c r="J20" s="2528"/>
      <c r="K20" s="825">
        <f t="shared" si="1"/>
        <v>0</v>
      </c>
      <c r="L20" s="825">
        <f t="shared" si="2"/>
        <v>0</v>
      </c>
      <c r="M20" s="1301"/>
      <c r="N20" s="1301"/>
      <c r="O20" s="1301"/>
      <c r="P20" s="2529"/>
      <c r="Q20" s="2530" t="str">
        <f t="shared" si="243"/>
        <v/>
      </c>
      <c r="R20" s="2531" t="str">
        <f>IF(H20="","",IF(C20="Efficiency",Q20/($O$6*VLOOKUP(0,'DCA Underwriting Assumptions'!$J$118:$K$123,2,FALSE)),Q20/($O$6*VLOOKUP(C20,'DCA Underwriting Assumptions'!$J$118:$K$123,2,FALSE))))</f>
        <v/>
      </c>
      <c r="S20" s="2532"/>
      <c r="T20" s="2531"/>
      <c r="U20" s="2533"/>
      <c r="V20" s="2458"/>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53"/>
        <v/>
      </c>
      <c r="BV20" s="506" t="str">
        <f t="shared" si="54"/>
        <v/>
      </c>
      <c r="BW20" s="506" t="str">
        <f t="shared" si="55"/>
        <v/>
      </c>
      <c r="BX20" s="506" t="str">
        <f t="shared" si="56"/>
        <v/>
      </c>
      <c r="BY20" s="506" t="str">
        <f t="shared" si="57"/>
        <v/>
      </c>
      <c r="BZ20" s="506" t="str">
        <f t="shared" si="58"/>
        <v/>
      </c>
      <c r="CA20" s="506" t="str">
        <f t="shared" si="59"/>
        <v/>
      </c>
      <c r="CB20" s="506" t="str">
        <f t="shared" si="60"/>
        <v/>
      </c>
      <c r="CC20" s="506" t="str">
        <f t="shared" si="61"/>
        <v/>
      </c>
      <c r="CD20" s="506" t="str">
        <f t="shared" si="62"/>
        <v/>
      </c>
      <c r="CE20" s="506" t="str">
        <f t="shared" si="63"/>
        <v/>
      </c>
      <c r="CF20" s="506" t="str">
        <f t="shared" si="64"/>
        <v/>
      </c>
      <c r="CG20" s="506" t="str">
        <f t="shared" si="65"/>
        <v/>
      </c>
      <c r="CH20" s="506" t="str">
        <f t="shared" si="66"/>
        <v/>
      </c>
      <c r="CI20" s="506" t="str">
        <f t="shared" si="67"/>
        <v/>
      </c>
      <c r="CJ20" s="506" t="str">
        <f t="shared" si="68"/>
        <v/>
      </c>
      <c r="CK20" s="506" t="str">
        <f t="shared" si="69"/>
        <v/>
      </c>
      <c r="CL20" s="506" t="str">
        <f t="shared" si="70"/>
        <v/>
      </c>
      <c r="CM20" s="506" t="str">
        <f t="shared" si="71"/>
        <v/>
      </c>
      <c r="CN20" s="506" t="str">
        <f t="shared" si="72"/>
        <v/>
      </c>
      <c r="CO20" s="506" t="str">
        <f t="shared" si="73"/>
        <v/>
      </c>
      <c r="CP20" s="506" t="str">
        <f t="shared" si="74"/>
        <v/>
      </c>
      <c r="CQ20" s="506" t="str">
        <f t="shared" si="75"/>
        <v/>
      </c>
      <c r="CR20" s="506" t="str">
        <f t="shared" si="76"/>
        <v/>
      </c>
      <c r="CS20" s="506" t="str">
        <f t="shared" si="77"/>
        <v/>
      </c>
      <c r="CT20" s="506" t="str">
        <f t="shared" si="78"/>
        <v/>
      </c>
      <c r="CU20" s="506" t="str">
        <f t="shared" si="79"/>
        <v/>
      </c>
      <c r="CV20" s="506" t="str">
        <f t="shared" si="80"/>
        <v/>
      </c>
      <c r="CW20" s="506" t="str">
        <f t="shared" si="81"/>
        <v/>
      </c>
      <c r="CX20" s="506" t="str">
        <f t="shared" si="82"/>
        <v/>
      </c>
      <c r="CY20" s="506" t="str">
        <f t="shared" si="83"/>
        <v/>
      </c>
      <c r="CZ20" s="506" t="str">
        <f t="shared" si="84"/>
        <v/>
      </c>
      <c r="DA20" s="506" t="str">
        <f t="shared" si="85"/>
        <v/>
      </c>
      <c r="DB20" s="506" t="str">
        <f t="shared" si="86"/>
        <v/>
      </c>
      <c r="DC20" s="506" t="str">
        <f t="shared" si="87"/>
        <v/>
      </c>
      <c r="DD20" s="506" t="str">
        <f t="shared" si="88"/>
        <v/>
      </c>
      <c r="DE20" s="506" t="str">
        <f t="shared" si="89"/>
        <v/>
      </c>
      <c r="DF20" s="506" t="str">
        <f t="shared" si="90"/>
        <v/>
      </c>
      <c r="DG20" s="506" t="str">
        <f t="shared" si="91"/>
        <v/>
      </c>
      <c r="DH20" s="506" t="str">
        <f t="shared" si="92"/>
        <v/>
      </c>
      <c r="DI20" s="506" t="str">
        <f t="shared" si="93"/>
        <v/>
      </c>
      <c r="DJ20" s="506" t="str">
        <f t="shared" si="94"/>
        <v/>
      </c>
      <c r="DK20" s="506" t="str">
        <f t="shared" si="95"/>
        <v/>
      </c>
      <c r="DL20" s="506" t="str">
        <f t="shared" si="96"/>
        <v/>
      </c>
      <c r="DM20" s="506" t="str">
        <f t="shared" si="97"/>
        <v/>
      </c>
      <c r="DN20" s="506" t="str">
        <f t="shared" si="98"/>
        <v/>
      </c>
      <c r="DO20" s="506" t="str">
        <f t="shared" si="99"/>
        <v/>
      </c>
      <c r="DP20" s="506" t="str">
        <f t="shared" si="100"/>
        <v/>
      </c>
      <c r="DQ20" s="506" t="str">
        <f t="shared" si="101"/>
        <v/>
      </c>
      <c r="DR20" s="506" t="str">
        <f t="shared" si="102"/>
        <v/>
      </c>
      <c r="DS20" s="506" t="str">
        <f t="shared" si="103"/>
        <v/>
      </c>
      <c r="DT20" s="506" t="str">
        <f t="shared" si="104"/>
        <v/>
      </c>
      <c r="DU20" s="506" t="str">
        <f t="shared" si="105"/>
        <v/>
      </c>
      <c r="DV20" s="506" t="str">
        <f t="shared" si="106"/>
        <v/>
      </c>
      <c r="DW20" s="506" t="str">
        <f t="shared" si="107"/>
        <v/>
      </c>
      <c r="DX20" s="506" t="str">
        <f t="shared" si="108"/>
        <v/>
      </c>
      <c r="DY20" s="506" t="str">
        <f t="shared" si="109"/>
        <v/>
      </c>
      <c r="DZ20" s="506" t="str">
        <f t="shared" si="110"/>
        <v/>
      </c>
      <c r="EA20" s="506" t="str">
        <f t="shared" si="111"/>
        <v/>
      </c>
      <c r="EB20" s="506" t="str">
        <f t="shared" si="112"/>
        <v/>
      </c>
      <c r="EC20" s="506" t="str">
        <f t="shared" si="113"/>
        <v/>
      </c>
      <c r="ED20" s="506" t="str">
        <f t="shared" si="114"/>
        <v/>
      </c>
      <c r="EE20" s="506" t="str">
        <f t="shared" si="115"/>
        <v/>
      </c>
      <c r="EF20" s="506" t="str">
        <f t="shared" si="116"/>
        <v/>
      </c>
      <c r="EG20" s="506" t="str">
        <f t="shared" si="117"/>
        <v/>
      </c>
      <c r="EH20" s="506" t="str">
        <f t="shared" si="118"/>
        <v/>
      </c>
      <c r="EI20" s="506" t="str">
        <f t="shared" si="119"/>
        <v/>
      </c>
      <c r="EJ20" s="506" t="str">
        <f t="shared" si="120"/>
        <v/>
      </c>
      <c r="EK20" s="506" t="str">
        <f t="shared" si="121"/>
        <v/>
      </c>
      <c r="EL20" s="506" t="str">
        <f t="shared" si="122"/>
        <v/>
      </c>
      <c r="EM20" s="506" t="str">
        <f t="shared" si="123"/>
        <v/>
      </c>
      <c r="EN20" s="506" t="str">
        <f t="shared" si="124"/>
        <v/>
      </c>
      <c r="EO20" s="506" t="str">
        <f t="shared" si="125"/>
        <v/>
      </c>
      <c r="EP20" s="506" t="str">
        <f t="shared" si="126"/>
        <v/>
      </c>
      <c r="EQ20" s="506" t="str">
        <f t="shared" si="127"/>
        <v/>
      </c>
      <c r="ER20" s="506" t="str">
        <f t="shared" si="128"/>
        <v/>
      </c>
      <c r="ES20" s="506" t="str">
        <f t="shared" si="129"/>
        <v/>
      </c>
      <c r="ET20" s="506" t="str">
        <f t="shared" si="130"/>
        <v/>
      </c>
      <c r="EU20" s="506" t="str">
        <f t="shared" si="131"/>
        <v/>
      </c>
      <c r="EV20" s="506" t="str">
        <f t="shared" si="132"/>
        <v/>
      </c>
      <c r="EW20" s="516" t="str">
        <f t="shared" si="133"/>
        <v/>
      </c>
      <c r="EX20" s="516" t="str">
        <f t="shared" si="134"/>
        <v/>
      </c>
      <c r="EY20" s="516" t="str">
        <f t="shared" si="135"/>
        <v/>
      </c>
      <c r="EZ20" s="516" t="str">
        <f t="shared" si="136"/>
        <v/>
      </c>
      <c r="FA20" s="516" t="str">
        <f t="shared" si="137"/>
        <v/>
      </c>
      <c r="FB20" s="516" t="str">
        <f t="shared" si="138"/>
        <v/>
      </c>
      <c r="FC20" s="516" t="str">
        <f t="shared" si="139"/>
        <v/>
      </c>
      <c r="FD20" s="516" t="str">
        <f t="shared" si="140"/>
        <v/>
      </c>
      <c r="FE20" s="516" t="str">
        <f t="shared" si="141"/>
        <v/>
      </c>
      <c r="FF20" s="516" t="str">
        <f t="shared" si="142"/>
        <v/>
      </c>
      <c r="FG20" s="516" t="str">
        <f t="shared" si="143"/>
        <v/>
      </c>
      <c r="FH20" s="516" t="str">
        <f t="shared" si="144"/>
        <v/>
      </c>
      <c r="FI20" s="516" t="str">
        <f t="shared" si="145"/>
        <v/>
      </c>
      <c r="FJ20" s="516" t="str">
        <f t="shared" si="146"/>
        <v/>
      </c>
      <c r="FK20" s="516" t="str">
        <f t="shared" si="147"/>
        <v/>
      </c>
      <c r="FL20" s="516" t="str">
        <f t="shared" si="148"/>
        <v/>
      </c>
      <c r="FM20" s="516" t="str">
        <f t="shared" si="149"/>
        <v/>
      </c>
      <c r="FN20" s="516" t="str">
        <f t="shared" si="150"/>
        <v/>
      </c>
      <c r="FO20" s="516" t="str">
        <f t="shared" si="151"/>
        <v/>
      </c>
      <c r="FP20" s="516" t="str">
        <f t="shared" si="152"/>
        <v/>
      </c>
      <c r="FQ20" s="516" t="str">
        <f t="shared" si="153"/>
        <v/>
      </c>
      <c r="FR20" s="516" t="str">
        <f t="shared" si="154"/>
        <v/>
      </c>
      <c r="FS20" s="516" t="str">
        <f t="shared" si="155"/>
        <v/>
      </c>
      <c r="FT20" s="516" t="str">
        <f t="shared" si="156"/>
        <v/>
      </c>
      <c r="FU20" s="516" t="str">
        <f t="shared" si="157"/>
        <v/>
      </c>
      <c r="FV20" s="516" t="str">
        <f t="shared" si="158"/>
        <v/>
      </c>
      <c r="FW20" s="516" t="str">
        <f t="shared" si="159"/>
        <v/>
      </c>
      <c r="FX20" s="516" t="str">
        <f t="shared" si="160"/>
        <v/>
      </c>
      <c r="FY20" s="516" t="str">
        <f t="shared" si="161"/>
        <v/>
      </c>
      <c r="FZ20" s="516" t="str">
        <f t="shared" si="162"/>
        <v/>
      </c>
      <c r="GA20" s="516" t="str">
        <f t="shared" si="163"/>
        <v/>
      </c>
      <c r="GB20" s="516" t="str">
        <f t="shared" si="164"/>
        <v/>
      </c>
      <c r="GC20" s="516" t="str">
        <f t="shared" si="165"/>
        <v/>
      </c>
      <c r="GD20" s="516" t="str">
        <f t="shared" si="166"/>
        <v/>
      </c>
      <c r="GE20" s="516" t="str">
        <f t="shared" si="167"/>
        <v/>
      </c>
      <c r="GF20" s="516" t="str">
        <f t="shared" si="168"/>
        <v/>
      </c>
      <c r="GG20" s="516" t="str">
        <f t="shared" si="169"/>
        <v/>
      </c>
      <c r="GH20" s="516" t="str">
        <f t="shared" si="170"/>
        <v/>
      </c>
      <c r="GI20" s="516" t="str">
        <f t="shared" si="171"/>
        <v/>
      </c>
      <c r="GJ20" s="516" t="str">
        <f t="shared" si="172"/>
        <v/>
      </c>
      <c r="GK20" s="516" t="str">
        <f t="shared" si="173"/>
        <v/>
      </c>
      <c r="GL20" s="516" t="str">
        <f t="shared" si="174"/>
        <v/>
      </c>
      <c r="GM20" s="516" t="str">
        <f t="shared" si="175"/>
        <v/>
      </c>
      <c r="GN20" s="516" t="str">
        <f t="shared" si="176"/>
        <v/>
      </c>
      <c r="GO20" s="516" t="str">
        <f t="shared" si="177"/>
        <v/>
      </c>
      <c r="GP20" s="516" t="str">
        <f t="shared" si="178"/>
        <v/>
      </c>
      <c r="GQ20" s="516" t="str">
        <f t="shared" si="179"/>
        <v/>
      </c>
      <c r="GR20" s="516" t="str">
        <f t="shared" si="180"/>
        <v/>
      </c>
      <c r="GS20" s="516" t="str">
        <f t="shared" si="181"/>
        <v/>
      </c>
      <c r="GT20" s="516" t="str">
        <f t="shared" si="182"/>
        <v/>
      </c>
      <c r="GU20" s="516" t="str">
        <f t="shared" si="183"/>
        <v/>
      </c>
      <c r="GV20" s="516" t="str">
        <f t="shared" si="184"/>
        <v/>
      </c>
      <c r="GW20" s="516" t="str">
        <f t="shared" si="185"/>
        <v/>
      </c>
      <c r="GX20" s="516" t="str">
        <f t="shared" si="186"/>
        <v/>
      </c>
      <c r="GY20" s="516" t="str">
        <f t="shared" si="187"/>
        <v/>
      </c>
      <c r="GZ20" s="516" t="str">
        <f t="shared" si="188"/>
        <v/>
      </c>
      <c r="HA20" s="516" t="str">
        <f t="shared" si="189"/>
        <v/>
      </c>
      <c r="HB20" s="516" t="str">
        <f t="shared" si="190"/>
        <v/>
      </c>
      <c r="HC20" s="516" t="str">
        <f t="shared" si="191"/>
        <v/>
      </c>
      <c r="HD20" s="516" t="str">
        <f t="shared" si="192"/>
        <v/>
      </c>
      <c r="HE20" s="516" t="str">
        <f t="shared" si="193"/>
        <v/>
      </c>
      <c r="HF20" s="516" t="str">
        <f t="shared" si="194"/>
        <v/>
      </c>
      <c r="HG20" s="516" t="str">
        <f t="shared" si="195"/>
        <v/>
      </c>
      <c r="HH20" s="516" t="str">
        <f t="shared" si="196"/>
        <v/>
      </c>
      <c r="HI20" s="516" t="str">
        <f t="shared" si="197"/>
        <v/>
      </c>
      <c r="HJ20" s="516" t="str">
        <f t="shared" si="198"/>
        <v/>
      </c>
      <c r="HK20" s="516" t="str">
        <f t="shared" si="199"/>
        <v/>
      </c>
      <c r="HL20" s="516" t="str">
        <f t="shared" si="200"/>
        <v/>
      </c>
      <c r="HM20" s="516" t="str">
        <f t="shared" si="201"/>
        <v/>
      </c>
      <c r="HN20" s="516" t="str">
        <f t="shared" si="202"/>
        <v/>
      </c>
      <c r="HO20" s="516" t="str">
        <f t="shared" si="203"/>
        <v/>
      </c>
      <c r="HP20" s="516" t="str">
        <f t="shared" si="204"/>
        <v/>
      </c>
      <c r="HQ20" s="516" t="str">
        <f t="shared" si="205"/>
        <v/>
      </c>
      <c r="HR20" s="516" t="str">
        <f t="shared" si="206"/>
        <v/>
      </c>
      <c r="HS20" s="516" t="str">
        <f t="shared" si="207"/>
        <v/>
      </c>
      <c r="HT20" s="516" t="str">
        <f t="shared" si="208"/>
        <v/>
      </c>
      <c r="HU20" s="516" t="str">
        <f t="shared" si="209"/>
        <v/>
      </c>
      <c r="HV20" s="516" t="str">
        <f t="shared" si="210"/>
        <v/>
      </c>
      <c r="HW20" s="516" t="str">
        <f t="shared" si="211"/>
        <v/>
      </c>
      <c r="HX20" s="516" t="str">
        <f t="shared" si="212"/>
        <v/>
      </c>
      <c r="HY20" s="516" t="str">
        <f t="shared" si="213"/>
        <v/>
      </c>
      <c r="HZ20" s="516" t="str">
        <f t="shared" si="214"/>
        <v/>
      </c>
      <c r="IA20" s="516" t="str">
        <f t="shared" si="215"/>
        <v/>
      </c>
      <c r="IB20" s="516" t="str">
        <f t="shared" si="216"/>
        <v/>
      </c>
      <c r="IC20" s="516" t="str">
        <f t="shared" si="217"/>
        <v/>
      </c>
      <c r="ID20" s="517" t="str">
        <f t="shared" si="218"/>
        <v/>
      </c>
      <c r="IE20" s="517" t="str">
        <f t="shared" si="219"/>
        <v/>
      </c>
      <c r="IF20" s="517" t="str">
        <f t="shared" si="220"/>
        <v/>
      </c>
      <c r="IG20" s="517" t="str">
        <f t="shared" si="221"/>
        <v/>
      </c>
      <c r="IH20" s="517" t="str">
        <f t="shared" si="222"/>
        <v/>
      </c>
      <c r="II20" s="506" t="str">
        <f t="shared" si="223"/>
        <v/>
      </c>
      <c r="IJ20" s="506" t="str">
        <f t="shared" si="224"/>
        <v/>
      </c>
      <c r="IK20" s="506" t="str">
        <f t="shared" si="225"/>
        <v/>
      </c>
      <c r="IL20" s="506" t="str">
        <f t="shared" si="226"/>
        <v/>
      </c>
      <c r="IM20" s="506" t="str">
        <f t="shared" si="227"/>
        <v/>
      </c>
      <c r="IN20" s="506" t="str">
        <f t="shared" si="228"/>
        <v/>
      </c>
      <c r="IO20" s="506" t="str">
        <f t="shared" si="229"/>
        <v/>
      </c>
      <c r="IP20" s="506" t="str">
        <f t="shared" si="230"/>
        <v/>
      </c>
      <c r="IQ20" s="506" t="str">
        <f t="shared" si="231"/>
        <v/>
      </c>
      <c r="IR20" s="506" t="str">
        <f t="shared" si="232"/>
        <v/>
      </c>
      <c r="IS20" s="506" t="str">
        <f t="shared" si="233"/>
        <v/>
      </c>
      <c r="IT20" s="506" t="str">
        <f t="shared" si="234"/>
        <v/>
      </c>
      <c r="IU20" s="506" t="str">
        <f t="shared" si="235"/>
        <v/>
      </c>
      <c r="IV20" s="506" t="str">
        <f t="shared" si="236"/>
        <v/>
      </c>
      <c r="IW20" s="506" t="str">
        <f t="shared" si="237"/>
        <v/>
      </c>
      <c r="IX20" s="506" t="str">
        <f t="shared" si="238"/>
        <v/>
      </c>
      <c r="IY20" s="506" t="str">
        <f t="shared" si="239"/>
        <v/>
      </c>
      <c r="IZ20" s="506" t="str">
        <f t="shared" si="240"/>
        <v/>
      </c>
      <c r="JA20" s="506" t="str">
        <f t="shared" si="241"/>
        <v/>
      </c>
      <c r="JB20" s="506" t="str">
        <f t="shared" si="242"/>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24" t="s">
        <v>1858</v>
      </c>
      <c r="C21" s="2525"/>
      <c r="D21" s="2526"/>
      <c r="E21" s="2527"/>
      <c r="F21" s="2527"/>
      <c r="G21" s="2527"/>
      <c r="H21" s="2527"/>
      <c r="I21" s="2527"/>
      <c r="J21" s="2528"/>
      <c r="K21" s="825">
        <f t="shared" si="1"/>
        <v>0</v>
      </c>
      <c r="L21" s="825">
        <f t="shared" si="2"/>
        <v>0</v>
      </c>
      <c r="M21" s="1301"/>
      <c r="N21" s="1301"/>
      <c r="O21" s="1301"/>
      <c r="P21" s="2529"/>
      <c r="Q21" s="2530" t="str">
        <f t="shared" si="243"/>
        <v/>
      </c>
      <c r="R21" s="2531" t="str">
        <f>IF(H21="","",IF(C21="Efficiency",Q21/($O$6*VLOOKUP(0,'DCA Underwriting Assumptions'!$J$118:$K$123,2,FALSE)),Q21/($O$6*VLOOKUP(C21,'DCA Underwriting Assumptions'!$J$118:$K$123,2,FALSE))))</f>
        <v/>
      </c>
      <c r="S21" s="2532"/>
      <c r="T21" s="2531"/>
      <c r="U21" s="2533"/>
      <c r="V21" s="2458"/>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53"/>
        <v/>
      </c>
      <c r="BV21" s="506" t="str">
        <f t="shared" si="54"/>
        <v/>
      </c>
      <c r="BW21" s="506" t="str">
        <f t="shared" si="55"/>
        <v/>
      </c>
      <c r="BX21" s="506" t="str">
        <f t="shared" si="56"/>
        <v/>
      </c>
      <c r="BY21" s="506" t="str">
        <f t="shared" si="57"/>
        <v/>
      </c>
      <c r="BZ21" s="506" t="str">
        <f t="shared" si="58"/>
        <v/>
      </c>
      <c r="CA21" s="506" t="str">
        <f t="shared" si="59"/>
        <v/>
      </c>
      <c r="CB21" s="506" t="str">
        <f t="shared" si="60"/>
        <v/>
      </c>
      <c r="CC21" s="506" t="str">
        <f t="shared" si="61"/>
        <v/>
      </c>
      <c r="CD21" s="506" t="str">
        <f t="shared" si="62"/>
        <v/>
      </c>
      <c r="CE21" s="506" t="str">
        <f t="shared" si="63"/>
        <v/>
      </c>
      <c r="CF21" s="506" t="str">
        <f t="shared" si="64"/>
        <v/>
      </c>
      <c r="CG21" s="506" t="str">
        <f t="shared" si="65"/>
        <v/>
      </c>
      <c r="CH21" s="506" t="str">
        <f t="shared" si="66"/>
        <v/>
      </c>
      <c r="CI21" s="506" t="str">
        <f t="shared" si="67"/>
        <v/>
      </c>
      <c r="CJ21" s="506" t="str">
        <f t="shared" si="68"/>
        <v/>
      </c>
      <c r="CK21" s="506" t="str">
        <f t="shared" si="69"/>
        <v/>
      </c>
      <c r="CL21" s="506" t="str">
        <f t="shared" si="70"/>
        <v/>
      </c>
      <c r="CM21" s="506" t="str">
        <f t="shared" si="71"/>
        <v/>
      </c>
      <c r="CN21" s="506" t="str">
        <f t="shared" si="72"/>
        <v/>
      </c>
      <c r="CO21" s="506" t="str">
        <f t="shared" si="73"/>
        <v/>
      </c>
      <c r="CP21" s="506" t="str">
        <f t="shared" si="74"/>
        <v/>
      </c>
      <c r="CQ21" s="506" t="str">
        <f t="shared" si="75"/>
        <v/>
      </c>
      <c r="CR21" s="506" t="str">
        <f t="shared" si="76"/>
        <v/>
      </c>
      <c r="CS21" s="506" t="str">
        <f t="shared" si="77"/>
        <v/>
      </c>
      <c r="CT21" s="506" t="str">
        <f t="shared" si="78"/>
        <v/>
      </c>
      <c r="CU21" s="506" t="str">
        <f t="shared" si="79"/>
        <v/>
      </c>
      <c r="CV21" s="506" t="str">
        <f t="shared" si="80"/>
        <v/>
      </c>
      <c r="CW21" s="506" t="str">
        <f t="shared" si="81"/>
        <v/>
      </c>
      <c r="CX21" s="506" t="str">
        <f t="shared" si="82"/>
        <v/>
      </c>
      <c r="CY21" s="506" t="str">
        <f t="shared" si="83"/>
        <v/>
      </c>
      <c r="CZ21" s="506" t="str">
        <f t="shared" si="84"/>
        <v/>
      </c>
      <c r="DA21" s="506" t="str">
        <f t="shared" si="85"/>
        <v/>
      </c>
      <c r="DB21" s="506" t="str">
        <f t="shared" si="86"/>
        <v/>
      </c>
      <c r="DC21" s="506" t="str">
        <f t="shared" si="87"/>
        <v/>
      </c>
      <c r="DD21" s="506" t="str">
        <f t="shared" si="88"/>
        <v/>
      </c>
      <c r="DE21" s="506" t="str">
        <f t="shared" si="89"/>
        <v/>
      </c>
      <c r="DF21" s="506" t="str">
        <f t="shared" si="90"/>
        <v/>
      </c>
      <c r="DG21" s="506" t="str">
        <f t="shared" si="91"/>
        <v/>
      </c>
      <c r="DH21" s="506" t="str">
        <f t="shared" si="92"/>
        <v/>
      </c>
      <c r="DI21" s="506" t="str">
        <f t="shared" si="93"/>
        <v/>
      </c>
      <c r="DJ21" s="506" t="str">
        <f t="shared" si="94"/>
        <v/>
      </c>
      <c r="DK21" s="506" t="str">
        <f t="shared" si="95"/>
        <v/>
      </c>
      <c r="DL21" s="506" t="str">
        <f t="shared" si="96"/>
        <v/>
      </c>
      <c r="DM21" s="506" t="str">
        <f t="shared" si="97"/>
        <v/>
      </c>
      <c r="DN21" s="506" t="str">
        <f t="shared" si="98"/>
        <v/>
      </c>
      <c r="DO21" s="506" t="str">
        <f t="shared" si="99"/>
        <v/>
      </c>
      <c r="DP21" s="506" t="str">
        <f t="shared" si="100"/>
        <v/>
      </c>
      <c r="DQ21" s="506" t="str">
        <f t="shared" si="101"/>
        <v/>
      </c>
      <c r="DR21" s="506" t="str">
        <f t="shared" si="102"/>
        <v/>
      </c>
      <c r="DS21" s="506" t="str">
        <f t="shared" si="103"/>
        <v/>
      </c>
      <c r="DT21" s="506" t="str">
        <f t="shared" si="104"/>
        <v/>
      </c>
      <c r="DU21" s="506" t="str">
        <f t="shared" si="105"/>
        <v/>
      </c>
      <c r="DV21" s="506" t="str">
        <f t="shared" si="106"/>
        <v/>
      </c>
      <c r="DW21" s="506" t="str">
        <f t="shared" si="107"/>
        <v/>
      </c>
      <c r="DX21" s="506" t="str">
        <f t="shared" si="108"/>
        <v/>
      </c>
      <c r="DY21" s="506" t="str">
        <f t="shared" si="109"/>
        <v/>
      </c>
      <c r="DZ21" s="506" t="str">
        <f t="shared" si="110"/>
        <v/>
      </c>
      <c r="EA21" s="506" t="str">
        <f t="shared" si="111"/>
        <v/>
      </c>
      <c r="EB21" s="506" t="str">
        <f t="shared" si="112"/>
        <v/>
      </c>
      <c r="EC21" s="506" t="str">
        <f t="shared" si="113"/>
        <v/>
      </c>
      <c r="ED21" s="506" t="str">
        <f t="shared" si="114"/>
        <v/>
      </c>
      <c r="EE21" s="506" t="str">
        <f t="shared" si="115"/>
        <v/>
      </c>
      <c r="EF21" s="506" t="str">
        <f t="shared" si="116"/>
        <v/>
      </c>
      <c r="EG21" s="506" t="str">
        <f t="shared" si="117"/>
        <v/>
      </c>
      <c r="EH21" s="506" t="str">
        <f t="shared" si="118"/>
        <v/>
      </c>
      <c r="EI21" s="506" t="str">
        <f t="shared" si="119"/>
        <v/>
      </c>
      <c r="EJ21" s="506" t="str">
        <f t="shared" si="120"/>
        <v/>
      </c>
      <c r="EK21" s="506" t="str">
        <f t="shared" si="121"/>
        <v/>
      </c>
      <c r="EL21" s="506" t="str">
        <f t="shared" si="122"/>
        <v/>
      </c>
      <c r="EM21" s="506" t="str">
        <f t="shared" si="123"/>
        <v/>
      </c>
      <c r="EN21" s="506" t="str">
        <f t="shared" si="124"/>
        <v/>
      </c>
      <c r="EO21" s="506" t="str">
        <f t="shared" si="125"/>
        <v/>
      </c>
      <c r="EP21" s="506" t="str">
        <f t="shared" si="126"/>
        <v/>
      </c>
      <c r="EQ21" s="506" t="str">
        <f t="shared" si="127"/>
        <v/>
      </c>
      <c r="ER21" s="506" t="str">
        <f t="shared" si="128"/>
        <v/>
      </c>
      <c r="ES21" s="506" t="str">
        <f t="shared" si="129"/>
        <v/>
      </c>
      <c r="ET21" s="506" t="str">
        <f t="shared" si="130"/>
        <v/>
      </c>
      <c r="EU21" s="506" t="str">
        <f t="shared" si="131"/>
        <v/>
      </c>
      <c r="EV21" s="506" t="str">
        <f t="shared" si="132"/>
        <v/>
      </c>
      <c r="EW21" s="516" t="str">
        <f t="shared" si="133"/>
        <v/>
      </c>
      <c r="EX21" s="516" t="str">
        <f t="shared" si="134"/>
        <v/>
      </c>
      <c r="EY21" s="516" t="str">
        <f t="shared" si="135"/>
        <v/>
      </c>
      <c r="EZ21" s="516" t="str">
        <f t="shared" si="136"/>
        <v/>
      </c>
      <c r="FA21" s="516" t="str">
        <f t="shared" si="137"/>
        <v/>
      </c>
      <c r="FB21" s="516" t="str">
        <f t="shared" si="138"/>
        <v/>
      </c>
      <c r="FC21" s="516" t="str">
        <f t="shared" si="139"/>
        <v/>
      </c>
      <c r="FD21" s="516" t="str">
        <f t="shared" si="140"/>
        <v/>
      </c>
      <c r="FE21" s="516" t="str">
        <f t="shared" si="141"/>
        <v/>
      </c>
      <c r="FF21" s="516" t="str">
        <f t="shared" si="142"/>
        <v/>
      </c>
      <c r="FG21" s="516" t="str">
        <f t="shared" si="143"/>
        <v/>
      </c>
      <c r="FH21" s="516" t="str">
        <f t="shared" si="144"/>
        <v/>
      </c>
      <c r="FI21" s="516" t="str">
        <f t="shared" si="145"/>
        <v/>
      </c>
      <c r="FJ21" s="516" t="str">
        <f t="shared" si="146"/>
        <v/>
      </c>
      <c r="FK21" s="516" t="str">
        <f t="shared" si="147"/>
        <v/>
      </c>
      <c r="FL21" s="516" t="str">
        <f t="shared" si="148"/>
        <v/>
      </c>
      <c r="FM21" s="516" t="str">
        <f t="shared" si="149"/>
        <v/>
      </c>
      <c r="FN21" s="516" t="str">
        <f t="shared" si="150"/>
        <v/>
      </c>
      <c r="FO21" s="516" t="str">
        <f t="shared" si="151"/>
        <v/>
      </c>
      <c r="FP21" s="516" t="str">
        <f t="shared" si="152"/>
        <v/>
      </c>
      <c r="FQ21" s="516" t="str">
        <f t="shared" si="153"/>
        <v/>
      </c>
      <c r="FR21" s="516" t="str">
        <f t="shared" si="154"/>
        <v/>
      </c>
      <c r="FS21" s="516" t="str">
        <f t="shared" si="155"/>
        <v/>
      </c>
      <c r="FT21" s="516" t="str">
        <f t="shared" si="156"/>
        <v/>
      </c>
      <c r="FU21" s="516" t="str">
        <f t="shared" si="157"/>
        <v/>
      </c>
      <c r="FV21" s="516" t="str">
        <f t="shared" si="158"/>
        <v/>
      </c>
      <c r="FW21" s="516" t="str">
        <f t="shared" si="159"/>
        <v/>
      </c>
      <c r="FX21" s="516" t="str">
        <f t="shared" si="160"/>
        <v/>
      </c>
      <c r="FY21" s="516" t="str">
        <f t="shared" si="161"/>
        <v/>
      </c>
      <c r="FZ21" s="516" t="str">
        <f t="shared" si="162"/>
        <v/>
      </c>
      <c r="GA21" s="516" t="str">
        <f t="shared" si="163"/>
        <v/>
      </c>
      <c r="GB21" s="516" t="str">
        <f t="shared" si="164"/>
        <v/>
      </c>
      <c r="GC21" s="516" t="str">
        <f t="shared" si="165"/>
        <v/>
      </c>
      <c r="GD21" s="516" t="str">
        <f t="shared" si="166"/>
        <v/>
      </c>
      <c r="GE21" s="516" t="str">
        <f t="shared" si="167"/>
        <v/>
      </c>
      <c r="GF21" s="516" t="str">
        <f t="shared" si="168"/>
        <v/>
      </c>
      <c r="GG21" s="516" t="str">
        <f t="shared" si="169"/>
        <v/>
      </c>
      <c r="GH21" s="516" t="str">
        <f t="shared" si="170"/>
        <v/>
      </c>
      <c r="GI21" s="516" t="str">
        <f t="shared" si="171"/>
        <v/>
      </c>
      <c r="GJ21" s="516" t="str">
        <f t="shared" si="172"/>
        <v/>
      </c>
      <c r="GK21" s="516" t="str">
        <f t="shared" si="173"/>
        <v/>
      </c>
      <c r="GL21" s="516" t="str">
        <f t="shared" si="174"/>
        <v/>
      </c>
      <c r="GM21" s="516" t="str">
        <f t="shared" si="175"/>
        <v/>
      </c>
      <c r="GN21" s="516" t="str">
        <f t="shared" si="176"/>
        <v/>
      </c>
      <c r="GO21" s="516" t="str">
        <f t="shared" si="177"/>
        <v/>
      </c>
      <c r="GP21" s="516" t="str">
        <f t="shared" si="178"/>
        <v/>
      </c>
      <c r="GQ21" s="516" t="str">
        <f t="shared" si="179"/>
        <v/>
      </c>
      <c r="GR21" s="516" t="str">
        <f t="shared" si="180"/>
        <v/>
      </c>
      <c r="GS21" s="516" t="str">
        <f t="shared" si="181"/>
        <v/>
      </c>
      <c r="GT21" s="516" t="str">
        <f t="shared" si="182"/>
        <v/>
      </c>
      <c r="GU21" s="516" t="str">
        <f t="shared" si="183"/>
        <v/>
      </c>
      <c r="GV21" s="516" t="str">
        <f t="shared" si="184"/>
        <v/>
      </c>
      <c r="GW21" s="516" t="str">
        <f t="shared" si="185"/>
        <v/>
      </c>
      <c r="GX21" s="516" t="str">
        <f t="shared" si="186"/>
        <v/>
      </c>
      <c r="GY21" s="516" t="str">
        <f t="shared" si="187"/>
        <v/>
      </c>
      <c r="GZ21" s="516" t="str">
        <f t="shared" si="188"/>
        <v/>
      </c>
      <c r="HA21" s="516" t="str">
        <f t="shared" si="189"/>
        <v/>
      </c>
      <c r="HB21" s="516" t="str">
        <f t="shared" si="190"/>
        <v/>
      </c>
      <c r="HC21" s="516" t="str">
        <f t="shared" si="191"/>
        <v/>
      </c>
      <c r="HD21" s="516" t="str">
        <f t="shared" si="192"/>
        <v/>
      </c>
      <c r="HE21" s="516" t="str">
        <f t="shared" si="193"/>
        <v/>
      </c>
      <c r="HF21" s="516" t="str">
        <f t="shared" si="194"/>
        <v/>
      </c>
      <c r="HG21" s="516" t="str">
        <f t="shared" si="195"/>
        <v/>
      </c>
      <c r="HH21" s="516" t="str">
        <f t="shared" si="196"/>
        <v/>
      </c>
      <c r="HI21" s="516" t="str">
        <f t="shared" si="197"/>
        <v/>
      </c>
      <c r="HJ21" s="516" t="str">
        <f t="shared" si="198"/>
        <v/>
      </c>
      <c r="HK21" s="516" t="str">
        <f t="shared" si="199"/>
        <v/>
      </c>
      <c r="HL21" s="516" t="str">
        <f t="shared" si="200"/>
        <v/>
      </c>
      <c r="HM21" s="516" t="str">
        <f t="shared" si="201"/>
        <v/>
      </c>
      <c r="HN21" s="516" t="str">
        <f t="shared" si="202"/>
        <v/>
      </c>
      <c r="HO21" s="516" t="str">
        <f t="shared" si="203"/>
        <v/>
      </c>
      <c r="HP21" s="516" t="str">
        <f t="shared" si="204"/>
        <v/>
      </c>
      <c r="HQ21" s="516" t="str">
        <f t="shared" si="205"/>
        <v/>
      </c>
      <c r="HR21" s="516" t="str">
        <f t="shared" si="206"/>
        <v/>
      </c>
      <c r="HS21" s="516" t="str">
        <f t="shared" si="207"/>
        <v/>
      </c>
      <c r="HT21" s="516" t="str">
        <f t="shared" si="208"/>
        <v/>
      </c>
      <c r="HU21" s="516" t="str">
        <f t="shared" si="209"/>
        <v/>
      </c>
      <c r="HV21" s="516" t="str">
        <f t="shared" si="210"/>
        <v/>
      </c>
      <c r="HW21" s="516" t="str">
        <f t="shared" si="211"/>
        <v/>
      </c>
      <c r="HX21" s="516" t="str">
        <f t="shared" si="212"/>
        <v/>
      </c>
      <c r="HY21" s="516" t="str">
        <f t="shared" si="213"/>
        <v/>
      </c>
      <c r="HZ21" s="516" t="str">
        <f t="shared" si="214"/>
        <v/>
      </c>
      <c r="IA21" s="516" t="str">
        <f t="shared" si="215"/>
        <v/>
      </c>
      <c r="IB21" s="516" t="str">
        <f t="shared" si="216"/>
        <v/>
      </c>
      <c r="IC21" s="516" t="str">
        <f t="shared" si="217"/>
        <v/>
      </c>
      <c r="ID21" s="517" t="str">
        <f t="shared" si="218"/>
        <v/>
      </c>
      <c r="IE21" s="517" t="str">
        <f t="shared" si="219"/>
        <v/>
      </c>
      <c r="IF21" s="517" t="str">
        <f t="shared" si="220"/>
        <v/>
      </c>
      <c r="IG21" s="517" t="str">
        <f t="shared" si="221"/>
        <v/>
      </c>
      <c r="IH21" s="517" t="str">
        <f t="shared" si="222"/>
        <v/>
      </c>
      <c r="II21" s="506" t="str">
        <f t="shared" si="223"/>
        <v/>
      </c>
      <c r="IJ21" s="506" t="str">
        <f t="shared" si="224"/>
        <v/>
      </c>
      <c r="IK21" s="506" t="str">
        <f t="shared" si="225"/>
        <v/>
      </c>
      <c r="IL21" s="506" t="str">
        <f t="shared" si="226"/>
        <v/>
      </c>
      <c r="IM21" s="506" t="str">
        <f t="shared" si="227"/>
        <v/>
      </c>
      <c r="IN21" s="506" t="str">
        <f t="shared" si="228"/>
        <v/>
      </c>
      <c r="IO21" s="506" t="str">
        <f t="shared" si="229"/>
        <v/>
      </c>
      <c r="IP21" s="506" t="str">
        <f t="shared" si="230"/>
        <v/>
      </c>
      <c r="IQ21" s="506" t="str">
        <f t="shared" si="231"/>
        <v/>
      </c>
      <c r="IR21" s="506" t="str">
        <f t="shared" si="232"/>
        <v/>
      </c>
      <c r="IS21" s="506" t="str">
        <f t="shared" si="233"/>
        <v/>
      </c>
      <c r="IT21" s="506" t="str">
        <f t="shared" si="234"/>
        <v/>
      </c>
      <c r="IU21" s="506" t="str">
        <f t="shared" si="235"/>
        <v/>
      </c>
      <c r="IV21" s="506" t="str">
        <f t="shared" si="236"/>
        <v/>
      </c>
      <c r="IW21" s="506" t="str">
        <f t="shared" si="237"/>
        <v/>
      </c>
      <c r="IX21" s="506" t="str">
        <f t="shared" si="238"/>
        <v/>
      </c>
      <c r="IY21" s="506" t="str">
        <f t="shared" si="239"/>
        <v/>
      </c>
      <c r="IZ21" s="506" t="str">
        <f t="shared" si="240"/>
        <v/>
      </c>
      <c r="JA21" s="506" t="str">
        <f t="shared" si="241"/>
        <v/>
      </c>
      <c r="JB21" s="506" t="str">
        <f t="shared" si="242"/>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24" t="s">
        <v>1858</v>
      </c>
      <c r="C22" s="2525"/>
      <c r="D22" s="2526"/>
      <c r="E22" s="2527"/>
      <c r="F22" s="2527"/>
      <c r="G22" s="2527"/>
      <c r="H22" s="2527"/>
      <c r="I22" s="2527"/>
      <c r="J22" s="2528"/>
      <c r="K22" s="825">
        <f t="shared" si="1"/>
        <v>0</v>
      </c>
      <c r="L22" s="825">
        <f t="shared" si="2"/>
        <v>0</v>
      </c>
      <c r="M22" s="1301"/>
      <c r="N22" s="1301"/>
      <c r="O22" s="1301"/>
      <c r="P22" s="2529"/>
      <c r="Q22" s="2530" t="str">
        <f t="shared" si="243"/>
        <v/>
      </c>
      <c r="R22" s="2531" t="str">
        <f>IF(H22="","",IF(C22="Efficiency",Q22/($O$6*VLOOKUP(0,'DCA Underwriting Assumptions'!$J$118:$K$123,2,FALSE)),Q22/($O$6*VLOOKUP(C22,'DCA Underwriting Assumptions'!$J$118:$K$123,2,FALSE))))</f>
        <v/>
      </c>
      <c r="S22" s="2532"/>
      <c r="T22" s="2531"/>
      <c r="U22" s="2533"/>
      <c r="V22" s="2458"/>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53"/>
        <v/>
      </c>
      <c r="BV22" s="506" t="str">
        <f t="shared" si="54"/>
        <v/>
      </c>
      <c r="BW22" s="506" t="str">
        <f t="shared" si="55"/>
        <v/>
      </c>
      <c r="BX22" s="506" t="str">
        <f t="shared" si="56"/>
        <v/>
      </c>
      <c r="BY22" s="506" t="str">
        <f t="shared" si="57"/>
        <v/>
      </c>
      <c r="BZ22" s="506" t="str">
        <f t="shared" si="58"/>
        <v/>
      </c>
      <c r="CA22" s="506" t="str">
        <f t="shared" si="59"/>
        <v/>
      </c>
      <c r="CB22" s="506" t="str">
        <f t="shared" si="60"/>
        <v/>
      </c>
      <c r="CC22" s="506" t="str">
        <f t="shared" si="61"/>
        <v/>
      </c>
      <c r="CD22" s="506" t="str">
        <f t="shared" si="62"/>
        <v/>
      </c>
      <c r="CE22" s="506" t="str">
        <f t="shared" si="63"/>
        <v/>
      </c>
      <c r="CF22" s="506" t="str">
        <f t="shared" si="64"/>
        <v/>
      </c>
      <c r="CG22" s="506" t="str">
        <f t="shared" si="65"/>
        <v/>
      </c>
      <c r="CH22" s="506" t="str">
        <f t="shared" si="66"/>
        <v/>
      </c>
      <c r="CI22" s="506" t="str">
        <f t="shared" si="67"/>
        <v/>
      </c>
      <c r="CJ22" s="506" t="str">
        <f t="shared" si="68"/>
        <v/>
      </c>
      <c r="CK22" s="506" t="str">
        <f t="shared" si="69"/>
        <v/>
      </c>
      <c r="CL22" s="506" t="str">
        <f t="shared" si="70"/>
        <v/>
      </c>
      <c r="CM22" s="506" t="str">
        <f t="shared" si="71"/>
        <v/>
      </c>
      <c r="CN22" s="506" t="str">
        <f t="shared" si="72"/>
        <v/>
      </c>
      <c r="CO22" s="506" t="str">
        <f t="shared" si="73"/>
        <v/>
      </c>
      <c r="CP22" s="506" t="str">
        <f t="shared" si="74"/>
        <v/>
      </c>
      <c r="CQ22" s="506" t="str">
        <f t="shared" si="75"/>
        <v/>
      </c>
      <c r="CR22" s="506" t="str">
        <f t="shared" si="76"/>
        <v/>
      </c>
      <c r="CS22" s="506" t="str">
        <f t="shared" si="77"/>
        <v/>
      </c>
      <c r="CT22" s="506" t="str">
        <f t="shared" si="78"/>
        <v/>
      </c>
      <c r="CU22" s="506" t="str">
        <f t="shared" si="79"/>
        <v/>
      </c>
      <c r="CV22" s="506" t="str">
        <f t="shared" si="80"/>
        <v/>
      </c>
      <c r="CW22" s="506" t="str">
        <f t="shared" si="81"/>
        <v/>
      </c>
      <c r="CX22" s="506" t="str">
        <f t="shared" si="82"/>
        <v/>
      </c>
      <c r="CY22" s="506" t="str">
        <f t="shared" si="83"/>
        <v/>
      </c>
      <c r="CZ22" s="506" t="str">
        <f t="shared" si="84"/>
        <v/>
      </c>
      <c r="DA22" s="506" t="str">
        <f t="shared" si="85"/>
        <v/>
      </c>
      <c r="DB22" s="506" t="str">
        <f t="shared" si="86"/>
        <v/>
      </c>
      <c r="DC22" s="506" t="str">
        <f t="shared" si="87"/>
        <v/>
      </c>
      <c r="DD22" s="506" t="str">
        <f t="shared" si="88"/>
        <v/>
      </c>
      <c r="DE22" s="506" t="str">
        <f t="shared" si="89"/>
        <v/>
      </c>
      <c r="DF22" s="506" t="str">
        <f t="shared" si="90"/>
        <v/>
      </c>
      <c r="DG22" s="506" t="str">
        <f t="shared" si="91"/>
        <v/>
      </c>
      <c r="DH22" s="506" t="str">
        <f t="shared" si="92"/>
        <v/>
      </c>
      <c r="DI22" s="506" t="str">
        <f t="shared" si="93"/>
        <v/>
      </c>
      <c r="DJ22" s="506" t="str">
        <f t="shared" si="94"/>
        <v/>
      </c>
      <c r="DK22" s="506" t="str">
        <f t="shared" si="95"/>
        <v/>
      </c>
      <c r="DL22" s="506" t="str">
        <f t="shared" si="96"/>
        <v/>
      </c>
      <c r="DM22" s="506" t="str">
        <f t="shared" si="97"/>
        <v/>
      </c>
      <c r="DN22" s="506" t="str">
        <f t="shared" si="98"/>
        <v/>
      </c>
      <c r="DO22" s="506" t="str">
        <f t="shared" si="99"/>
        <v/>
      </c>
      <c r="DP22" s="506" t="str">
        <f t="shared" si="100"/>
        <v/>
      </c>
      <c r="DQ22" s="506" t="str">
        <f t="shared" si="101"/>
        <v/>
      </c>
      <c r="DR22" s="506" t="str">
        <f t="shared" si="102"/>
        <v/>
      </c>
      <c r="DS22" s="506" t="str">
        <f t="shared" si="103"/>
        <v/>
      </c>
      <c r="DT22" s="506" t="str">
        <f t="shared" si="104"/>
        <v/>
      </c>
      <c r="DU22" s="506" t="str">
        <f t="shared" si="105"/>
        <v/>
      </c>
      <c r="DV22" s="506" t="str">
        <f t="shared" si="106"/>
        <v/>
      </c>
      <c r="DW22" s="506" t="str">
        <f t="shared" si="107"/>
        <v/>
      </c>
      <c r="DX22" s="506" t="str">
        <f t="shared" si="108"/>
        <v/>
      </c>
      <c r="DY22" s="506" t="str">
        <f t="shared" si="109"/>
        <v/>
      </c>
      <c r="DZ22" s="506" t="str">
        <f t="shared" si="110"/>
        <v/>
      </c>
      <c r="EA22" s="506" t="str">
        <f t="shared" si="111"/>
        <v/>
      </c>
      <c r="EB22" s="506" t="str">
        <f t="shared" si="112"/>
        <v/>
      </c>
      <c r="EC22" s="506" t="str">
        <f t="shared" si="113"/>
        <v/>
      </c>
      <c r="ED22" s="506" t="str">
        <f t="shared" si="114"/>
        <v/>
      </c>
      <c r="EE22" s="506" t="str">
        <f t="shared" si="115"/>
        <v/>
      </c>
      <c r="EF22" s="506" t="str">
        <f t="shared" si="116"/>
        <v/>
      </c>
      <c r="EG22" s="506" t="str">
        <f t="shared" si="117"/>
        <v/>
      </c>
      <c r="EH22" s="506" t="str">
        <f t="shared" si="118"/>
        <v/>
      </c>
      <c r="EI22" s="506" t="str">
        <f t="shared" si="119"/>
        <v/>
      </c>
      <c r="EJ22" s="506" t="str">
        <f t="shared" si="120"/>
        <v/>
      </c>
      <c r="EK22" s="506" t="str">
        <f t="shared" si="121"/>
        <v/>
      </c>
      <c r="EL22" s="506" t="str">
        <f t="shared" si="122"/>
        <v/>
      </c>
      <c r="EM22" s="506" t="str">
        <f t="shared" si="123"/>
        <v/>
      </c>
      <c r="EN22" s="506" t="str">
        <f t="shared" si="124"/>
        <v/>
      </c>
      <c r="EO22" s="506" t="str">
        <f t="shared" si="125"/>
        <v/>
      </c>
      <c r="EP22" s="506" t="str">
        <f t="shared" si="126"/>
        <v/>
      </c>
      <c r="EQ22" s="506" t="str">
        <f t="shared" si="127"/>
        <v/>
      </c>
      <c r="ER22" s="506" t="str">
        <f t="shared" si="128"/>
        <v/>
      </c>
      <c r="ES22" s="506" t="str">
        <f t="shared" si="129"/>
        <v/>
      </c>
      <c r="ET22" s="506" t="str">
        <f t="shared" si="130"/>
        <v/>
      </c>
      <c r="EU22" s="506" t="str">
        <f t="shared" si="131"/>
        <v/>
      </c>
      <c r="EV22" s="506" t="str">
        <f t="shared" si="132"/>
        <v/>
      </c>
      <c r="EW22" s="516" t="str">
        <f t="shared" si="133"/>
        <v/>
      </c>
      <c r="EX22" s="516" t="str">
        <f t="shared" si="134"/>
        <v/>
      </c>
      <c r="EY22" s="516" t="str">
        <f t="shared" si="135"/>
        <v/>
      </c>
      <c r="EZ22" s="516" t="str">
        <f t="shared" si="136"/>
        <v/>
      </c>
      <c r="FA22" s="516" t="str">
        <f t="shared" si="137"/>
        <v/>
      </c>
      <c r="FB22" s="516" t="str">
        <f t="shared" si="138"/>
        <v/>
      </c>
      <c r="FC22" s="516" t="str">
        <f t="shared" si="139"/>
        <v/>
      </c>
      <c r="FD22" s="516" t="str">
        <f t="shared" si="140"/>
        <v/>
      </c>
      <c r="FE22" s="516" t="str">
        <f t="shared" si="141"/>
        <v/>
      </c>
      <c r="FF22" s="516" t="str">
        <f t="shared" si="142"/>
        <v/>
      </c>
      <c r="FG22" s="516" t="str">
        <f t="shared" si="143"/>
        <v/>
      </c>
      <c r="FH22" s="516" t="str">
        <f t="shared" si="144"/>
        <v/>
      </c>
      <c r="FI22" s="516" t="str">
        <f t="shared" si="145"/>
        <v/>
      </c>
      <c r="FJ22" s="516" t="str">
        <f t="shared" si="146"/>
        <v/>
      </c>
      <c r="FK22" s="516" t="str">
        <f t="shared" si="147"/>
        <v/>
      </c>
      <c r="FL22" s="516" t="str">
        <f t="shared" si="148"/>
        <v/>
      </c>
      <c r="FM22" s="516" t="str">
        <f t="shared" si="149"/>
        <v/>
      </c>
      <c r="FN22" s="516" t="str">
        <f t="shared" si="150"/>
        <v/>
      </c>
      <c r="FO22" s="516" t="str">
        <f t="shared" si="151"/>
        <v/>
      </c>
      <c r="FP22" s="516" t="str">
        <f t="shared" si="152"/>
        <v/>
      </c>
      <c r="FQ22" s="516" t="str">
        <f t="shared" si="153"/>
        <v/>
      </c>
      <c r="FR22" s="516" t="str">
        <f t="shared" si="154"/>
        <v/>
      </c>
      <c r="FS22" s="516" t="str">
        <f t="shared" si="155"/>
        <v/>
      </c>
      <c r="FT22" s="516" t="str">
        <f t="shared" si="156"/>
        <v/>
      </c>
      <c r="FU22" s="516" t="str">
        <f t="shared" si="157"/>
        <v/>
      </c>
      <c r="FV22" s="516" t="str">
        <f t="shared" si="158"/>
        <v/>
      </c>
      <c r="FW22" s="516" t="str">
        <f t="shared" si="159"/>
        <v/>
      </c>
      <c r="FX22" s="516" t="str">
        <f t="shared" si="160"/>
        <v/>
      </c>
      <c r="FY22" s="516" t="str">
        <f t="shared" si="161"/>
        <v/>
      </c>
      <c r="FZ22" s="516" t="str">
        <f t="shared" si="162"/>
        <v/>
      </c>
      <c r="GA22" s="516" t="str">
        <f t="shared" si="163"/>
        <v/>
      </c>
      <c r="GB22" s="516" t="str">
        <f t="shared" si="164"/>
        <v/>
      </c>
      <c r="GC22" s="516" t="str">
        <f t="shared" si="165"/>
        <v/>
      </c>
      <c r="GD22" s="516" t="str">
        <f t="shared" si="166"/>
        <v/>
      </c>
      <c r="GE22" s="516" t="str">
        <f t="shared" si="167"/>
        <v/>
      </c>
      <c r="GF22" s="516" t="str">
        <f t="shared" si="168"/>
        <v/>
      </c>
      <c r="GG22" s="516" t="str">
        <f t="shared" si="169"/>
        <v/>
      </c>
      <c r="GH22" s="516" t="str">
        <f t="shared" si="170"/>
        <v/>
      </c>
      <c r="GI22" s="516" t="str">
        <f t="shared" si="171"/>
        <v/>
      </c>
      <c r="GJ22" s="516" t="str">
        <f t="shared" si="172"/>
        <v/>
      </c>
      <c r="GK22" s="516" t="str">
        <f t="shared" si="173"/>
        <v/>
      </c>
      <c r="GL22" s="516" t="str">
        <f t="shared" si="174"/>
        <v/>
      </c>
      <c r="GM22" s="516" t="str">
        <f t="shared" si="175"/>
        <v/>
      </c>
      <c r="GN22" s="516" t="str">
        <f t="shared" si="176"/>
        <v/>
      </c>
      <c r="GO22" s="516" t="str">
        <f t="shared" si="177"/>
        <v/>
      </c>
      <c r="GP22" s="516" t="str">
        <f t="shared" si="178"/>
        <v/>
      </c>
      <c r="GQ22" s="516" t="str">
        <f t="shared" si="179"/>
        <v/>
      </c>
      <c r="GR22" s="516" t="str">
        <f t="shared" si="180"/>
        <v/>
      </c>
      <c r="GS22" s="516" t="str">
        <f t="shared" si="181"/>
        <v/>
      </c>
      <c r="GT22" s="516" t="str">
        <f t="shared" si="182"/>
        <v/>
      </c>
      <c r="GU22" s="516" t="str">
        <f t="shared" si="183"/>
        <v/>
      </c>
      <c r="GV22" s="516" t="str">
        <f t="shared" si="184"/>
        <v/>
      </c>
      <c r="GW22" s="516" t="str">
        <f t="shared" si="185"/>
        <v/>
      </c>
      <c r="GX22" s="516" t="str">
        <f t="shared" si="186"/>
        <v/>
      </c>
      <c r="GY22" s="516" t="str">
        <f t="shared" si="187"/>
        <v/>
      </c>
      <c r="GZ22" s="516" t="str">
        <f t="shared" si="188"/>
        <v/>
      </c>
      <c r="HA22" s="516" t="str">
        <f t="shared" si="189"/>
        <v/>
      </c>
      <c r="HB22" s="516" t="str">
        <f t="shared" si="190"/>
        <v/>
      </c>
      <c r="HC22" s="516" t="str">
        <f t="shared" si="191"/>
        <v/>
      </c>
      <c r="HD22" s="516" t="str">
        <f t="shared" si="192"/>
        <v/>
      </c>
      <c r="HE22" s="516" t="str">
        <f t="shared" si="193"/>
        <v/>
      </c>
      <c r="HF22" s="516" t="str">
        <f t="shared" si="194"/>
        <v/>
      </c>
      <c r="HG22" s="516" t="str">
        <f t="shared" si="195"/>
        <v/>
      </c>
      <c r="HH22" s="516" t="str">
        <f t="shared" si="196"/>
        <v/>
      </c>
      <c r="HI22" s="516" t="str">
        <f t="shared" si="197"/>
        <v/>
      </c>
      <c r="HJ22" s="516" t="str">
        <f t="shared" si="198"/>
        <v/>
      </c>
      <c r="HK22" s="516" t="str">
        <f t="shared" si="199"/>
        <v/>
      </c>
      <c r="HL22" s="516" t="str">
        <f t="shared" si="200"/>
        <v/>
      </c>
      <c r="HM22" s="516" t="str">
        <f t="shared" si="201"/>
        <v/>
      </c>
      <c r="HN22" s="516" t="str">
        <f t="shared" si="202"/>
        <v/>
      </c>
      <c r="HO22" s="516" t="str">
        <f t="shared" si="203"/>
        <v/>
      </c>
      <c r="HP22" s="516" t="str">
        <f t="shared" si="204"/>
        <v/>
      </c>
      <c r="HQ22" s="516" t="str">
        <f t="shared" si="205"/>
        <v/>
      </c>
      <c r="HR22" s="516" t="str">
        <f t="shared" si="206"/>
        <v/>
      </c>
      <c r="HS22" s="516" t="str">
        <f t="shared" si="207"/>
        <v/>
      </c>
      <c r="HT22" s="516" t="str">
        <f t="shared" si="208"/>
        <v/>
      </c>
      <c r="HU22" s="516" t="str">
        <f t="shared" si="209"/>
        <v/>
      </c>
      <c r="HV22" s="516" t="str">
        <f t="shared" si="210"/>
        <v/>
      </c>
      <c r="HW22" s="516" t="str">
        <f t="shared" si="211"/>
        <v/>
      </c>
      <c r="HX22" s="516" t="str">
        <f t="shared" si="212"/>
        <v/>
      </c>
      <c r="HY22" s="516" t="str">
        <f t="shared" si="213"/>
        <v/>
      </c>
      <c r="HZ22" s="516" t="str">
        <f t="shared" si="214"/>
        <v/>
      </c>
      <c r="IA22" s="516" t="str">
        <f t="shared" si="215"/>
        <v/>
      </c>
      <c r="IB22" s="516" t="str">
        <f t="shared" si="216"/>
        <v/>
      </c>
      <c r="IC22" s="516" t="str">
        <f t="shared" si="217"/>
        <v/>
      </c>
      <c r="ID22" s="517" t="str">
        <f t="shared" si="218"/>
        <v/>
      </c>
      <c r="IE22" s="517" t="str">
        <f t="shared" si="219"/>
        <v/>
      </c>
      <c r="IF22" s="517" t="str">
        <f t="shared" si="220"/>
        <v/>
      </c>
      <c r="IG22" s="517" t="str">
        <f t="shared" si="221"/>
        <v/>
      </c>
      <c r="IH22" s="517" t="str">
        <f t="shared" si="222"/>
        <v/>
      </c>
      <c r="II22" s="506" t="str">
        <f t="shared" si="223"/>
        <v/>
      </c>
      <c r="IJ22" s="506" t="str">
        <f t="shared" si="224"/>
        <v/>
      </c>
      <c r="IK22" s="506" t="str">
        <f t="shared" si="225"/>
        <v/>
      </c>
      <c r="IL22" s="506" t="str">
        <f t="shared" si="226"/>
        <v/>
      </c>
      <c r="IM22" s="506" t="str">
        <f t="shared" si="227"/>
        <v/>
      </c>
      <c r="IN22" s="506" t="str">
        <f t="shared" si="228"/>
        <v/>
      </c>
      <c r="IO22" s="506" t="str">
        <f t="shared" si="229"/>
        <v/>
      </c>
      <c r="IP22" s="506" t="str">
        <f t="shared" si="230"/>
        <v/>
      </c>
      <c r="IQ22" s="506" t="str">
        <f t="shared" si="231"/>
        <v/>
      </c>
      <c r="IR22" s="506" t="str">
        <f t="shared" si="232"/>
        <v/>
      </c>
      <c r="IS22" s="506" t="str">
        <f t="shared" si="233"/>
        <v/>
      </c>
      <c r="IT22" s="506" t="str">
        <f t="shared" si="234"/>
        <v/>
      </c>
      <c r="IU22" s="506" t="str">
        <f t="shared" si="235"/>
        <v/>
      </c>
      <c r="IV22" s="506" t="str">
        <f t="shared" si="236"/>
        <v/>
      </c>
      <c r="IW22" s="506" t="str">
        <f t="shared" si="237"/>
        <v/>
      </c>
      <c r="IX22" s="506" t="str">
        <f t="shared" si="238"/>
        <v/>
      </c>
      <c r="IY22" s="506" t="str">
        <f t="shared" si="239"/>
        <v/>
      </c>
      <c r="IZ22" s="506" t="str">
        <f t="shared" si="240"/>
        <v/>
      </c>
      <c r="JA22" s="506" t="str">
        <f t="shared" si="241"/>
        <v/>
      </c>
      <c r="JB22" s="506" t="str">
        <f t="shared" si="242"/>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24" t="s">
        <v>1858</v>
      </c>
      <c r="C23" s="2525"/>
      <c r="D23" s="2526"/>
      <c r="E23" s="2527"/>
      <c r="F23" s="2527"/>
      <c r="G23" s="2527"/>
      <c r="H23" s="2527"/>
      <c r="I23" s="2527"/>
      <c r="J23" s="2528"/>
      <c r="K23" s="825">
        <f t="shared" si="1"/>
        <v>0</v>
      </c>
      <c r="L23" s="825">
        <f t="shared" si="2"/>
        <v>0</v>
      </c>
      <c r="M23" s="1301"/>
      <c r="N23" s="1301"/>
      <c r="O23" s="1301"/>
      <c r="P23" s="2529"/>
      <c r="Q23" s="2530" t="str">
        <f t="shared" si="243"/>
        <v/>
      </c>
      <c r="R23" s="2531" t="str">
        <f>IF(H23="","",IF(C23="Efficiency",Q23/($O$6*VLOOKUP(0,'DCA Underwriting Assumptions'!$J$118:$K$123,2,FALSE)),Q23/($O$6*VLOOKUP(C23,'DCA Underwriting Assumptions'!$J$118:$K$123,2,FALSE))))</f>
        <v/>
      </c>
      <c r="S23" s="2532"/>
      <c r="T23" s="2531"/>
      <c r="U23" s="2533"/>
      <c r="V23" s="2458"/>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53"/>
        <v/>
      </c>
      <c r="BV23" s="506" t="str">
        <f t="shared" si="54"/>
        <v/>
      </c>
      <c r="BW23" s="506" t="str">
        <f t="shared" si="55"/>
        <v/>
      </c>
      <c r="BX23" s="506" t="str">
        <f t="shared" si="56"/>
        <v/>
      </c>
      <c r="BY23" s="506" t="str">
        <f t="shared" si="57"/>
        <v/>
      </c>
      <c r="BZ23" s="506" t="str">
        <f t="shared" si="58"/>
        <v/>
      </c>
      <c r="CA23" s="506" t="str">
        <f t="shared" si="59"/>
        <v/>
      </c>
      <c r="CB23" s="506" t="str">
        <f t="shared" si="60"/>
        <v/>
      </c>
      <c r="CC23" s="506" t="str">
        <f t="shared" si="61"/>
        <v/>
      </c>
      <c r="CD23" s="506" t="str">
        <f t="shared" si="62"/>
        <v/>
      </c>
      <c r="CE23" s="506" t="str">
        <f t="shared" si="63"/>
        <v/>
      </c>
      <c r="CF23" s="506" t="str">
        <f t="shared" si="64"/>
        <v/>
      </c>
      <c r="CG23" s="506" t="str">
        <f t="shared" si="65"/>
        <v/>
      </c>
      <c r="CH23" s="506" t="str">
        <f t="shared" si="66"/>
        <v/>
      </c>
      <c r="CI23" s="506" t="str">
        <f t="shared" si="67"/>
        <v/>
      </c>
      <c r="CJ23" s="506" t="str">
        <f t="shared" si="68"/>
        <v/>
      </c>
      <c r="CK23" s="506" t="str">
        <f t="shared" si="69"/>
        <v/>
      </c>
      <c r="CL23" s="506" t="str">
        <f t="shared" si="70"/>
        <v/>
      </c>
      <c r="CM23" s="506" t="str">
        <f t="shared" si="71"/>
        <v/>
      </c>
      <c r="CN23" s="506" t="str">
        <f t="shared" si="72"/>
        <v/>
      </c>
      <c r="CO23" s="506" t="str">
        <f t="shared" si="73"/>
        <v/>
      </c>
      <c r="CP23" s="506" t="str">
        <f t="shared" si="74"/>
        <v/>
      </c>
      <c r="CQ23" s="506" t="str">
        <f t="shared" si="75"/>
        <v/>
      </c>
      <c r="CR23" s="506" t="str">
        <f t="shared" si="76"/>
        <v/>
      </c>
      <c r="CS23" s="506" t="str">
        <f t="shared" si="77"/>
        <v/>
      </c>
      <c r="CT23" s="506" t="str">
        <f t="shared" si="78"/>
        <v/>
      </c>
      <c r="CU23" s="506" t="str">
        <f t="shared" si="79"/>
        <v/>
      </c>
      <c r="CV23" s="506" t="str">
        <f t="shared" si="80"/>
        <v/>
      </c>
      <c r="CW23" s="506" t="str">
        <f t="shared" si="81"/>
        <v/>
      </c>
      <c r="CX23" s="506" t="str">
        <f t="shared" si="82"/>
        <v/>
      </c>
      <c r="CY23" s="506" t="str">
        <f t="shared" si="83"/>
        <v/>
      </c>
      <c r="CZ23" s="506" t="str">
        <f t="shared" si="84"/>
        <v/>
      </c>
      <c r="DA23" s="506" t="str">
        <f t="shared" si="85"/>
        <v/>
      </c>
      <c r="DB23" s="506" t="str">
        <f t="shared" si="86"/>
        <v/>
      </c>
      <c r="DC23" s="506" t="str">
        <f t="shared" si="87"/>
        <v/>
      </c>
      <c r="DD23" s="506" t="str">
        <f t="shared" si="88"/>
        <v/>
      </c>
      <c r="DE23" s="506" t="str">
        <f t="shared" si="89"/>
        <v/>
      </c>
      <c r="DF23" s="506" t="str">
        <f t="shared" si="90"/>
        <v/>
      </c>
      <c r="DG23" s="506" t="str">
        <f t="shared" si="91"/>
        <v/>
      </c>
      <c r="DH23" s="506" t="str">
        <f t="shared" si="92"/>
        <v/>
      </c>
      <c r="DI23" s="506" t="str">
        <f t="shared" si="93"/>
        <v/>
      </c>
      <c r="DJ23" s="506" t="str">
        <f t="shared" si="94"/>
        <v/>
      </c>
      <c r="DK23" s="506" t="str">
        <f t="shared" si="95"/>
        <v/>
      </c>
      <c r="DL23" s="506" t="str">
        <f t="shared" si="96"/>
        <v/>
      </c>
      <c r="DM23" s="506" t="str">
        <f t="shared" si="97"/>
        <v/>
      </c>
      <c r="DN23" s="506" t="str">
        <f t="shared" si="98"/>
        <v/>
      </c>
      <c r="DO23" s="506" t="str">
        <f t="shared" si="99"/>
        <v/>
      </c>
      <c r="DP23" s="506" t="str">
        <f t="shared" si="100"/>
        <v/>
      </c>
      <c r="DQ23" s="506" t="str">
        <f t="shared" si="101"/>
        <v/>
      </c>
      <c r="DR23" s="506" t="str">
        <f t="shared" si="102"/>
        <v/>
      </c>
      <c r="DS23" s="506" t="str">
        <f t="shared" si="103"/>
        <v/>
      </c>
      <c r="DT23" s="506" t="str">
        <f t="shared" si="104"/>
        <v/>
      </c>
      <c r="DU23" s="506" t="str">
        <f t="shared" si="105"/>
        <v/>
      </c>
      <c r="DV23" s="506" t="str">
        <f t="shared" si="106"/>
        <v/>
      </c>
      <c r="DW23" s="506" t="str">
        <f t="shared" si="107"/>
        <v/>
      </c>
      <c r="DX23" s="506" t="str">
        <f t="shared" si="108"/>
        <v/>
      </c>
      <c r="DY23" s="506" t="str">
        <f t="shared" si="109"/>
        <v/>
      </c>
      <c r="DZ23" s="506" t="str">
        <f t="shared" si="110"/>
        <v/>
      </c>
      <c r="EA23" s="506" t="str">
        <f t="shared" si="111"/>
        <v/>
      </c>
      <c r="EB23" s="506" t="str">
        <f t="shared" si="112"/>
        <v/>
      </c>
      <c r="EC23" s="506" t="str">
        <f t="shared" si="113"/>
        <v/>
      </c>
      <c r="ED23" s="506" t="str">
        <f t="shared" si="114"/>
        <v/>
      </c>
      <c r="EE23" s="506" t="str">
        <f t="shared" si="115"/>
        <v/>
      </c>
      <c r="EF23" s="506" t="str">
        <f t="shared" si="116"/>
        <v/>
      </c>
      <c r="EG23" s="506" t="str">
        <f t="shared" si="117"/>
        <v/>
      </c>
      <c r="EH23" s="506" t="str">
        <f t="shared" si="118"/>
        <v/>
      </c>
      <c r="EI23" s="506" t="str">
        <f t="shared" si="119"/>
        <v/>
      </c>
      <c r="EJ23" s="506" t="str">
        <f t="shared" si="120"/>
        <v/>
      </c>
      <c r="EK23" s="506" t="str">
        <f t="shared" si="121"/>
        <v/>
      </c>
      <c r="EL23" s="506" t="str">
        <f t="shared" si="122"/>
        <v/>
      </c>
      <c r="EM23" s="506" t="str">
        <f t="shared" si="123"/>
        <v/>
      </c>
      <c r="EN23" s="506" t="str">
        <f t="shared" si="124"/>
        <v/>
      </c>
      <c r="EO23" s="506" t="str">
        <f t="shared" si="125"/>
        <v/>
      </c>
      <c r="EP23" s="506" t="str">
        <f t="shared" si="126"/>
        <v/>
      </c>
      <c r="EQ23" s="506" t="str">
        <f t="shared" si="127"/>
        <v/>
      </c>
      <c r="ER23" s="506" t="str">
        <f t="shared" si="128"/>
        <v/>
      </c>
      <c r="ES23" s="506" t="str">
        <f t="shared" si="129"/>
        <v/>
      </c>
      <c r="ET23" s="506" t="str">
        <f t="shared" si="130"/>
        <v/>
      </c>
      <c r="EU23" s="506" t="str">
        <f t="shared" si="131"/>
        <v/>
      </c>
      <c r="EV23" s="506" t="str">
        <f t="shared" si="132"/>
        <v/>
      </c>
      <c r="EW23" s="516" t="str">
        <f t="shared" si="133"/>
        <v/>
      </c>
      <c r="EX23" s="516" t="str">
        <f t="shared" si="134"/>
        <v/>
      </c>
      <c r="EY23" s="516" t="str">
        <f t="shared" si="135"/>
        <v/>
      </c>
      <c r="EZ23" s="516" t="str">
        <f t="shared" si="136"/>
        <v/>
      </c>
      <c r="FA23" s="516" t="str">
        <f t="shared" si="137"/>
        <v/>
      </c>
      <c r="FB23" s="516" t="str">
        <f t="shared" si="138"/>
        <v/>
      </c>
      <c r="FC23" s="516" t="str">
        <f t="shared" si="139"/>
        <v/>
      </c>
      <c r="FD23" s="516" t="str">
        <f t="shared" si="140"/>
        <v/>
      </c>
      <c r="FE23" s="516" t="str">
        <f t="shared" si="141"/>
        <v/>
      </c>
      <c r="FF23" s="516" t="str">
        <f t="shared" si="142"/>
        <v/>
      </c>
      <c r="FG23" s="516" t="str">
        <f t="shared" si="143"/>
        <v/>
      </c>
      <c r="FH23" s="516" t="str">
        <f t="shared" si="144"/>
        <v/>
      </c>
      <c r="FI23" s="516" t="str">
        <f t="shared" si="145"/>
        <v/>
      </c>
      <c r="FJ23" s="516" t="str">
        <f t="shared" si="146"/>
        <v/>
      </c>
      <c r="FK23" s="516" t="str">
        <f t="shared" si="147"/>
        <v/>
      </c>
      <c r="FL23" s="516" t="str">
        <f t="shared" si="148"/>
        <v/>
      </c>
      <c r="FM23" s="516" t="str">
        <f t="shared" si="149"/>
        <v/>
      </c>
      <c r="FN23" s="516" t="str">
        <f t="shared" si="150"/>
        <v/>
      </c>
      <c r="FO23" s="516" t="str">
        <f t="shared" si="151"/>
        <v/>
      </c>
      <c r="FP23" s="516" t="str">
        <f t="shared" si="152"/>
        <v/>
      </c>
      <c r="FQ23" s="516" t="str">
        <f t="shared" si="153"/>
        <v/>
      </c>
      <c r="FR23" s="516" t="str">
        <f t="shared" si="154"/>
        <v/>
      </c>
      <c r="FS23" s="516" t="str">
        <f t="shared" si="155"/>
        <v/>
      </c>
      <c r="FT23" s="516" t="str">
        <f t="shared" si="156"/>
        <v/>
      </c>
      <c r="FU23" s="516" t="str">
        <f t="shared" si="157"/>
        <v/>
      </c>
      <c r="FV23" s="516" t="str">
        <f t="shared" si="158"/>
        <v/>
      </c>
      <c r="FW23" s="516" t="str">
        <f t="shared" si="159"/>
        <v/>
      </c>
      <c r="FX23" s="516" t="str">
        <f t="shared" si="160"/>
        <v/>
      </c>
      <c r="FY23" s="516" t="str">
        <f t="shared" si="161"/>
        <v/>
      </c>
      <c r="FZ23" s="516" t="str">
        <f t="shared" si="162"/>
        <v/>
      </c>
      <c r="GA23" s="516" t="str">
        <f t="shared" si="163"/>
        <v/>
      </c>
      <c r="GB23" s="516" t="str">
        <f t="shared" si="164"/>
        <v/>
      </c>
      <c r="GC23" s="516" t="str">
        <f t="shared" si="165"/>
        <v/>
      </c>
      <c r="GD23" s="516" t="str">
        <f t="shared" si="166"/>
        <v/>
      </c>
      <c r="GE23" s="516" t="str">
        <f t="shared" si="167"/>
        <v/>
      </c>
      <c r="GF23" s="516" t="str">
        <f t="shared" si="168"/>
        <v/>
      </c>
      <c r="GG23" s="516" t="str">
        <f t="shared" si="169"/>
        <v/>
      </c>
      <c r="GH23" s="516" t="str">
        <f t="shared" si="170"/>
        <v/>
      </c>
      <c r="GI23" s="516" t="str">
        <f t="shared" si="171"/>
        <v/>
      </c>
      <c r="GJ23" s="516" t="str">
        <f t="shared" si="172"/>
        <v/>
      </c>
      <c r="GK23" s="516" t="str">
        <f t="shared" si="173"/>
        <v/>
      </c>
      <c r="GL23" s="516" t="str">
        <f t="shared" si="174"/>
        <v/>
      </c>
      <c r="GM23" s="516" t="str">
        <f t="shared" si="175"/>
        <v/>
      </c>
      <c r="GN23" s="516" t="str">
        <f t="shared" si="176"/>
        <v/>
      </c>
      <c r="GO23" s="516" t="str">
        <f t="shared" si="177"/>
        <v/>
      </c>
      <c r="GP23" s="516" t="str">
        <f t="shared" si="178"/>
        <v/>
      </c>
      <c r="GQ23" s="516" t="str">
        <f t="shared" si="179"/>
        <v/>
      </c>
      <c r="GR23" s="516" t="str">
        <f t="shared" si="180"/>
        <v/>
      </c>
      <c r="GS23" s="516" t="str">
        <f t="shared" si="181"/>
        <v/>
      </c>
      <c r="GT23" s="516" t="str">
        <f t="shared" si="182"/>
        <v/>
      </c>
      <c r="GU23" s="516" t="str">
        <f t="shared" si="183"/>
        <v/>
      </c>
      <c r="GV23" s="516" t="str">
        <f t="shared" si="184"/>
        <v/>
      </c>
      <c r="GW23" s="516" t="str">
        <f t="shared" si="185"/>
        <v/>
      </c>
      <c r="GX23" s="516" t="str">
        <f t="shared" si="186"/>
        <v/>
      </c>
      <c r="GY23" s="516" t="str">
        <f t="shared" si="187"/>
        <v/>
      </c>
      <c r="GZ23" s="516" t="str">
        <f t="shared" si="188"/>
        <v/>
      </c>
      <c r="HA23" s="516" t="str">
        <f t="shared" si="189"/>
        <v/>
      </c>
      <c r="HB23" s="516" t="str">
        <f t="shared" si="190"/>
        <v/>
      </c>
      <c r="HC23" s="516" t="str">
        <f t="shared" si="191"/>
        <v/>
      </c>
      <c r="HD23" s="516" t="str">
        <f t="shared" si="192"/>
        <v/>
      </c>
      <c r="HE23" s="516" t="str">
        <f t="shared" si="193"/>
        <v/>
      </c>
      <c r="HF23" s="516" t="str">
        <f t="shared" si="194"/>
        <v/>
      </c>
      <c r="HG23" s="516" t="str">
        <f t="shared" si="195"/>
        <v/>
      </c>
      <c r="HH23" s="516" t="str">
        <f t="shared" si="196"/>
        <v/>
      </c>
      <c r="HI23" s="516" t="str">
        <f t="shared" si="197"/>
        <v/>
      </c>
      <c r="HJ23" s="516" t="str">
        <f t="shared" si="198"/>
        <v/>
      </c>
      <c r="HK23" s="516" t="str">
        <f t="shared" si="199"/>
        <v/>
      </c>
      <c r="HL23" s="516" t="str">
        <f t="shared" si="200"/>
        <v/>
      </c>
      <c r="HM23" s="516" t="str">
        <f t="shared" si="201"/>
        <v/>
      </c>
      <c r="HN23" s="516" t="str">
        <f t="shared" si="202"/>
        <v/>
      </c>
      <c r="HO23" s="516" t="str">
        <f t="shared" si="203"/>
        <v/>
      </c>
      <c r="HP23" s="516" t="str">
        <f t="shared" si="204"/>
        <v/>
      </c>
      <c r="HQ23" s="516" t="str">
        <f t="shared" si="205"/>
        <v/>
      </c>
      <c r="HR23" s="516" t="str">
        <f t="shared" si="206"/>
        <v/>
      </c>
      <c r="HS23" s="516" t="str">
        <f t="shared" si="207"/>
        <v/>
      </c>
      <c r="HT23" s="516" t="str">
        <f t="shared" si="208"/>
        <v/>
      </c>
      <c r="HU23" s="516" t="str">
        <f t="shared" si="209"/>
        <v/>
      </c>
      <c r="HV23" s="516" t="str">
        <f t="shared" si="210"/>
        <v/>
      </c>
      <c r="HW23" s="516" t="str">
        <f t="shared" si="211"/>
        <v/>
      </c>
      <c r="HX23" s="516" t="str">
        <f t="shared" si="212"/>
        <v/>
      </c>
      <c r="HY23" s="516" t="str">
        <f t="shared" si="213"/>
        <v/>
      </c>
      <c r="HZ23" s="516" t="str">
        <f t="shared" si="214"/>
        <v/>
      </c>
      <c r="IA23" s="516" t="str">
        <f t="shared" si="215"/>
        <v/>
      </c>
      <c r="IB23" s="516" t="str">
        <f t="shared" si="216"/>
        <v/>
      </c>
      <c r="IC23" s="516" t="str">
        <f t="shared" si="217"/>
        <v/>
      </c>
      <c r="ID23" s="517" t="str">
        <f t="shared" si="218"/>
        <v/>
      </c>
      <c r="IE23" s="517" t="str">
        <f t="shared" si="219"/>
        <v/>
      </c>
      <c r="IF23" s="517" t="str">
        <f t="shared" si="220"/>
        <v/>
      </c>
      <c r="IG23" s="517" t="str">
        <f t="shared" si="221"/>
        <v/>
      </c>
      <c r="IH23" s="517" t="str">
        <f t="shared" si="222"/>
        <v/>
      </c>
      <c r="II23" s="506" t="str">
        <f t="shared" si="223"/>
        <v/>
      </c>
      <c r="IJ23" s="506" t="str">
        <f t="shared" si="224"/>
        <v/>
      </c>
      <c r="IK23" s="506" t="str">
        <f t="shared" si="225"/>
        <v/>
      </c>
      <c r="IL23" s="506" t="str">
        <f t="shared" si="226"/>
        <v/>
      </c>
      <c r="IM23" s="506" t="str">
        <f t="shared" si="227"/>
        <v/>
      </c>
      <c r="IN23" s="506" t="str">
        <f t="shared" si="228"/>
        <v/>
      </c>
      <c r="IO23" s="506" t="str">
        <f t="shared" si="229"/>
        <v/>
      </c>
      <c r="IP23" s="506" t="str">
        <f t="shared" si="230"/>
        <v/>
      </c>
      <c r="IQ23" s="506" t="str">
        <f t="shared" si="231"/>
        <v/>
      </c>
      <c r="IR23" s="506" t="str">
        <f t="shared" si="232"/>
        <v/>
      </c>
      <c r="IS23" s="506" t="str">
        <f t="shared" si="233"/>
        <v/>
      </c>
      <c r="IT23" s="506" t="str">
        <f t="shared" si="234"/>
        <v/>
      </c>
      <c r="IU23" s="506" t="str">
        <f t="shared" si="235"/>
        <v/>
      </c>
      <c r="IV23" s="506" t="str">
        <f t="shared" si="236"/>
        <v/>
      </c>
      <c r="IW23" s="506" t="str">
        <f t="shared" si="237"/>
        <v/>
      </c>
      <c r="IX23" s="506" t="str">
        <f t="shared" si="238"/>
        <v/>
      </c>
      <c r="IY23" s="506" t="str">
        <f t="shared" si="239"/>
        <v/>
      </c>
      <c r="IZ23" s="506" t="str">
        <f t="shared" si="240"/>
        <v/>
      </c>
      <c r="JA23" s="506" t="str">
        <f t="shared" si="241"/>
        <v/>
      </c>
      <c r="JB23" s="506" t="str">
        <f t="shared" si="242"/>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24" t="s">
        <v>1858</v>
      </c>
      <c r="C24" s="2525"/>
      <c r="D24" s="2526"/>
      <c r="E24" s="2527"/>
      <c r="F24" s="2527"/>
      <c r="G24" s="2527"/>
      <c r="H24" s="2527"/>
      <c r="I24" s="2527"/>
      <c r="J24" s="2528"/>
      <c r="K24" s="825">
        <f t="shared" si="1"/>
        <v>0</v>
      </c>
      <c r="L24" s="825">
        <f t="shared" si="2"/>
        <v>0</v>
      </c>
      <c r="M24" s="1301"/>
      <c r="N24" s="1301"/>
      <c r="O24" s="1301"/>
      <c r="P24" s="2529"/>
      <c r="Q24" s="2530" t="str">
        <f t="shared" si="243"/>
        <v/>
      </c>
      <c r="R24" s="2531" t="str">
        <f>IF(H24="","",IF(C24="Efficiency",Q24/($O$6*VLOOKUP(0,'DCA Underwriting Assumptions'!$J$118:$K$123,2,FALSE)),Q24/($O$6*VLOOKUP(C24,'DCA Underwriting Assumptions'!$J$118:$K$123,2,FALSE))))</f>
        <v/>
      </c>
      <c r="S24" s="2532"/>
      <c r="T24" s="2531"/>
      <c r="U24" s="2533"/>
      <c r="V24" s="2458"/>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53"/>
        <v/>
      </c>
      <c r="BV24" s="506" t="str">
        <f t="shared" si="54"/>
        <v/>
      </c>
      <c r="BW24" s="506" t="str">
        <f t="shared" si="55"/>
        <v/>
      </c>
      <c r="BX24" s="506" t="str">
        <f t="shared" si="56"/>
        <v/>
      </c>
      <c r="BY24" s="506" t="str">
        <f t="shared" si="57"/>
        <v/>
      </c>
      <c r="BZ24" s="506" t="str">
        <f t="shared" si="58"/>
        <v/>
      </c>
      <c r="CA24" s="506" t="str">
        <f t="shared" si="59"/>
        <v/>
      </c>
      <c r="CB24" s="506" t="str">
        <f t="shared" si="60"/>
        <v/>
      </c>
      <c r="CC24" s="506" t="str">
        <f t="shared" si="61"/>
        <v/>
      </c>
      <c r="CD24" s="506" t="str">
        <f t="shared" si="62"/>
        <v/>
      </c>
      <c r="CE24" s="506" t="str">
        <f t="shared" si="63"/>
        <v/>
      </c>
      <c r="CF24" s="506" t="str">
        <f t="shared" si="64"/>
        <v/>
      </c>
      <c r="CG24" s="506" t="str">
        <f t="shared" si="65"/>
        <v/>
      </c>
      <c r="CH24" s="506" t="str">
        <f t="shared" si="66"/>
        <v/>
      </c>
      <c r="CI24" s="506" t="str">
        <f t="shared" si="67"/>
        <v/>
      </c>
      <c r="CJ24" s="506" t="str">
        <f t="shared" si="68"/>
        <v/>
      </c>
      <c r="CK24" s="506" t="str">
        <f t="shared" si="69"/>
        <v/>
      </c>
      <c r="CL24" s="506" t="str">
        <f t="shared" si="70"/>
        <v/>
      </c>
      <c r="CM24" s="506" t="str">
        <f t="shared" si="71"/>
        <v/>
      </c>
      <c r="CN24" s="506" t="str">
        <f t="shared" si="72"/>
        <v/>
      </c>
      <c r="CO24" s="506" t="str">
        <f t="shared" si="73"/>
        <v/>
      </c>
      <c r="CP24" s="506" t="str">
        <f t="shared" si="74"/>
        <v/>
      </c>
      <c r="CQ24" s="506" t="str">
        <f t="shared" si="75"/>
        <v/>
      </c>
      <c r="CR24" s="506" t="str">
        <f t="shared" si="76"/>
        <v/>
      </c>
      <c r="CS24" s="506" t="str">
        <f t="shared" si="77"/>
        <v/>
      </c>
      <c r="CT24" s="506" t="str">
        <f t="shared" si="78"/>
        <v/>
      </c>
      <c r="CU24" s="506" t="str">
        <f t="shared" si="79"/>
        <v/>
      </c>
      <c r="CV24" s="506" t="str">
        <f t="shared" si="80"/>
        <v/>
      </c>
      <c r="CW24" s="506" t="str">
        <f t="shared" si="81"/>
        <v/>
      </c>
      <c r="CX24" s="506" t="str">
        <f t="shared" si="82"/>
        <v/>
      </c>
      <c r="CY24" s="506" t="str">
        <f t="shared" si="83"/>
        <v/>
      </c>
      <c r="CZ24" s="506" t="str">
        <f t="shared" si="84"/>
        <v/>
      </c>
      <c r="DA24" s="506" t="str">
        <f t="shared" si="85"/>
        <v/>
      </c>
      <c r="DB24" s="506" t="str">
        <f t="shared" si="86"/>
        <v/>
      </c>
      <c r="DC24" s="506" t="str">
        <f t="shared" si="87"/>
        <v/>
      </c>
      <c r="DD24" s="506" t="str">
        <f t="shared" si="88"/>
        <v/>
      </c>
      <c r="DE24" s="506" t="str">
        <f t="shared" si="89"/>
        <v/>
      </c>
      <c r="DF24" s="506" t="str">
        <f t="shared" si="90"/>
        <v/>
      </c>
      <c r="DG24" s="506" t="str">
        <f t="shared" si="91"/>
        <v/>
      </c>
      <c r="DH24" s="506" t="str">
        <f t="shared" si="92"/>
        <v/>
      </c>
      <c r="DI24" s="506" t="str">
        <f t="shared" si="93"/>
        <v/>
      </c>
      <c r="DJ24" s="506" t="str">
        <f t="shared" si="94"/>
        <v/>
      </c>
      <c r="DK24" s="506" t="str">
        <f t="shared" si="95"/>
        <v/>
      </c>
      <c r="DL24" s="506" t="str">
        <f t="shared" si="96"/>
        <v/>
      </c>
      <c r="DM24" s="506" t="str">
        <f t="shared" si="97"/>
        <v/>
      </c>
      <c r="DN24" s="506" t="str">
        <f t="shared" si="98"/>
        <v/>
      </c>
      <c r="DO24" s="506" t="str">
        <f t="shared" si="99"/>
        <v/>
      </c>
      <c r="DP24" s="506" t="str">
        <f t="shared" si="100"/>
        <v/>
      </c>
      <c r="DQ24" s="506" t="str">
        <f t="shared" si="101"/>
        <v/>
      </c>
      <c r="DR24" s="506" t="str">
        <f t="shared" si="102"/>
        <v/>
      </c>
      <c r="DS24" s="506" t="str">
        <f t="shared" si="103"/>
        <v/>
      </c>
      <c r="DT24" s="506" t="str">
        <f t="shared" si="104"/>
        <v/>
      </c>
      <c r="DU24" s="506" t="str">
        <f t="shared" si="105"/>
        <v/>
      </c>
      <c r="DV24" s="506" t="str">
        <f t="shared" si="106"/>
        <v/>
      </c>
      <c r="DW24" s="506" t="str">
        <f t="shared" si="107"/>
        <v/>
      </c>
      <c r="DX24" s="506" t="str">
        <f t="shared" si="108"/>
        <v/>
      </c>
      <c r="DY24" s="506" t="str">
        <f t="shared" si="109"/>
        <v/>
      </c>
      <c r="DZ24" s="506" t="str">
        <f t="shared" si="110"/>
        <v/>
      </c>
      <c r="EA24" s="506" t="str">
        <f t="shared" si="111"/>
        <v/>
      </c>
      <c r="EB24" s="506" t="str">
        <f t="shared" si="112"/>
        <v/>
      </c>
      <c r="EC24" s="506" t="str">
        <f t="shared" si="113"/>
        <v/>
      </c>
      <c r="ED24" s="506" t="str">
        <f t="shared" si="114"/>
        <v/>
      </c>
      <c r="EE24" s="506" t="str">
        <f t="shared" si="115"/>
        <v/>
      </c>
      <c r="EF24" s="506" t="str">
        <f t="shared" si="116"/>
        <v/>
      </c>
      <c r="EG24" s="506" t="str">
        <f t="shared" si="117"/>
        <v/>
      </c>
      <c r="EH24" s="506" t="str">
        <f t="shared" si="118"/>
        <v/>
      </c>
      <c r="EI24" s="506" t="str">
        <f t="shared" si="119"/>
        <v/>
      </c>
      <c r="EJ24" s="506" t="str">
        <f t="shared" si="120"/>
        <v/>
      </c>
      <c r="EK24" s="506" t="str">
        <f t="shared" si="121"/>
        <v/>
      </c>
      <c r="EL24" s="506" t="str">
        <f t="shared" si="122"/>
        <v/>
      </c>
      <c r="EM24" s="506" t="str">
        <f t="shared" si="123"/>
        <v/>
      </c>
      <c r="EN24" s="506" t="str">
        <f t="shared" si="124"/>
        <v/>
      </c>
      <c r="EO24" s="506" t="str">
        <f t="shared" si="125"/>
        <v/>
      </c>
      <c r="EP24" s="506" t="str">
        <f t="shared" si="126"/>
        <v/>
      </c>
      <c r="EQ24" s="506" t="str">
        <f t="shared" si="127"/>
        <v/>
      </c>
      <c r="ER24" s="506" t="str">
        <f t="shared" si="128"/>
        <v/>
      </c>
      <c r="ES24" s="506" t="str">
        <f t="shared" si="129"/>
        <v/>
      </c>
      <c r="ET24" s="506" t="str">
        <f t="shared" si="130"/>
        <v/>
      </c>
      <c r="EU24" s="506" t="str">
        <f t="shared" si="131"/>
        <v/>
      </c>
      <c r="EV24" s="506" t="str">
        <f t="shared" si="132"/>
        <v/>
      </c>
      <c r="EW24" s="516" t="str">
        <f t="shared" si="133"/>
        <v/>
      </c>
      <c r="EX24" s="516" t="str">
        <f t="shared" si="134"/>
        <v/>
      </c>
      <c r="EY24" s="516" t="str">
        <f t="shared" si="135"/>
        <v/>
      </c>
      <c r="EZ24" s="516" t="str">
        <f t="shared" si="136"/>
        <v/>
      </c>
      <c r="FA24" s="516" t="str">
        <f t="shared" si="137"/>
        <v/>
      </c>
      <c r="FB24" s="516" t="str">
        <f t="shared" si="138"/>
        <v/>
      </c>
      <c r="FC24" s="516" t="str">
        <f t="shared" si="139"/>
        <v/>
      </c>
      <c r="FD24" s="516" t="str">
        <f t="shared" si="140"/>
        <v/>
      </c>
      <c r="FE24" s="516" t="str">
        <f t="shared" si="141"/>
        <v/>
      </c>
      <c r="FF24" s="516" t="str">
        <f t="shared" si="142"/>
        <v/>
      </c>
      <c r="FG24" s="516" t="str">
        <f t="shared" si="143"/>
        <v/>
      </c>
      <c r="FH24" s="516" t="str">
        <f t="shared" si="144"/>
        <v/>
      </c>
      <c r="FI24" s="516" t="str">
        <f t="shared" si="145"/>
        <v/>
      </c>
      <c r="FJ24" s="516" t="str">
        <f t="shared" si="146"/>
        <v/>
      </c>
      <c r="FK24" s="516" t="str">
        <f t="shared" si="147"/>
        <v/>
      </c>
      <c r="FL24" s="516" t="str">
        <f t="shared" si="148"/>
        <v/>
      </c>
      <c r="FM24" s="516" t="str">
        <f t="shared" si="149"/>
        <v/>
      </c>
      <c r="FN24" s="516" t="str">
        <f t="shared" si="150"/>
        <v/>
      </c>
      <c r="FO24" s="516" t="str">
        <f t="shared" si="151"/>
        <v/>
      </c>
      <c r="FP24" s="516" t="str">
        <f t="shared" si="152"/>
        <v/>
      </c>
      <c r="FQ24" s="516" t="str">
        <f t="shared" si="153"/>
        <v/>
      </c>
      <c r="FR24" s="516" t="str">
        <f t="shared" si="154"/>
        <v/>
      </c>
      <c r="FS24" s="516" t="str">
        <f t="shared" si="155"/>
        <v/>
      </c>
      <c r="FT24" s="516" t="str">
        <f t="shared" si="156"/>
        <v/>
      </c>
      <c r="FU24" s="516" t="str">
        <f t="shared" si="157"/>
        <v/>
      </c>
      <c r="FV24" s="516" t="str">
        <f t="shared" si="158"/>
        <v/>
      </c>
      <c r="FW24" s="516" t="str">
        <f t="shared" si="159"/>
        <v/>
      </c>
      <c r="FX24" s="516" t="str">
        <f t="shared" si="160"/>
        <v/>
      </c>
      <c r="FY24" s="516" t="str">
        <f t="shared" si="161"/>
        <v/>
      </c>
      <c r="FZ24" s="516" t="str">
        <f t="shared" si="162"/>
        <v/>
      </c>
      <c r="GA24" s="516" t="str">
        <f t="shared" si="163"/>
        <v/>
      </c>
      <c r="GB24" s="516" t="str">
        <f t="shared" si="164"/>
        <v/>
      </c>
      <c r="GC24" s="516" t="str">
        <f t="shared" si="165"/>
        <v/>
      </c>
      <c r="GD24" s="516" t="str">
        <f t="shared" si="166"/>
        <v/>
      </c>
      <c r="GE24" s="516" t="str">
        <f t="shared" si="167"/>
        <v/>
      </c>
      <c r="GF24" s="516" t="str">
        <f t="shared" si="168"/>
        <v/>
      </c>
      <c r="GG24" s="516" t="str">
        <f t="shared" si="169"/>
        <v/>
      </c>
      <c r="GH24" s="516" t="str">
        <f t="shared" si="170"/>
        <v/>
      </c>
      <c r="GI24" s="516" t="str">
        <f t="shared" si="171"/>
        <v/>
      </c>
      <c r="GJ24" s="516" t="str">
        <f t="shared" si="172"/>
        <v/>
      </c>
      <c r="GK24" s="516" t="str">
        <f t="shared" si="173"/>
        <v/>
      </c>
      <c r="GL24" s="516" t="str">
        <f t="shared" si="174"/>
        <v/>
      </c>
      <c r="GM24" s="516" t="str">
        <f t="shared" si="175"/>
        <v/>
      </c>
      <c r="GN24" s="516" t="str">
        <f t="shared" si="176"/>
        <v/>
      </c>
      <c r="GO24" s="516" t="str">
        <f t="shared" si="177"/>
        <v/>
      </c>
      <c r="GP24" s="516" t="str">
        <f t="shared" si="178"/>
        <v/>
      </c>
      <c r="GQ24" s="516" t="str">
        <f t="shared" si="179"/>
        <v/>
      </c>
      <c r="GR24" s="516" t="str">
        <f t="shared" si="180"/>
        <v/>
      </c>
      <c r="GS24" s="516" t="str">
        <f t="shared" si="181"/>
        <v/>
      </c>
      <c r="GT24" s="516" t="str">
        <f t="shared" si="182"/>
        <v/>
      </c>
      <c r="GU24" s="516" t="str">
        <f t="shared" si="183"/>
        <v/>
      </c>
      <c r="GV24" s="516" t="str">
        <f t="shared" si="184"/>
        <v/>
      </c>
      <c r="GW24" s="516" t="str">
        <f t="shared" si="185"/>
        <v/>
      </c>
      <c r="GX24" s="516" t="str">
        <f t="shared" si="186"/>
        <v/>
      </c>
      <c r="GY24" s="516" t="str">
        <f t="shared" si="187"/>
        <v/>
      </c>
      <c r="GZ24" s="516" t="str">
        <f t="shared" si="188"/>
        <v/>
      </c>
      <c r="HA24" s="516" t="str">
        <f t="shared" si="189"/>
        <v/>
      </c>
      <c r="HB24" s="516" t="str">
        <f t="shared" si="190"/>
        <v/>
      </c>
      <c r="HC24" s="516" t="str">
        <f t="shared" si="191"/>
        <v/>
      </c>
      <c r="HD24" s="516" t="str">
        <f t="shared" si="192"/>
        <v/>
      </c>
      <c r="HE24" s="516" t="str">
        <f t="shared" si="193"/>
        <v/>
      </c>
      <c r="HF24" s="516" t="str">
        <f t="shared" si="194"/>
        <v/>
      </c>
      <c r="HG24" s="516" t="str">
        <f t="shared" si="195"/>
        <v/>
      </c>
      <c r="HH24" s="516" t="str">
        <f t="shared" si="196"/>
        <v/>
      </c>
      <c r="HI24" s="516" t="str">
        <f t="shared" si="197"/>
        <v/>
      </c>
      <c r="HJ24" s="516" t="str">
        <f t="shared" si="198"/>
        <v/>
      </c>
      <c r="HK24" s="516" t="str">
        <f t="shared" si="199"/>
        <v/>
      </c>
      <c r="HL24" s="516" t="str">
        <f t="shared" si="200"/>
        <v/>
      </c>
      <c r="HM24" s="516" t="str">
        <f t="shared" si="201"/>
        <v/>
      </c>
      <c r="HN24" s="516" t="str">
        <f t="shared" si="202"/>
        <v/>
      </c>
      <c r="HO24" s="516" t="str">
        <f t="shared" si="203"/>
        <v/>
      </c>
      <c r="HP24" s="516" t="str">
        <f t="shared" si="204"/>
        <v/>
      </c>
      <c r="HQ24" s="516" t="str">
        <f t="shared" si="205"/>
        <v/>
      </c>
      <c r="HR24" s="516" t="str">
        <f t="shared" si="206"/>
        <v/>
      </c>
      <c r="HS24" s="516" t="str">
        <f t="shared" si="207"/>
        <v/>
      </c>
      <c r="HT24" s="516" t="str">
        <f t="shared" si="208"/>
        <v/>
      </c>
      <c r="HU24" s="516" t="str">
        <f t="shared" si="209"/>
        <v/>
      </c>
      <c r="HV24" s="516" t="str">
        <f t="shared" si="210"/>
        <v/>
      </c>
      <c r="HW24" s="516" t="str">
        <f t="shared" si="211"/>
        <v/>
      </c>
      <c r="HX24" s="516" t="str">
        <f t="shared" si="212"/>
        <v/>
      </c>
      <c r="HY24" s="516" t="str">
        <f t="shared" si="213"/>
        <v/>
      </c>
      <c r="HZ24" s="516" t="str">
        <f t="shared" si="214"/>
        <v/>
      </c>
      <c r="IA24" s="516" t="str">
        <f t="shared" si="215"/>
        <v/>
      </c>
      <c r="IB24" s="516" t="str">
        <f t="shared" si="216"/>
        <v/>
      </c>
      <c r="IC24" s="516" t="str">
        <f t="shared" si="217"/>
        <v/>
      </c>
      <c r="ID24" s="517" t="str">
        <f t="shared" si="218"/>
        <v/>
      </c>
      <c r="IE24" s="517" t="str">
        <f t="shared" si="219"/>
        <v/>
      </c>
      <c r="IF24" s="517" t="str">
        <f t="shared" si="220"/>
        <v/>
      </c>
      <c r="IG24" s="517" t="str">
        <f t="shared" si="221"/>
        <v/>
      </c>
      <c r="IH24" s="517" t="str">
        <f t="shared" si="222"/>
        <v/>
      </c>
      <c r="II24" s="506" t="str">
        <f t="shared" si="223"/>
        <v/>
      </c>
      <c r="IJ24" s="506" t="str">
        <f t="shared" si="224"/>
        <v/>
      </c>
      <c r="IK24" s="506" t="str">
        <f t="shared" si="225"/>
        <v/>
      </c>
      <c r="IL24" s="506" t="str">
        <f t="shared" si="226"/>
        <v/>
      </c>
      <c r="IM24" s="506" t="str">
        <f t="shared" si="227"/>
        <v/>
      </c>
      <c r="IN24" s="506" t="str">
        <f t="shared" si="228"/>
        <v/>
      </c>
      <c r="IO24" s="506" t="str">
        <f t="shared" si="229"/>
        <v/>
      </c>
      <c r="IP24" s="506" t="str">
        <f t="shared" si="230"/>
        <v/>
      </c>
      <c r="IQ24" s="506" t="str">
        <f t="shared" si="231"/>
        <v/>
      </c>
      <c r="IR24" s="506" t="str">
        <f t="shared" si="232"/>
        <v/>
      </c>
      <c r="IS24" s="506" t="str">
        <f t="shared" si="233"/>
        <v/>
      </c>
      <c r="IT24" s="506" t="str">
        <f t="shared" si="234"/>
        <v/>
      </c>
      <c r="IU24" s="506" t="str">
        <f t="shared" si="235"/>
        <v/>
      </c>
      <c r="IV24" s="506" t="str">
        <f t="shared" si="236"/>
        <v/>
      </c>
      <c r="IW24" s="506" t="str">
        <f t="shared" si="237"/>
        <v/>
      </c>
      <c r="IX24" s="506" t="str">
        <f t="shared" si="238"/>
        <v/>
      </c>
      <c r="IY24" s="506" t="str">
        <f t="shared" si="239"/>
        <v/>
      </c>
      <c r="IZ24" s="506" t="str">
        <f t="shared" si="240"/>
        <v/>
      </c>
      <c r="JA24" s="506" t="str">
        <f t="shared" si="241"/>
        <v/>
      </c>
      <c r="JB24" s="506" t="str">
        <f t="shared" si="242"/>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24" t="s">
        <v>1858</v>
      </c>
      <c r="C25" s="2525"/>
      <c r="D25" s="2526"/>
      <c r="E25" s="2527"/>
      <c r="F25" s="2527"/>
      <c r="G25" s="2527"/>
      <c r="H25" s="2527"/>
      <c r="I25" s="2527"/>
      <c r="J25" s="2528"/>
      <c r="K25" s="825">
        <f t="shared" si="1"/>
        <v>0</v>
      </c>
      <c r="L25" s="825">
        <f t="shared" si="2"/>
        <v>0</v>
      </c>
      <c r="M25" s="1301"/>
      <c r="N25" s="1301"/>
      <c r="O25" s="1301"/>
      <c r="P25" s="2529"/>
      <c r="Q25" s="2530" t="str">
        <f t="shared" si="243"/>
        <v/>
      </c>
      <c r="R25" s="2531" t="str">
        <f>IF(H25="","",IF(C25="Efficiency",Q25/($O$6*VLOOKUP(0,'DCA Underwriting Assumptions'!$J$118:$K$123,2,FALSE)),Q25/($O$6*VLOOKUP(C25,'DCA Underwriting Assumptions'!$J$118:$K$123,2,FALSE))))</f>
        <v/>
      </c>
      <c r="S25" s="2532"/>
      <c r="T25" s="2531"/>
      <c r="U25" s="2533"/>
      <c r="V25" s="2458"/>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53"/>
        <v/>
      </c>
      <c r="BV25" s="506" t="str">
        <f t="shared" si="54"/>
        <v/>
      </c>
      <c r="BW25" s="506" t="str">
        <f t="shared" si="55"/>
        <v/>
      </c>
      <c r="BX25" s="506" t="str">
        <f t="shared" si="56"/>
        <v/>
      </c>
      <c r="BY25" s="506" t="str">
        <f t="shared" si="57"/>
        <v/>
      </c>
      <c r="BZ25" s="506" t="str">
        <f t="shared" si="58"/>
        <v/>
      </c>
      <c r="CA25" s="506" t="str">
        <f t="shared" si="59"/>
        <v/>
      </c>
      <c r="CB25" s="506" t="str">
        <f t="shared" si="60"/>
        <v/>
      </c>
      <c r="CC25" s="506" t="str">
        <f t="shared" si="61"/>
        <v/>
      </c>
      <c r="CD25" s="506" t="str">
        <f t="shared" si="62"/>
        <v/>
      </c>
      <c r="CE25" s="506" t="str">
        <f t="shared" si="63"/>
        <v/>
      </c>
      <c r="CF25" s="506" t="str">
        <f t="shared" si="64"/>
        <v/>
      </c>
      <c r="CG25" s="506" t="str">
        <f t="shared" si="65"/>
        <v/>
      </c>
      <c r="CH25" s="506" t="str">
        <f t="shared" si="66"/>
        <v/>
      </c>
      <c r="CI25" s="506" t="str">
        <f t="shared" si="67"/>
        <v/>
      </c>
      <c r="CJ25" s="506" t="str">
        <f t="shared" si="68"/>
        <v/>
      </c>
      <c r="CK25" s="506" t="str">
        <f t="shared" si="69"/>
        <v/>
      </c>
      <c r="CL25" s="506" t="str">
        <f t="shared" si="70"/>
        <v/>
      </c>
      <c r="CM25" s="506" t="str">
        <f t="shared" si="71"/>
        <v/>
      </c>
      <c r="CN25" s="506" t="str">
        <f t="shared" si="72"/>
        <v/>
      </c>
      <c r="CO25" s="506" t="str">
        <f t="shared" si="73"/>
        <v/>
      </c>
      <c r="CP25" s="506" t="str">
        <f t="shared" si="74"/>
        <v/>
      </c>
      <c r="CQ25" s="506" t="str">
        <f t="shared" si="75"/>
        <v/>
      </c>
      <c r="CR25" s="506" t="str">
        <f t="shared" si="76"/>
        <v/>
      </c>
      <c r="CS25" s="506" t="str">
        <f t="shared" si="77"/>
        <v/>
      </c>
      <c r="CT25" s="506" t="str">
        <f t="shared" si="78"/>
        <v/>
      </c>
      <c r="CU25" s="506" t="str">
        <f t="shared" si="79"/>
        <v/>
      </c>
      <c r="CV25" s="506" t="str">
        <f t="shared" si="80"/>
        <v/>
      </c>
      <c r="CW25" s="506" t="str">
        <f t="shared" si="81"/>
        <v/>
      </c>
      <c r="CX25" s="506" t="str">
        <f t="shared" si="82"/>
        <v/>
      </c>
      <c r="CY25" s="506" t="str">
        <f t="shared" si="83"/>
        <v/>
      </c>
      <c r="CZ25" s="506" t="str">
        <f t="shared" si="84"/>
        <v/>
      </c>
      <c r="DA25" s="506" t="str">
        <f t="shared" si="85"/>
        <v/>
      </c>
      <c r="DB25" s="506" t="str">
        <f t="shared" si="86"/>
        <v/>
      </c>
      <c r="DC25" s="506" t="str">
        <f t="shared" si="87"/>
        <v/>
      </c>
      <c r="DD25" s="506" t="str">
        <f t="shared" si="88"/>
        <v/>
      </c>
      <c r="DE25" s="506" t="str">
        <f t="shared" si="89"/>
        <v/>
      </c>
      <c r="DF25" s="506" t="str">
        <f t="shared" si="90"/>
        <v/>
      </c>
      <c r="DG25" s="506" t="str">
        <f t="shared" si="91"/>
        <v/>
      </c>
      <c r="DH25" s="506" t="str">
        <f t="shared" si="92"/>
        <v/>
      </c>
      <c r="DI25" s="506" t="str">
        <f t="shared" si="93"/>
        <v/>
      </c>
      <c r="DJ25" s="506" t="str">
        <f t="shared" si="94"/>
        <v/>
      </c>
      <c r="DK25" s="506" t="str">
        <f t="shared" si="95"/>
        <v/>
      </c>
      <c r="DL25" s="506" t="str">
        <f t="shared" si="96"/>
        <v/>
      </c>
      <c r="DM25" s="506" t="str">
        <f t="shared" si="97"/>
        <v/>
      </c>
      <c r="DN25" s="506" t="str">
        <f t="shared" si="98"/>
        <v/>
      </c>
      <c r="DO25" s="506" t="str">
        <f t="shared" si="99"/>
        <v/>
      </c>
      <c r="DP25" s="506" t="str">
        <f t="shared" si="100"/>
        <v/>
      </c>
      <c r="DQ25" s="506" t="str">
        <f t="shared" si="101"/>
        <v/>
      </c>
      <c r="DR25" s="506" t="str">
        <f t="shared" si="102"/>
        <v/>
      </c>
      <c r="DS25" s="506" t="str">
        <f t="shared" si="103"/>
        <v/>
      </c>
      <c r="DT25" s="506" t="str">
        <f t="shared" si="104"/>
        <v/>
      </c>
      <c r="DU25" s="506" t="str">
        <f t="shared" si="105"/>
        <v/>
      </c>
      <c r="DV25" s="506" t="str">
        <f t="shared" si="106"/>
        <v/>
      </c>
      <c r="DW25" s="506" t="str">
        <f t="shared" si="107"/>
        <v/>
      </c>
      <c r="DX25" s="506" t="str">
        <f t="shared" si="108"/>
        <v/>
      </c>
      <c r="DY25" s="506" t="str">
        <f t="shared" si="109"/>
        <v/>
      </c>
      <c r="DZ25" s="506" t="str">
        <f t="shared" si="110"/>
        <v/>
      </c>
      <c r="EA25" s="506" t="str">
        <f t="shared" si="111"/>
        <v/>
      </c>
      <c r="EB25" s="506" t="str">
        <f t="shared" si="112"/>
        <v/>
      </c>
      <c r="EC25" s="506" t="str">
        <f t="shared" si="113"/>
        <v/>
      </c>
      <c r="ED25" s="506" t="str">
        <f t="shared" si="114"/>
        <v/>
      </c>
      <c r="EE25" s="506" t="str">
        <f t="shared" si="115"/>
        <v/>
      </c>
      <c r="EF25" s="506" t="str">
        <f t="shared" si="116"/>
        <v/>
      </c>
      <c r="EG25" s="506" t="str">
        <f t="shared" si="117"/>
        <v/>
      </c>
      <c r="EH25" s="506" t="str">
        <f t="shared" si="118"/>
        <v/>
      </c>
      <c r="EI25" s="506" t="str">
        <f t="shared" si="119"/>
        <v/>
      </c>
      <c r="EJ25" s="506" t="str">
        <f t="shared" si="120"/>
        <v/>
      </c>
      <c r="EK25" s="506" t="str">
        <f t="shared" si="121"/>
        <v/>
      </c>
      <c r="EL25" s="506" t="str">
        <f t="shared" si="122"/>
        <v/>
      </c>
      <c r="EM25" s="506" t="str">
        <f t="shared" si="123"/>
        <v/>
      </c>
      <c r="EN25" s="506" t="str">
        <f t="shared" si="124"/>
        <v/>
      </c>
      <c r="EO25" s="506" t="str">
        <f t="shared" si="125"/>
        <v/>
      </c>
      <c r="EP25" s="506" t="str">
        <f t="shared" si="126"/>
        <v/>
      </c>
      <c r="EQ25" s="506" t="str">
        <f t="shared" si="127"/>
        <v/>
      </c>
      <c r="ER25" s="506" t="str">
        <f t="shared" si="128"/>
        <v/>
      </c>
      <c r="ES25" s="506" t="str">
        <f t="shared" si="129"/>
        <v/>
      </c>
      <c r="ET25" s="506" t="str">
        <f t="shared" si="130"/>
        <v/>
      </c>
      <c r="EU25" s="506" t="str">
        <f t="shared" si="131"/>
        <v/>
      </c>
      <c r="EV25" s="506" t="str">
        <f t="shared" si="132"/>
        <v/>
      </c>
      <c r="EW25" s="516" t="str">
        <f t="shared" si="133"/>
        <v/>
      </c>
      <c r="EX25" s="516" t="str">
        <f t="shared" si="134"/>
        <v/>
      </c>
      <c r="EY25" s="516" t="str">
        <f t="shared" si="135"/>
        <v/>
      </c>
      <c r="EZ25" s="516" t="str">
        <f t="shared" si="136"/>
        <v/>
      </c>
      <c r="FA25" s="516" t="str">
        <f t="shared" si="137"/>
        <v/>
      </c>
      <c r="FB25" s="516" t="str">
        <f t="shared" si="138"/>
        <v/>
      </c>
      <c r="FC25" s="516" t="str">
        <f t="shared" si="139"/>
        <v/>
      </c>
      <c r="FD25" s="516" t="str">
        <f t="shared" si="140"/>
        <v/>
      </c>
      <c r="FE25" s="516" t="str">
        <f t="shared" si="141"/>
        <v/>
      </c>
      <c r="FF25" s="516" t="str">
        <f t="shared" si="142"/>
        <v/>
      </c>
      <c r="FG25" s="516" t="str">
        <f t="shared" si="143"/>
        <v/>
      </c>
      <c r="FH25" s="516" t="str">
        <f t="shared" si="144"/>
        <v/>
      </c>
      <c r="FI25" s="516" t="str">
        <f t="shared" si="145"/>
        <v/>
      </c>
      <c r="FJ25" s="516" t="str">
        <f t="shared" si="146"/>
        <v/>
      </c>
      <c r="FK25" s="516" t="str">
        <f t="shared" si="147"/>
        <v/>
      </c>
      <c r="FL25" s="516" t="str">
        <f t="shared" si="148"/>
        <v/>
      </c>
      <c r="FM25" s="516" t="str">
        <f t="shared" si="149"/>
        <v/>
      </c>
      <c r="FN25" s="516" t="str">
        <f t="shared" si="150"/>
        <v/>
      </c>
      <c r="FO25" s="516" t="str">
        <f t="shared" si="151"/>
        <v/>
      </c>
      <c r="FP25" s="516" t="str">
        <f t="shared" si="152"/>
        <v/>
      </c>
      <c r="FQ25" s="516" t="str">
        <f t="shared" si="153"/>
        <v/>
      </c>
      <c r="FR25" s="516" t="str">
        <f t="shared" si="154"/>
        <v/>
      </c>
      <c r="FS25" s="516" t="str">
        <f t="shared" si="155"/>
        <v/>
      </c>
      <c r="FT25" s="516" t="str">
        <f t="shared" si="156"/>
        <v/>
      </c>
      <c r="FU25" s="516" t="str">
        <f t="shared" si="157"/>
        <v/>
      </c>
      <c r="FV25" s="516" t="str">
        <f t="shared" si="158"/>
        <v/>
      </c>
      <c r="FW25" s="516" t="str">
        <f t="shared" si="159"/>
        <v/>
      </c>
      <c r="FX25" s="516" t="str">
        <f t="shared" si="160"/>
        <v/>
      </c>
      <c r="FY25" s="516" t="str">
        <f t="shared" si="161"/>
        <v/>
      </c>
      <c r="FZ25" s="516" t="str">
        <f t="shared" si="162"/>
        <v/>
      </c>
      <c r="GA25" s="516" t="str">
        <f t="shared" si="163"/>
        <v/>
      </c>
      <c r="GB25" s="516" t="str">
        <f t="shared" si="164"/>
        <v/>
      </c>
      <c r="GC25" s="516" t="str">
        <f t="shared" si="165"/>
        <v/>
      </c>
      <c r="GD25" s="516" t="str">
        <f t="shared" si="166"/>
        <v/>
      </c>
      <c r="GE25" s="516" t="str">
        <f t="shared" si="167"/>
        <v/>
      </c>
      <c r="GF25" s="516" t="str">
        <f t="shared" si="168"/>
        <v/>
      </c>
      <c r="GG25" s="516" t="str">
        <f t="shared" si="169"/>
        <v/>
      </c>
      <c r="GH25" s="516" t="str">
        <f t="shared" si="170"/>
        <v/>
      </c>
      <c r="GI25" s="516" t="str">
        <f t="shared" si="171"/>
        <v/>
      </c>
      <c r="GJ25" s="516" t="str">
        <f t="shared" si="172"/>
        <v/>
      </c>
      <c r="GK25" s="516" t="str">
        <f t="shared" si="173"/>
        <v/>
      </c>
      <c r="GL25" s="516" t="str">
        <f t="shared" si="174"/>
        <v/>
      </c>
      <c r="GM25" s="516" t="str">
        <f t="shared" si="175"/>
        <v/>
      </c>
      <c r="GN25" s="516" t="str">
        <f t="shared" si="176"/>
        <v/>
      </c>
      <c r="GO25" s="516" t="str">
        <f t="shared" si="177"/>
        <v/>
      </c>
      <c r="GP25" s="516" t="str">
        <f t="shared" si="178"/>
        <v/>
      </c>
      <c r="GQ25" s="516" t="str">
        <f t="shared" si="179"/>
        <v/>
      </c>
      <c r="GR25" s="516" t="str">
        <f t="shared" si="180"/>
        <v/>
      </c>
      <c r="GS25" s="516" t="str">
        <f t="shared" si="181"/>
        <v/>
      </c>
      <c r="GT25" s="516" t="str">
        <f t="shared" si="182"/>
        <v/>
      </c>
      <c r="GU25" s="516" t="str">
        <f t="shared" si="183"/>
        <v/>
      </c>
      <c r="GV25" s="516" t="str">
        <f t="shared" si="184"/>
        <v/>
      </c>
      <c r="GW25" s="516" t="str">
        <f t="shared" si="185"/>
        <v/>
      </c>
      <c r="GX25" s="516" t="str">
        <f t="shared" si="186"/>
        <v/>
      </c>
      <c r="GY25" s="516" t="str">
        <f t="shared" si="187"/>
        <v/>
      </c>
      <c r="GZ25" s="516" t="str">
        <f t="shared" si="188"/>
        <v/>
      </c>
      <c r="HA25" s="516" t="str">
        <f t="shared" si="189"/>
        <v/>
      </c>
      <c r="HB25" s="516" t="str">
        <f t="shared" si="190"/>
        <v/>
      </c>
      <c r="HC25" s="516" t="str">
        <f t="shared" si="191"/>
        <v/>
      </c>
      <c r="HD25" s="516" t="str">
        <f t="shared" si="192"/>
        <v/>
      </c>
      <c r="HE25" s="516" t="str">
        <f t="shared" si="193"/>
        <v/>
      </c>
      <c r="HF25" s="516" t="str">
        <f t="shared" si="194"/>
        <v/>
      </c>
      <c r="HG25" s="516" t="str">
        <f t="shared" si="195"/>
        <v/>
      </c>
      <c r="HH25" s="516" t="str">
        <f t="shared" si="196"/>
        <v/>
      </c>
      <c r="HI25" s="516" t="str">
        <f t="shared" si="197"/>
        <v/>
      </c>
      <c r="HJ25" s="516" t="str">
        <f t="shared" si="198"/>
        <v/>
      </c>
      <c r="HK25" s="516" t="str">
        <f t="shared" si="199"/>
        <v/>
      </c>
      <c r="HL25" s="516" t="str">
        <f t="shared" si="200"/>
        <v/>
      </c>
      <c r="HM25" s="516" t="str">
        <f t="shared" si="201"/>
        <v/>
      </c>
      <c r="HN25" s="516" t="str">
        <f t="shared" si="202"/>
        <v/>
      </c>
      <c r="HO25" s="516" t="str">
        <f t="shared" si="203"/>
        <v/>
      </c>
      <c r="HP25" s="516" t="str">
        <f t="shared" si="204"/>
        <v/>
      </c>
      <c r="HQ25" s="516" t="str">
        <f t="shared" si="205"/>
        <v/>
      </c>
      <c r="HR25" s="516" t="str">
        <f t="shared" si="206"/>
        <v/>
      </c>
      <c r="HS25" s="516" t="str">
        <f t="shared" si="207"/>
        <v/>
      </c>
      <c r="HT25" s="516" t="str">
        <f t="shared" si="208"/>
        <v/>
      </c>
      <c r="HU25" s="516" t="str">
        <f t="shared" si="209"/>
        <v/>
      </c>
      <c r="HV25" s="516" t="str">
        <f t="shared" si="210"/>
        <v/>
      </c>
      <c r="HW25" s="516" t="str">
        <f t="shared" si="211"/>
        <v/>
      </c>
      <c r="HX25" s="516" t="str">
        <f t="shared" si="212"/>
        <v/>
      </c>
      <c r="HY25" s="516" t="str">
        <f t="shared" si="213"/>
        <v/>
      </c>
      <c r="HZ25" s="516" t="str">
        <f t="shared" si="214"/>
        <v/>
      </c>
      <c r="IA25" s="516" t="str">
        <f t="shared" si="215"/>
        <v/>
      </c>
      <c r="IB25" s="516" t="str">
        <f t="shared" si="216"/>
        <v/>
      </c>
      <c r="IC25" s="516" t="str">
        <f t="shared" si="217"/>
        <v/>
      </c>
      <c r="ID25" s="517" t="str">
        <f t="shared" si="218"/>
        <v/>
      </c>
      <c r="IE25" s="517" t="str">
        <f t="shared" si="219"/>
        <v/>
      </c>
      <c r="IF25" s="517" t="str">
        <f t="shared" si="220"/>
        <v/>
      </c>
      <c r="IG25" s="517" t="str">
        <f t="shared" si="221"/>
        <v/>
      </c>
      <c r="IH25" s="517" t="str">
        <f t="shared" si="222"/>
        <v/>
      </c>
      <c r="II25" s="506" t="str">
        <f t="shared" si="223"/>
        <v/>
      </c>
      <c r="IJ25" s="506" t="str">
        <f t="shared" si="224"/>
        <v/>
      </c>
      <c r="IK25" s="506" t="str">
        <f t="shared" si="225"/>
        <v/>
      </c>
      <c r="IL25" s="506" t="str">
        <f t="shared" si="226"/>
        <v/>
      </c>
      <c r="IM25" s="506" t="str">
        <f t="shared" si="227"/>
        <v/>
      </c>
      <c r="IN25" s="506" t="str">
        <f t="shared" si="228"/>
        <v/>
      </c>
      <c r="IO25" s="506" t="str">
        <f t="shared" si="229"/>
        <v/>
      </c>
      <c r="IP25" s="506" t="str">
        <f t="shared" si="230"/>
        <v/>
      </c>
      <c r="IQ25" s="506" t="str">
        <f t="shared" si="231"/>
        <v/>
      </c>
      <c r="IR25" s="506" t="str">
        <f t="shared" si="232"/>
        <v/>
      </c>
      <c r="IS25" s="506" t="str">
        <f t="shared" si="233"/>
        <v/>
      </c>
      <c r="IT25" s="506" t="str">
        <f t="shared" si="234"/>
        <v/>
      </c>
      <c r="IU25" s="506" t="str">
        <f t="shared" si="235"/>
        <v/>
      </c>
      <c r="IV25" s="506" t="str">
        <f t="shared" si="236"/>
        <v/>
      </c>
      <c r="IW25" s="506" t="str">
        <f t="shared" si="237"/>
        <v/>
      </c>
      <c r="IX25" s="506" t="str">
        <f t="shared" si="238"/>
        <v/>
      </c>
      <c r="IY25" s="506" t="str">
        <f t="shared" si="239"/>
        <v/>
      </c>
      <c r="IZ25" s="506" t="str">
        <f t="shared" si="240"/>
        <v/>
      </c>
      <c r="JA25" s="506" t="str">
        <f t="shared" si="241"/>
        <v/>
      </c>
      <c r="JB25" s="506" t="str">
        <f t="shared" si="242"/>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24" t="s">
        <v>1858</v>
      </c>
      <c r="C26" s="2525"/>
      <c r="D26" s="2526"/>
      <c r="E26" s="2527"/>
      <c r="F26" s="2527"/>
      <c r="G26" s="2527"/>
      <c r="H26" s="2527"/>
      <c r="I26" s="2527"/>
      <c r="J26" s="2528"/>
      <c r="K26" s="825">
        <f t="shared" si="1"/>
        <v>0</v>
      </c>
      <c r="L26" s="825">
        <f t="shared" si="2"/>
        <v>0</v>
      </c>
      <c r="M26" s="1301"/>
      <c r="N26" s="1301"/>
      <c r="O26" s="1301"/>
      <c r="P26" s="2529"/>
      <c r="Q26" s="2530" t="str">
        <f t="shared" si="243"/>
        <v/>
      </c>
      <c r="R26" s="2531" t="str">
        <f>IF(H26="","",IF(C26="Efficiency",Q26/($O$6*VLOOKUP(0,'DCA Underwriting Assumptions'!$J$118:$K$123,2,FALSE)),Q26/($O$6*VLOOKUP(C26,'DCA Underwriting Assumptions'!$J$118:$K$123,2,FALSE))))</f>
        <v/>
      </c>
      <c r="S26" s="2532"/>
      <c r="T26" s="2531"/>
      <c r="U26" s="2533"/>
      <c r="V26" s="2458"/>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53"/>
        <v/>
      </c>
      <c r="BV26" s="506" t="str">
        <f t="shared" si="54"/>
        <v/>
      </c>
      <c r="BW26" s="506" t="str">
        <f t="shared" si="55"/>
        <v/>
      </c>
      <c r="BX26" s="506" t="str">
        <f t="shared" si="56"/>
        <v/>
      </c>
      <c r="BY26" s="506" t="str">
        <f t="shared" si="57"/>
        <v/>
      </c>
      <c r="BZ26" s="506" t="str">
        <f t="shared" si="58"/>
        <v/>
      </c>
      <c r="CA26" s="506" t="str">
        <f t="shared" si="59"/>
        <v/>
      </c>
      <c r="CB26" s="506" t="str">
        <f t="shared" si="60"/>
        <v/>
      </c>
      <c r="CC26" s="506" t="str">
        <f t="shared" si="61"/>
        <v/>
      </c>
      <c r="CD26" s="506" t="str">
        <f t="shared" si="62"/>
        <v/>
      </c>
      <c r="CE26" s="506" t="str">
        <f t="shared" si="63"/>
        <v/>
      </c>
      <c r="CF26" s="506" t="str">
        <f t="shared" si="64"/>
        <v/>
      </c>
      <c r="CG26" s="506" t="str">
        <f t="shared" si="65"/>
        <v/>
      </c>
      <c r="CH26" s="506" t="str">
        <f t="shared" si="66"/>
        <v/>
      </c>
      <c r="CI26" s="506" t="str">
        <f t="shared" si="67"/>
        <v/>
      </c>
      <c r="CJ26" s="506" t="str">
        <f t="shared" si="68"/>
        <v/>
      </c>
      <c r="CK26" s="506" t="str">
        <f t="shared" si="69"/>
        <v/>
      </c>
      <c r="CL26" s="506" t="str">
        <f t="shared" si="70"/>
        <v/>
      </c>
      <c r="CM26" s="506" t="str">
        <f t="shared" si="71"/>
        <v/>
      </c>
      <c r="CN26" s="506" t="str">
        <f t="shared" si="72"/>
        <v/>
      </c>
      <c r="CO26" s="506" t="str">
        <f t="shared" si="73"/>
        <v/>
      </c>
      <c r="CP26" s="506" t="str">
        <f t="shared" si="74"/>
        <v/>
      </c>
      <c r="CQ26" s="506" t="str">
        <f t="shared" si="75"/>
        <v/>
      </c>
      <c r="CR26" s="506" t="str">
        <f t="shared" si="76"/>
        <v/>
      </c>
      <c r="CS26" s="506" t="str">
        <f t="shared" si="77"/>
        <v/>
      </c>
      <c r="CT26" s="506" t="str">
        <f t="shared" si="78"/>
        <v/>
      </c>
      <c r="CU26" s="506" t="str">
        <f t="shared" si="79"/>
        <v/>
      </c>
      <c r="CV26" s="506" t="str">
        <f t="shared" si="80"/>
        <v/>
      </c>
      <c r="CW26" s="506" t="str">
        <f t="shared" si="81"/>
        <v/>
      </c>
      <c r="CX26" s="506" t="str">
        <f t="shared" si="82"/>
        <v/>
      </c>
      <c r="CY26" s="506" t="str">
        <f t="shared" si="83"/>
        <v/>
      </c>
      <c r="CZ26" s="506" t="str">
        <f t="shared" si="84"/>
        <v/>
      </c>
      <c r="DA26" s="506" t="str">
        <f t="shared" si="85"/>
        <v/>
      </c>
      <c r="DB26" s="506" t="str">
        <f t="shared" si="86"/>
        <v/>
      </c>
      <c r="DC26" s="506" t="str">
        <f t="shared" si="87"/>
        <v/>
      </c>
      <c r="DD26" s="506" t="str">
        <f t="shared" si="88"/>
        <v/>
      </c>
      <c r="DE26" s="506" t="str">
        <f t="shared" si="89"/>
        <v/>
      </c>
      <c r="DF26" s="506" t="str">
        <f t="shared" si="90"/>
        <v/>
      </c>
      <c r="DG26" s="506" t="str">
        <f t="shared" si="91"/>
        <v/>
      </c>
      <c r="DH26" s="506" t="str">
        <f t="shared" si="92"/>
        <v/>
      </c>
      <c r="DI26" s="506" t="str">
        <f t="shared" si="93"/>
        <v/>
      </c>
      <c r="DJ26" s="506" t="str">
        <f t="shared" si="94"/>
        <v/>
      </c>
      <c r="DK26" s="506" t="str">
        <f t="shared" si="95"/>
        <v/>
      </c>
      <c r="DL26" s="506" t="str">
        <f t="shared" si="96"/>
        <v/>
      </c>
      <c r="DM26" s="506" t="str">
        <f t="shared" si="97"/>
        <v/>
      </c>
      <c r="DN26" s="506" t="str">
        <f t="shared" si="98"/>
        <v/>
      </c>
      <c r="DO26" s="506" t="str">
        <f t="shared" si="99"/>
        <v/>
      </c>
      <c r="DP26" s="506" t="str">
        <f t="shared" si="100"/>
        <v/>
      </c>
      <c r="DQ26" s="506" t="str">
        <f t="shared" si="101"/>
        <v/>
      </c>
      <c r="DR26" s="506" t="str">
        <f t="shared" si="102"/>
        <v/>
      </c>
      <c r="DS26" s="506" t="str">
        <f t="shared" si="103"/>
        <v/>
      </c>
      <c r="DT26" s="506" t="str">
        <f t="shared" si="104"/>
        <v/>
      </c>
      <c r="DU26" s="506" t="str">
        <f t="shared" si="105"/>
        <v/>
      </c>
      <c r="DV26" s="506" t="str">
        <f t="shared" si="106"/>
        <v/>
      </c>
      <c r="DW26" s="506" t="str">
        <f t="shared" si="107"/>
        <v/>
      </c>
      <c r="DX26" s="506" t="str">
        <f t="shared" si="108"/>
        <v/>
      </c>
      <c r="DY26" s="506" t="str">
        <f t="shared" si="109"/>
        <v/>
      </c>
      <c r="DZ26" s="506" t="str">
        <f t="shared" si="110"/>
        <v/>
      </c>
      <c r="EA26" s="506" t="str">
        <f t="shared" si="111"/>
        <v/>
      </c>
      <c r="EB26" s="506" t="str">
        <f t="shared" si="112"/>
        <v/>
      </c>
      <c r="EC26" s="506" t="str">
        <f t="shared" si="113"/>
        <v/>
      </c>
      <c r="ED26" s="506" t="str">
        <f t="shared" si="114"/>
        <v/>
      </c>
      <c r="EE26" s="506" t="str">
        <f t="shared" si="115"/>
        <v/>
      </c>
      <c r="EF26" s="506" t="str">
        <f t="shared" si="116"/>
        <v/>
      </c>
      <c r="EG26" s="506" t="str">
        <f t="shared" si="117"/>
        <v/>
      </c>
      <c r="EH26" s="506" t="str">
        <f t="shared" si="118"/>
        <v/>
      </c>
      <c r="EI26" s="506" t="str">
        <f t="shared" si="119"/>
        <v/>
      </c>
      <c r="EJ26" s="506" t="str">
        <f t="shared" si="120"/>
        <v/>
      </c>
      <c r="EK26" s="506" t="str">
        <f t="shared" si="121"/>
        <v/>
      </c>
      <c r="EL26" s="506" t="str">
        <f t="shared" si="122"/>
        <v/>
      </c>
      <c r="EM26" s="506" t="str">
        <f t="shared" si="123"/>
        <v/>
      </c>
      <c r="EN26" s="506" t="str">
        <f t="shared" si="124"/>
        <v/>
      </c>
      <c r="EO26" s="506" t="str">
        <f t="shared" si="125"/>
        <v/>
      </c>
      <c r="EP26" s="506" t="str">
        <f t="shared" si="126"/>
        <v/>
      </c>
      <c r="EQ26" s="506" t="str">
        <f t="shared" si="127"/>
        <v/>
      </c>
      <c r="ER26" s="506" t="str">
        <f t="shared" si="128"/>
        <v/>
      </c>
      <c r="ES26" s="506" t="str">
        <f t="shared" si="129"/>
        <v/>
      </c>
      <c r="ET26" s="506" t="str">
        <f t="shared" si="130"/>
        <v/>
      </c>
      <c r="EU26" s="506" t="str">
        <f t="shared" si="131"/>
        <v/>
      </c>
      <c r="EV26" s="506" t="str">
        <f t="shared" si="132"/>
        <v/>
      </c>
      <c r="EW26" s="516" t="str">
        <f t="shared" si="133"/>
        <v/>
      </c>
      <c r="EX26" s="516" t="str">
        <f t="shared" si="134"/>
        <v/>
      </c>
      <c r="EY26" s="516" t="str">
        <f t="shared" si="135"/>
        <v/>
      </c>
      <c r="EZ26" s="516" t="str">
        <f t="shared" si="136"/>
        <v/>
      </c>
      <c r="FA26" s="516" t="str">
        <f t="shared" si="137"/>
        <v/>
      </c>
      <c r="FB26" s="516" t="str">
        <f t="shared" si="138"/>
        <v/>
      </c>
      <c r="FC26" s="516" t="str">
        <f t="shared" si="139"/>
        <v/>
      </c>
      <c r="FD26" s="516" t="str">
        <f t="shared" si="140"/>
        <v/>
      </c>
      <c r="FE26" s="516" t="str">
        <f t="shared" si="141"/>
        <v/>
      </c>
      <c r="FF26" s="516" t="str">
        <f t="shared" si="142"/>
        <v/>
      </c>
      <c r="FG26" s="516" t="str">
        <f t="shared" si="143"/>
        <v/>
      </c>
      <c r="FH26" s="516" t="str">
        <f t="shared" si="144"/>
        <v/>
      </c>
      <c r="FI26" s="516" t="str">
        <f t="shared" si="145"/>
        <v/>
      </c>
      <c r="FJ26" s="516" t="str">
        <f t="shared" si="146"/>
        <v/>
      </c>
      <c r="FK26" s="516" t="str">
        <f t="shared" si="147"/>
        <v/>
      </c>
      <c r="FL26" s="516" t="str">
        <f t="shared" si="148"/>
        <v/>
      </c>
      <c r="FM26" s="516" t="str">
        <f t="shared" si="149"/>
        <v/>
      </c>
      <c r="FN26" s="516" t="str">
        <f t="shared" si="150"/>
        <v/>
      </c>
      <c r="FO26" s="516" t="str">
        <f t="shared" si="151"/>
        <v/>
      </c>
      <c r="FP26" s="516" t="str">
        <f t="shared" si="152"/>
        <v/>
      </c>
      <c r="FQ26" s="516" t="str">
        <f t="shared" si="153"/>
        <v/>
      </c>
      <c r="FR26" s="516" t="str">
        <f t="shared" si="154"/>
        <v/>
      </c>
      <c r="FS26" s="516" t="str">
        <f t="shared" si="155"/>
        <v/>
      </c>
      <c r="FT26" s="516" t="str">
        <f t="shared" si="156"/>
        <v/>
      </c>
      <c r="FU26" s="516" t="str">
        <f t="shared" si="157"/>
        <v/>
      </c>
      <c r="FV26" s="516" t="str">
        <f t="shared" si="158"/>
        <v/>
      </c>
      <c r="FW26" s="516" t="str">
        <f t="shared" si="159"/>
        <v/>
      </c>
      <c r="FX26" s="516" t="str">
        <f t="shared" si="160"/>
        <v/>
      </c>
      <c r="FY26" s="516" t="str">
        <f t="shared" si="161"/>
        <v/>
      </c>
      <c r="FZ26" s="516" t="str">
        <f t="shared" si="162"/>
        <v/>
      </c>
      <c r="GA26" s="516" t="str">
        <f t="shared" si="163"/>
        <v/>
      </c>
      <c r="GB26" s="516" t="str">
        <f t="shared" si="164"/>
        <v/>
      </c>
      <c r="GC26" s="516" t="str">
        <f t="shared" si="165"/>
        <v/>
      </c>
      <c r="GD26" s="516" t="str">
        <f t="shared" si="166"/>
        <v/>
      </c>
      <c r="GE26" s="516" t="str">
        <f t="shared" si="167"/>
        <v/>
      </c>
      <c r="GF26" s="516" t="str">
        <f t="shared" si="168"/>
        <v/>
      </c>
      <c r="GG26" s="516" t="str">
        <f t="shared" si="169"/>
        <v/>
      </c>
      <c r="GH26" s="516" t="str">
        <f t="shared" si="170"/>
        <v/>
      </c>
      <c r="GI26" s="516" t="str">
        <f t="shared" si="171"/>
        <v/>
      </c>
      <c r="GJ26" s="516" t="str">
        <f t="shared" si="172"/>
        <v/>
      </c>
      <c r="GK26" s="516" t="str">
        <f t="shared" si="173"/>
        <v/>
      </c>
      <c r="GL26" s="516" t="str">
        <f t="shared" si="174"/>
        <v/>
      </c>
      <c r="GM26" s="516" t="str">
        <f t="shared" si="175"/>
        <v/>
      </c>
      <c r="GN26" s="516" t="str">
        <f t="shared" si="176"/>
        <v/>
      </c>
      <c r="GO26" s="516" t="str">
        <f t="shared" si="177"/>
        <v/>
      </c>
      <c r="GP26" s="516" t="str">
        <f t="shared" si="178"/>
        <v/>
      </c>
      <c r="GQ26" s="516" t="str">
        <f t="shared" si="179"/>
        <v/>
      </c>
      <c r="GR26" s="516" t="str">
        <f t="shared" si="180"/>
        <v/>
      </c>
      <c r="GS26" s="516" t="str">
        <f t="shared" si="181"/>
        <v/>
      </c>
      <c r="GT26" s="516" t="str">
        <f t="shared" si="182"/>
        <v/>
      </c>
      <c r="GU26" s="516" t="str">
        <f t="shared" si="183"/>
        <v/>
      </c>
      <c r="GV26" s="516" t="str">
        <f t="shared" si="184"/>
        <v/>
      </c>
      <c r="GW26" s="516" t="str">
        <f t="shared" si="185"/>
        <v/>
      </c>
      <c r="GX26" s="516" t="str">
        <f t="shared" si="186"/>
        <v/>
      </c>
      <c r="GY26" s="516" t="str">
        <f t="shared" si="187"/>
        <v/>
      </c>
      <c r="GZ26" s="516" t="str">
        <f t="shared" si="188"/>
        <v/>
      </c>
      <c r="HA26" s="516" t="str">
        <f t="shared" si="189"/>
        <v/>
      </c>
      <c r="HB26" s="516" t="str">
        <f t="shared" si="190"/>
        <v/>
      </c>
      <c r="HC26" s="516" t="str">
        <f t="shared" si="191"/>
        <v/>
      </c>
      <c r="HD26" s="516" t="str">
        <f t="shared" si="192"/>
        <v/>
      </c>
      <c r="HE26" s="516" t="str">
        <f t="shared" si="193"/>
        <v/>
      </c>
      <c r="HF26" s="516" t="str">
        <f t="shared" si="194"/>
        <v/>
      </c>
      <c r="HG26" s="516" t="str">
        <f t="shared" si="195"/>
        <v/>
      </c>
      <c r="HH26" s="516" t="str">
        <f t="shared" si="196"/>
        <v/>
      </c>
      <c r="HI26" s="516" t="str">
        <f t="shared" si="197"/>
        <v/>
      </c>
      <c r="HJ26" s="516" t="str">
        <f t="shared" si="198"/>
        <v/>
      </c>
      <c r="HK26" s="516" t="str">
        <f t="shared" si="199"/>
        <v/>
      </c>
      <c r="HL26" s="516" t="str">
        <f t="shared" si="200"/>
        <v/>
      </c>
      <c r="HM26" s="516" t="str">
        <f t="shared" si="201"/>
        <v/>
      </c>
      <c r="HN26" s="516" t="str">
        <f t="shared" si="202"/>
        <v/>
      </c>
      <c r="HO26" s="516" t="str">
        <f t="shared" si="203"/>
        <v/>
      </c>
      <c r="HP26" s="516" t="str">
        <f t="shared" si="204"/>
        <v/>
      </c>
      <c r="HQ26" s="516" t="str">
        <f t="shared" si="205"/>
        <v/>
      </c>
      <c r="HR26" s="516" t="str">
        <f t="shared" si="206"/>
        <v/>
      </c>
      <c r="HS26" s="516" t="str">
        <f t="shared" si="207"/>
        <v/>
      </c>
      <c r="HT26" s="516" t="str">
        <f t="shared" si="208"/>
        <v/>
      </c>
      <c r="HU26" s="516" t="str">
        <f t="shared" si="209"/>
        <v/>
      </c>
      <c r="HV26" s="516" t="str">
        <f t="shared" si="210"/>
        <v/>
      </c>
      <c r="HW26" s="516" t="str">
        <f t="shared" si="211"/>
        <v/>
      </c>
      <c r="HX26" s="516" t="str">
        <f t="shared" si="212"/>
        <v/>
      </c>
      <c r="HY26" s="516" t="str">
        <f t="shared" si="213"/>
        <v/>
      </c>
      <c r="HZ26" s="516" t="str">
        <f t="shared" si="214"/>
        <v/>
      </c>
      <c r="IA26" s="516" t="str">
        <f t="shared" si="215"/>
        <v/>
      </c>
      <c r="IB26" s="516" t="str">
        <f t="shared" si="216"/>
        <v/>
      </c>
      <c r="IC26" s="516" t="str">
        <f t="shared" si="217"/>
        <v/>
      </c>
      <c r="ID26" s="517" t="str">
        <f t="shared" si="218"/>
        <v/>
      </c>
      <c r="IE26" s="517" t="str">
        <f t="shared" si="219"/>
        <v/>
      </c>
      <c r="IF26" s="517" t="str">
        <f t="shared" si="220"/>
        <v/>
      </c>
      <c r="IG26" s="517" t="str">
        <f t="shared" si="221"/>
        <v/>
      </c>
      <c r="IH26" s="517" t="str">
        <f t="shared" si="222"/>
        <v/>
      </c>
      <c r="II26" s="506" t="str">
        <f t="shared" si="223"/>
        <v/>
      </c>
      <c r="IJ26" s="506" t="str">
        <f t="shared" si="224"/>
        <v/>
      </c>
      <c r="IK26" s="506" t="str">
        <f t="shared" si="225"/>
        <v/>
      </c>
      <c r="IL26" s="506" t="str">
        <f t="shared" si="226"/>
        <v/>
      </c>
      <c r="IM26" s="506" t="str">
        <f t="shared" si="227"/>
        <v/>
      </c>
      <c r="IN26" s="506" t="str">
        <f t="shared" si="228"/>
        <v/>
      </c>
      <c r="IO26" s="506" t="str">
        <f t="shared" si="229"/>
        <v/>
      </c>
      <c r="IP26" s="506" t="str">
        <f t="shared" si="230"/>
        <v/>
      </c>
      <c r="IQ26" s="506" t="str">
        <f t="shared" si="231"/>
        <v/>
      </c>
      <c r="IR26" s="506" t="str">
        <f t="shared" si="232"/>
        <v/>
      </c>
      <c r="IS26" s="506" t="str">
        <f t="shared" si="233"/>
        <v/>
      </c>
      <c r="IT26" s="506" t="str">
        <f t="shared" si="234"/>
        <v/>
      </c>
      <c r="IU26" s="506" t="str">
        <f t="shared" si="235"/>
        <v/>
      </c>
      <c r="IV26" s="506" t="str">
        <f t="shared" si="236"/>
        <v/>
      </c>
      <c r="IW26" s="506" t="str">
        <f t="shared" si="237"/>
        <v/>
      </c>
      <c r="IX26" s="506" t="str">
        <f t="shared" si="238"/>
        <v/>
      </c>
      <c r="IY26" s="506" t="str">
        <f t="shared" si="239"/>
        <v/>
      </c>
      <c r="IZ26" s="506" t="str">
        <f t="shared" si="240"/>
        <v/>
      </c>
      <c r="JA26" s="506" t="str">
        <f t="shared" si="241"/>
        <v/>
      </c>
      <c r="JB26" s="506" t="str">
        <f t="shared" si="242"/>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24" t="s">
        <v>1858</v>
      </c>
      <c r="C27" s="2525"/>
      <c r="D27" s="2526"/>
      <c r="E27" s="2527"/>
      <c r="F27" s="2527"/>
      <c r="G27" s="2527"/>
      <c r="H27" s="2527"/>
      <c r="I27" s="2527"/>
      <c r="J27" s="2528"/>
      <c r="K27" s="825">
        <f t="shared" si="1"/>
        <v>0</v>
      </c>
      <c r="L27" s="825">
        <f t="shared" si="2"/>
        <v>0</v>
      </c>
      <c r="M27" s="1301"/>
      <c r="N27" s="1301"/>
      <c r="O27" s="1301"/>
      <c r="P27" s="2529"/>
      <c r="Q27" s="2530" t="str">
        <f t="shared" si="243"/>
        <v/>
      </c>
      <c r="R27" s="2531" t="str">
        <f>IF(H27="","",IF(C27="Efficiency",Q27/($O$6*VLOOKUP(0,'DCA Underwriting Assumptions'!$J$118:$K$123,2,FALSE)),Q27/($O$6*VLOOKUP(C27,'DCA Underwriting Assumptions'!$J$118:$K$123,2,FALSE))))</f>
        <v/>
      </c>
      <c r="S27" s="2532"/>
      <c r="T27" s="2531"/>
      <c r="U27" s="2533"/>
      <c r="V27" s="2458"/>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53"/>
        <v/>
      </c>
      <c r="BV27" s="506" t="str">
        <f t="shared" si="54"/>
        <v/>
      </c>
      <c r="BW27" s="506" t="str">
        <f t="shared" si="55"/>
        <v/>
      </c>
      <c r="BX27" s="506" t="str">
        <f t="shared" si="56"/>
        <v/>
      </c>
      <c r="BY27" s="506" t="str">
        <f t="shared" si="57"/>
        <v/>
      </c>
      <c r="BZ27" s="506" t="str">
        <f t="shared" si="58"/>
        <v/>
      </c>
      <c r="CA27" s="506" t="str">
        <f t="shared" si="59"/>
        <v/>
      </c>
      <c r="CB27" s="506" t="str">
        <f t="shared" si="60"/>
        <v/>
      </c>
      <c r="CC27" s="506" t="str">
        <f t="shared" si="61"/>
        <v/>
      </c>
      <c r="CD27" s="506" t="str">
        <f t="shared" si="62"/>
        <v/>
      </c>
      <c r="CE27" s="506" t="str">
        <f t="shared" si="63"/>
        <v/>
      </c>
      <c r="CF27" s="506" t="str">
        <f t="shared" si="64"/>
        <v/>
      </c>
      <c r="CG27" s="506" t="str">
        <f t="shared" si="65"/>
        <v/>
      </c>
      <c r="CH27" s="506" t="str">
        <f t="shared" si="66"/>
        <v/>
      </c>
      <c r="CI27" s="506" t="str">
        <f t="shared" si="67"/>
        <v/>
      </c>
      <c r="CJ27" s="506" t="str">
        <f t="shared" si="68"/>
        <v/>
      </c>
      <c r="CK27" s="506" t="str">
        <f t="shared" si="69"/>
        <v/>
      </c>
      <c r="CL27" s="506" t="str">
        <f t="shared" si="70"/>
        <v/>
      </c>
      <c r="CM27" s="506" t="str">
        <f t="shared" si="71"/>
        <v/>
      </c>
      <c r="CN27" s="506" t="str">
        <f t="shared" si="72"/>
        <v/>
      </c>
      <c r="CO27" s="506" t="str">
        <f t="shared" si="73"/>
        <v/>
      </c>
      <c r="CP27" s="506" t="str">
        <f t="shared" si="74"/>
        <v/>
      </c>
      <c r="CQ27" s="506" t="str">
        <f t="shared" si="75"/>
        <v/>
      </c>
      <c r="CR27" s="506" t="str">
        <f t="shared" si="76"/>
        <v/>
      </c>
      <c r="CS27" s="506" t="str">
        <f t="shared" si="77"/>
        <v/>
      </c>
      <c r="CT27" s="506" t="str">
        <f t="shared" si="78"/>
        <v/>
      </c>
      <c r="CU27" s="506" t="str">
        <f t="shared" si="79"/>
        <v/>
      </c>
      <c r="CV27" s="506" t="str">
        <f t="shared" si="80"/>
        <v/>
      </c>
      <c r="CW27" s="506" t="str">
        <f t="shared" si="81"/>
        <v/>
      </c>
      <c r="CX27" s="506" t="str">
        <f t="shared" si="82"/>
        <v/>
      </c>
      <c r="CY27" s="506" t="str">
        <f t="shared" si="83"/>
        <v/>
      </c>
      <c r="CZ27" s="506" t="str">
        <f t="shared" si="84"/>
        <v/>
      </c>
      <c r="DA27" s="506" t="str">
        <f t="shared" si="85"/>
        <v/>
      </c>
      <c r="DB27" s="506" t="str">
        <f t="shared" si="86"/>
        <v/>
      </c>
      <c r="DC27" s="506" t="str">
        <f t="shared" si="87"/>
        <v/>
      </c>
      <c r="DD27" s="506" t="str">
        <f t="shared" si="88"/>
        <v/>
      </c>
      <c r="DE27" s="506" t="str">
        <f t="shared" si="89"/>
        <v/>
      </c>
      <c r="DF27" s="506" t="str">
        <f t="shared" si="90"/>
        <v/>
      </c>
      <c r="DG27" s="506" t="str">
        <f t="shared" si="91"/>
        <v/>
      </c>
      <c r="DH27" s="506" t="str">
        <f t="shared" si="92"/>
        <v/>
      </c>
      <c r="DI27" s="506" t="str">
        <f t="shared" si="93"/>
        <v/>
      </c>
      <c r="DJ27" s="506" t="str">
        <f t="shared" si="94"/>
        <v/>
      </c>
      <c r="DK27" s="506" t="str">
        <f t="shared" si="95"/>
        <v/>
      </c>
      <c r="DL27" s="506" t="str">
        <f t="shared" si="96"/>
        <v/>
      </c>
      <c r="DM27" s="506" t="str">
        <f t="shared" si="97"/>
        <v/>
      </c>
      <c r="DN27" s="506" t="str">
        <f t="shared" si="98"/>
        <v/>
      </c>
      <c r="DO27" s="506" t="str">
        <f t="shared" si="99"/>
        <v/>
      </c>
      <c r="DP27" s="506" t="str">
        <f t="shared" si="100"/>
        <v/>
      </c>
      <c r="DQ27" s="506" t="str">
        <f t="shared" si="101"/>
        <v/>
      </c>
      <c r="DR27" s="506" t="str">
        <f t="shared" si="102"/>
        <v/>
      </c>
      <c r="DS27" s="506" t="str">
        <f t="shared" si="103"/>
        <v/>
      </c>
      <c r="DT27" s="506" t="str">
        <f t="shared" si="104"/>
        <v/>
      </c>
      <c r="DU27" s="506" t="str">
        <f t="shared" si="105"/>
        <v/>
      </c>
      <c r="DV27" s="506" t="str">
        <f t="shared" si="106"/>
        <v/>
      </c>
      <c r="DW27" s="506" t="str">
        <f t="shared" si="107"/>
        <v/>
      </c>
      <c r="DX27" s="506" t="str">
        <f t="shared" si="108"/>
        <v/>
      </c>
      <c r="DY27" s="506" t="str">
        <f t="shared" si="109"/>
        <v/>
      </c>
      <c r="DZ27" s="506" t="str">
        <f t="shared" si="110"/>
        <v/>
      </c>
      <c r="EA27" s="506" t="str">
        <f t="shared" si="111"/>
        <v/>
      </c>
      <c r="EB27" s="506" t="str">
        <f t="shared" si="112"/>
        <v/>
      </c>
      <c r="EC27" s="506" t="str">
        <f t="shared" si="113"/>
        <v/>
      </c>
      <c r="ED27" s="506" t="str">
        <f t="shared" si="114"/>
        <v/>
      </c>
      <c r="EE27" s="506" t="str">
        <f t="shared" si="115"/>
        <v/>
      </c>
      <c r="EF27" s="506" t="str">
        <f t="shared" si="116"/>
        <v/>
      </c>
      <c r="EG27" s="506" t="str">
        <f t="shared" si="117"/>
        <v/>
      </c>
      <c r="EH27" s="506" t="str">
        <f t="shared" si="118"/>
        <v/>
      </c>
      <c r="EI27" s="506" t="str">
        <f t="shared" si="119"/>
        <v/>
      </c>
      <c r="EJ27" s="506" t="str">
        <f t="shared" si="120"/>
        <v/>
      </c>
      <c r="EK27" s="506" t="str">
        <f t="shared" si="121"/>
        <v/>
      </c>
      <c r="EL27" s="506" t="str">
        <f t="shared" si="122"/>
        <v/>
      </c>
      <c r="EM27" s="506" t="str">
        <f t="shared" si="123"/>
        <v/>
      </c>
      <c r="EN27" s="506" t="str">
        <f t="shared" si="124"/>
        <v/>
      </c>
      <c r="EO27" s="506" t="str">
        <f t="shared" si="125"/>
        <v/>
      </c>
      <c r="EP27" s="506" t="str">
        <f t="shared" si="126"/>
        <v/>
      </c>
      <c r="EQ27" s="506" t="str">
        <f t="shared" si="127"/>
        <v/>
      </c>
      <c r="ER27" s="506" t="str">
        <f t="shared" si="128"/>
        <v/>
      </c>
      <c r="ES27" s="506" t="str">
        <f t="shared" si="129"/>
        <v/>
      </c>
      <c r="ET27" s="506" t="str">
        <f t="shared" si="130"/>
        <v/>
      </c>
      <c r="EU27" s="506" t="str">
        <f t="shared" si="131"/>
        <v/>
      </c>
      <c r="EV27" s="506" t="str">
        <f t="shared" si="132"/>
        <v/>
      </c>
      <c r="EW27" s="516" t="str">
        <f t="shared" si="133"/>
        <v/>
      </c>
      <c r="EX27" s="516" t="str">
        <f t="shared" si="134"/>
        <v/>
      </c>
      <c r="EY27" s="516" t="str">
        <f t="shared" si="135"/>
        <v/>
      </c>
      <c r="EZ27" s="516" t="str">
        <f t="shared" si="136"/>
        <v/>
      </c>
      <c r="FA27" s="516" t="str">
        <f t="shared" si="137"/>
        <v/>
      </c>
      <c r="FB27" s="516" t="str">
        <f t="shared" si="138"/>
        <v/>
      </c>
      <c r="FC27" s="516" t="str">
        <f t="shared" si="139"/>
        <v/>
      </c>
      <c r="FD27" s="516" t="str">
        <f t="shared" si="140"/>
        <v/>
      </c>
      <c r="FE27" s="516" t="str">
        <f t="shared" si="141"/>
        <v/>
      </c>
      <c r="FF27" s="516" t="str">
        <f t="shared" si="142"/>
        <v/>
      </c>
      <c r="FG27" s="516" t="str">
        <f t="shared" si="143"/>
        <v/>
      </c>
      <c r="FH27" s="516" t="str">
        <f t="shared" si="144"/>
        <v/>
      </c>
      <c r="FI27" s="516" t="str">
        <f t="shared" si="145"/>
        <v/>
      </c>
      <c r="FJ27" s="516" t="str">
        <f t="shared" si="146"/>
        <v/>
      </c>
      <c r="FK27" s="516" t="str">
        <f t="shared" si="147"/>
        <v/>
      </c>
      <c r="FL27" s="516" t="str">
        <f t="shared" si="148"/>
        <v/>
      </c>
      <c r="FM27" s="516" t="str">
        <f t="shared" si="149"/>
        <v/>
      </c>
      <c r="FN27" s="516" t="str">
        <f t="shared" si="150"/>
        <v/>
      </c>
      <c r="FO27" s="516" t="str">
        <f t="shared" si="151"/>
        <v/>
      </c>
      <c r="FP27" s="516" t="str">
        <f t="shared" si="152"/>
        <v/>
      </c>
      <c r="FQ27" s="516" t="str">
        <f t="shared" si="153"/>
        <v/>
      </c>
      <c r="FR27" s="516" t="str">
        <f t="shared" si="154"/>
        <v/>
      </c>
      <c r="FS27" s="516" t="str">
        <f t="shared" si="155"/>
        <v/>
      </c>
      <c r="FT27" s="516" t="str">
        <f t="shared" si="156"/>
        <v/>
      </c>
      <c r="FU27" s="516" t="str">
        <f t="shared" si="157"/>
        <v/>
      </c>
      <c r="FV27" s="516" t="str">
        <f t="shared" si="158"/>
        <v/>
      </c>
      <c r="FW27" s="516" t="str">
        <f t="shared" si="159"/>
        <v/>
      </c>
      <c r="FX27" s="516" t="str">
        <f t="shared" si="160"/>
        <v/>
      </c>
      <c r="FY27" s="516" t="str">
        <f t="shared" si="161"/>
        <v/>
      </c>
      <c r="FZ27" s="516" t="str">
        <f t="shared" si="162"/>
        <v/>
      </c>
      <c r="GA27" s="516" t="str">
        <f t="shared" si="163"/>
        <v/>
      </c>
      <c r="GB27" s="516" t="str">
        <f t="shared" si="164"/>
        <v/>
      </c>
      <c r="GC27" s="516" t="str">
        <f t="shared" si="165"/>
        <v/>
      </c>
      <c r="GD27" s="516" t="str">
        <f t="shared" si="166"/>
        <v/>
      </c>
      <c r="GE27" s="516" t="str">
        <f t="shared" si="167"/>
        <v/>
      </c>
      <c r="GF27" s="516" t="str">
        <f t="shared" si="168"/>
        <v/>
      </c>
      <c r="GG27" s="516" t="str">
        <f t="shared" si="169"/>
        <v/>
      </c>
      <c r="GH27" s="516" t="str">
        <f t="shared" si="170"/>
        <v/>
      </c>
      <c r="GI27" s="516" t="str">
        <f t="shared" si="171"/>
        <v/>
      </c>
      <c r="GJ27" s="516" t="str">
        <f t="shared" si="172"/>
        <v/>
      </c>
      <c r="GK27" s="516" t="str">
        <f t="shared" si="173"/>
        <v/>
      </c>
      <c r="GL27" s="516" t="str">
        <f t="shared" si="174"/>
        <v/>
      </c>
      <c r="GM27" s="516" t="str">
        <f t="shared" si="175"/>
        <v/>
      </c>
      <c r="GN27" s="516" t="str">
        <f t="shared" si="176"/>
        <v/>
      </c>
      <c r="GO27" s="516" t="str">
        <f t="shared" si="177"/>
        <v/>
      </c>
      <c r="GP27" s="516" t="str">
        <f t="shared" si="178"/>
        <v/>
      </c>
      <c r="GQ27" s="516" t="str">
        <f t="shared" si="179"/>
        <v/>
      </c>
      <c r="GR27" s="516" t="str">
        <f t="shared" si="180"/>
        <v/>
      </c>
      <c r="GS27" s="516" t="str">
        <f t="shared" si="181"/>
        <v/>
      </c>
      <c r="GT27" s="516" t="str">
        <f t="shared" si="182"/>
        <v/>
      </c>
      <c r="GU27" s="516" t="str">
        <f t="shared" si="183"/>
        <v/>
      </c>
      <c r="GV27" s="516" t="str">
        <f t="shared" si="184"/>
        <v/>
      </c>
      <c r="GW27" s="516" t="str">
        <f t="shared" si="185"/>
        <v/>
      </c>
      <c r="GX27" s="516" t="str">
        <f t="shared" si="186"/>
        <v/>
      </c>
      <c r="GY27" s="516" t="str">
        <f t="shared" si="187"/>
        <v/>
      </c>
      <c r="GZ27" s="516" t="str">
        <f t="shared" si="188"/>
        <v/>
      </c>
      <c r="HA27" s="516" t="str">
        <f t="shared" si="189"/>
        <v/>
      </c>
      <c r="HB27" s="516" t="str">
        <f t="shared" si="190"/>
        <v/>
      </c>
      <c r="HC27" s="516" t="str">
        <f t="shared" si="191"/>
        <v/>
      </c>
      <c r="HD27" s="516" t="str">
        <f t="shared" si="192"/>
        <v/>
      </c>
      <c r="HE27" s="516" t="str">
        <f t="shared" si="193"/>
        <v/>
      </c>
      <c r="HF27" s="516" t="str">
        <f t="shared" si="194"/>
        <v/>
      </c>
      <c r="HG27" s="516" t="str">
        <f t="shared" si="195"/>
        <v/>
      </c>
      <c r="HH27" s="516" t="str">
        <f t="shared" si="196"/>
        <v/>
      </c>
      <c r="HI27" s="516" t="str">
        <f t="shared" si="197"/>
        <v/>
      </c>
      <c r="HJ27" s="516" t="str">
        <f t="shared" si="198"/>
        <v/>
      </c>
      <c r="HK27" s="516" t="str">
        <f t="shared" si="199"/>
        <v/>
      </c>
      <c r="HL27" s="516" t="str">
        <f t="shared" si="200"/>
        <v/>
      </c>
      <c r="HM27" s="516" t="str">
        <f t="shared" si="201"/>
        <v/>
      </c>
      <c r="HN27" s="516" t="str">
        <f t="shared" si="202"/>
        <v/>
      </c>
      <c r="HO27" s="516" t="str">
        <f t="shared" si="203"/>
        <v/>
      </c>
      <c r="HP27" s="516" t="str">
        <f t="shared" si="204"/>
        <v/>
      </c>
      <c r="HQ27" s="516" t="str">
        <f t="shared" si="205"/>
        <v/>
      </c>
      <c r="HR27" s="516" t="str">
        <f t="shared" si="206"/>
        <v/>
      </c>
      <c r="HS27" s="516" t="str">
        <f t="shared" si="207"/>
        <v/>
      </c>
      <c r="HT27" s="516" t="str">
        <f t="shared" si="208"/>
        <v/>
      </c>
      <c r="HU27" s="516" t="str">
        <f t="shared" si="209"/>
        <v/>
      </c>
      <c r="HV27" s="516" t="str">
        <f t="shared" si="210"/>
        <v/>
      </c>
      <c r="HW27" s="516" t="str">
        <f t="shared" si="211"/>
        <v/>
      </c>
      <c r="HX27" s="516" t="str">
        <f t="shared" si="212"/>
        <v/>
      </c>
      <c r="HY27" s="516" t="str">
        <f t="shared" si="213"/>
        <v/>
      </c>
      <c r="HZ27" s="516" t="str">
        <f t="shared" si="214"/>
        <v/>
      </c>
      <c r="IA27" s="516" t="str">
        <f t="shared" si="215"/>
        <v/>
      </c>
      <c r="IB27" s="516" t="str">
        <f t="shared" si="216"/>
        <v/>
      </c>
      <c r="IC27" s="516" t="str">
        <f t="shared" si="217"/>
        <v/>
      </c>
      <c r="ID27" s="517" t="str">
        <f t="shared" si="218"/>
        <v/>
      </c>
      <c r="IE27" s="517" t="str">
        <f t="shared" si="219"/>
        <v/>
      </c>
      <c r="IF27" s="517" t="str">
        <f t="shared" si="220"/>
        <v/>
      </c>
      <c r="IG27" s="517" t="str">
        <f t="shared" si="221"/>
        <v/>
      </c>
      <c r="IH27" s="517" t="str">
        <f t="shared" si="222"/>
        <v/>
      </c>
      <c r="II27" s="506" t="str">
        <f t="shared" si="223"/>
        <v/>
      </c>
      <c r="IJ27" s="506" t="str">
        <f t="shared" si="224"/>
        <v/>
      </c>
      <c r="IK27" s="506" t="str">
        <f t="shared" si="225"/>
        <v/>
      </c>
      <c r="IL27" s="506" t="str">
        <f t="shared" si="226"/>
        <v/>
      </c>
      <c r="IM27" s="506" t="str">
        <f t="shared" si="227"/>
        <v/>
      </c>
      <c r="IN27" s="506" t="str">
        <f t="shared" si="228"/>
        <v/>
      </c>
      <c r="IO27" s="506" t="str">
        <f t="shared" si="229"/>
        <v/>
      </c>
      <c r="IP27" s="506" t="str">
        <f t="shared" si="230"/>
        <v/>
      </c>
      <c r="IQ27" s="506" t="str">
        <f t="shared" si="231"/>
        <v/>
      </c>
      <c r="IR27" s="506" t="str">
        <f t="shared" si="232"/>
        <v/>
      </c>
      <c r="IS27" s="506" t="str">
        <f t="shared" si="233"/>
        <v/>
      </c>
      <c r="IT27" s="506" t="str">
        <f t="shared" si="234"/>
        <v/>
      </c>
      <c r="IU27" s="506" t="str">
        <f t="shared" si="235"/>
        <v/>
      </c>
      <c r="IV27" s="506" t="str">
        <f t="shared" si="236"/>
        <v/>
      </c>
      <c r="IW27" s="506" t="str">
        <f t="shared" si="237"/>
        <v/>
      </c>
      <c r="IX27" s="506" t="str">
        <f t="shared" si="238"/>
        <v/>
      </c>
      <c r="IY27" s="506" t="str">
        <f t="shared" si="239"/>
        <v/>
      </c>
      <c r="IZ27" s="506" t="str">
        <f t="shared" si="240"/>
        <v/>
      </c>
      <c r="JA27" s="506" t="str">
        <f t="shared" si="241"/>
        <v/>
      </c>
      <c r="JB27" s="506" t="str">
        <f t="shared" si="242"/>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24" t="s">
        <v>1858</v>
      </c>
      <c r="C28" s="2525"/>
      <c r="D28" s="2526"/>
      <c r="E28" s="2527"/>
      <c r="F28" s="2527"/>
      <c r="G28" s="2527"/>
      <c r="H28" s="2527"/>
      <c r="I28" s="2527"/>
      <c r="J28" s="2528"/>
      <c r="K28" s="825">
        <f t="shared" si="1"/>
        <v>0</v>
      </c>
      <c r="L28" s="825">
        <f t="shared" si="2"/>
        <v>0</v>
      </c>
      <c r="M28" s="1301"/>
      <c r="N28" s="1301"/>
      <c r="O28" s="1301"/>
      <c r="P28" s="2529"/>
      <c r="Q28" s="2530" t="str">
        <f t="shared" si="243"/>
        <v/>
      </c>
      <c r="R28" s="2531" t="str">
        <f>IF(H28="","",IF(C28="Efficiency",Q28/($O$6*VLOOKUP(0,'DCA Underwriting Assumptions'!$J$118:$K$123,2,FALSE)),Q28/($O$6*VLOOKUP(C28,'DCA Underwriting Assumptions'!$J$118:$K$123,2,FALSE))))</f>
        <v/>
      </c>
      <c r="S28" s="2532"/>
      <c r="T28" s="2531"/>
      <c r="U28" s="2533"/>
      <c r="V28" s="2458"/>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53"/>
        <v/>
      </c>
      <c r="BV28" s="506" t="str">
        <f t="shared" si="54"/>
        <v/>
      </c>
      <c r="BW28" s="506" t="str">
        <f t="shared" si="55"/>
        <v/>
      </c>
      <c r="BX28" s="506" t="str">
        <f t="shared" si="56"/>
        <v/>
      </c>
      <c r="BY28" s="506" t="str">
        <f t="shared" si="57"/>
        <v/>
      </c>
      <c r="BZ28" s="506" t="str">
        <f t="shared" si="58"/>
        <v/>
      </c>
      <c r="CA28" s="506" t="str">
        <f t="shared" si="59"/>
        <v/>
      </c>
      <c r="CB28" s="506" t="str">
        <f t="shared" si="60"/>
        <v/>
      </c>
      <c r="CC28" s="506" t="str">
        <f t="shared" si="61"/>
        <v/>
      </c>
      <c r="CD28" s="506" t="str">
        <f t="shared" si="62"/>
        <v/>
      </c>
      <c r="CE28" s="506" t="str">
        <f t="shared" si="63"/>
        <v/>
      </c>
      <c r="CF28" s="506" t="str">
        <f t="shared" si="64"/>
        <v/>
      </c>
      <c r="CG28" s="506" t="str">
        <f t="shared" si="65"/>
        <v/>
      </c>
      <c r="CH28" s="506" t="str">
        <f t="shared" si="66"/>
        <v/>
      </c>
      <c r="CI28" s="506" t="str">
        <f t="shared" si="67"/>
        <v/>
      </c>
      <c r="CJ28" s="506" t="str">
        <f t="shared" si="68"/>
        <v/>
      </c>
      <c r="CK28" s="506" t="str">
        <f t="shared" si="69"/>
        <v/>
      </c>
      <c r="CL28" s="506" t="str">
        <f t="shared" si="70"/>
        <v/>
      </c>
      <c r="CM28" s="506" t="str">
        <f t="shared" si="71"/>
        <v/>
      </c>
      <c r="CN28" s="506" t="str">
        <f t="shared" si="72"/>
        <v/>
      </c>
      <c r="CO28" s="506" t="str">
        <f t="shared" si="73"/>
        <v/>
      </c>
      <c r="CP28" s="506" t="str">
        <f t="shared" si="74"/>
        <v/>
      </c>
      <c r="CQ28" s="506" t="str">
        <f t="shared" si="75"/>
        <v/>
      </c>
      <c r="CR28" s="506" t="str">
        <f t="shared" si="76"/>
        <v/>
      </c>
      <c r="CS28" s="506" t="str">
        <f t="shared" si="77"/>
        <v/>
      </c>
      <c r="CT28" s="506" t="str">
        <f t="shared" si="78"/>
        <v/>
      </c>
      <c r="CU28" s="506" t="str">
        <f t="shared" si="79"/>
        <v/>
      </c>
      <c r="CV28" s="506" t="str">
        <f t="shared" si="80"/>
        <v/>
      </c>
      <c r="CW28" s="506" t="str">
        <f t="shared" si="81"/>
        <v/>
      </c>
      <c r="CX28" s="506" t="str">
        <f t="shared" si="82"/>
        <v/>
      </c>
      <c r="CY28" s="506" t="str">
        <f t="shared" si="83"/>
        <v/>
      </c>
      <c r="CZ28" s="506" t="str">
        <f t="shared" si="84"/>
        <v/>
      </c>
      <c r="DA28" s="506" t="str">
        <f t="shared" si="85"/>
        <v/>
      </c>
      <c r="DB28" s="506" t="str">
        <f t="shared" si="86"/>
        <v/>
      </c>
      <c r="DC28" s="506" t="str">
        <f t="shared" si="87"/>
        <v/>
      </c>
      <c r="DD28" s="506" t="str">
        <f t="shared" si="88"/>
        <v/>
      </c>
      <c r="DE28" s="506" t="str">
        <f t="shared" si="89"/>
        <v/>
      </c>
      <c r="DF28" s="506" t="str">
        <f t="shared" si="90"/>
        <v/>
      </c>
      <c r="DG28" s="506" t="str">
        <f t="shared" si="91"/>
        <v/>
      </c>
      <c r="DH28" s="506" t="str">
        <f t="shared" si="92"/>
        <v/>
      </c>
      <c r="DI28" s="506" t="str">
        <f t="shared" si="93"/>
        <v/>
      </c>
      <c r="DJ28" s="506" t="str">
        <f t="shared" si="94"/>
        <v/>
      </c>
      <c r="DK28" s="506" t="str">
        <f t="shared" si="95"/>
        <v/>
      </c>
      <c r="DL28" s="506" t="str">
        <f t="shared" si="96"/>
        <v/>
      </c>
      <c r="DM28" s="506" t="str">
        <f t="shared" si="97"/>
        <v/>
      </c>
      <c r="DN28" s="506" t="str">
        <f t="shared" si="98"/>
        <v/>
      </c>
      <c r="DO28" s="506" t="str">
        <f t="shared" si="99"/>
        <v/>
      </c>
      <c r="DP28" s="506" t="str">
        <f t="shared" si="100"/>
        <v/>
      </c>
      <c r="DQ28" s="506" t="str">
        <f t="shared" si="101"/>
        <v/>
      </c>
      <c r="DR28" s="506" t="str">
        <f t="shared" si="102"/>
        <v/>
      </c>
      <c r="DS28" s="506" t="str">
        <f t="shared" si="103"/>
        <v/>
      </c>
      <c r="DT28" s="506" t="str">
        <f t="shared" si="104"/>
        <v/>
      </c>
      <c r="DU28" s="506" t="str">
        <f t="shared" si="105"/>
        <v/>
      </c>
      <c r="DV28" s="506" t="str">
        <f t="shared" si="106"/>
        <v/>
      </c>
      <c r="DW28" s="506" t="str">
        <f t="shared" si="107"/>
        <v/>
      </c>
      <c r="DX28" s="506" t="str">
        <f t="shared" si="108"/>
        <v/>
      </c>
      <c r="DY28" s="506" t="str">
        <f t="shared" si="109"/>
        <v/>
      </c>
      <c r="DZ28" s="506" t="str">
        <f t="shared" si="110"/>
        <v/>
      </c>
      <c r="EA28" s="506" t="str">
        <f t="shared" si="111"/>
        <v/>
      </c>
      <c r="EB28" s="506" t="str">
        <f t="shared" si="112"/>
        <v/>
      </c>
      <c r="EC28" s="506" t="str">
        <f t="shared" si="113"/>
        <v/>
      </c>
      <c r="ED28" s="506" t="str">
        <f t="shared" si="114"/>
        <v/>
      </c>
      <c r="EE28" s="506" t="str">
        <f t="shared" si="115"/>
        <v/>
      </c>
      <c r="EF28" s="506" t="str">
        <f t="shared" si="116"/>
        <v/>
      </c>
      <c r="EG28" s="506" t="str">
        <f t="shared" si="117"/>
        <v/>
      </c>
      <c r="EH28" s="506" t="str">
        <f t="shared" si="118"/>
        <v/>
      </c>
      <c r="EI28" s="506" t="str">
        <f t="shared" si="119"/>
        <v/>
      </c>
      <c r="EJ28" s="506" t="str">
        <f t="shared" si="120"/>
        <v/>
      </c>
      <c r="EK28" s="506" t="str">
        <f t="shared" si="121"/>
        <v/>
      </c>
      <c r="EL28" s="506" t="str">
        <f t="shared" si="122"/>
        <v/>
      </c>
      <c r="EM28" s="506" t="str">
        <f t="shared" si="123"/>
        <v/>
      </c>
      <c r="EN28" s="506" t="str">
        <f t="shared" si="124"/>
        <v/>
      </c>
      <c r="EO28" s="506" t="str">
        <f t="shared" si="125"/>
        <v/>
      </c>
      <c r="EP28" s="506" t="str">
        <f t="shared" si="126"/>
        <v/>
      </c>
      <c r="EQ28" s="506" t="str">
        <f t="shared" si="127"/>
        <v/>
      </c>
      <c r="ER28" s="506" t="str">
        <f t="shared" si="128"/>
        <v/>
      </c>
      <c r="ES28" s="506" t="str">
        <f t="shared" si="129"/>
        <v/>
      </c>
      <c r="ET28" s="506" t="str">
        <f t="shared" si="130"/>
        <v/>
      </c>
      <c r="EU28" s="506" t="str">
        <f t="shared" si="131"/>
        <v/>
      </c>
      <c r="EV28" s="506" t="str">
        <f t="shared" si="132"/>
        <v/>
      </c>
      <c r="EW28" s="516" t="str">
        <f t="shared" si="133"/>
        <v/>
      </c>
      <c r="EX28" s="516" t="str">
        <f t="shared" si="134"/>
        <v/>
      </c>
      <c r="EY28" s="516" t="str">
        <f t="shared" si="135"/>
        <v/>
      </c>
      <c r="EZ28" s="516" t="str">
        <f t="shared" si="136"/>
        <v/>
      </c>
      <c r="FA28" s="516" t="str">
        <f t="shared" si="137"/>
        <v/>
      </c>
      <c r="FB28" s="516" t="str">
        <f t="shared" si="138"/>
        <v/>
      </c>
      <c r="FC28" s="516" t="str">
        <f t="shared" si="139"/>
        <v/>
      </c>
      <c r="FD28" s="516" t="str">
        <f t="shared" si="140"/>
        <v/>
      </c>
      <c r="FE28" s="516" t="str">
        <f t="shared" si="141"/>
        <v/>
      </c>
      <c r="FF28" s="516" t="str">
        <f t="shared" si="142"/>
        <v/>
      </c>
      <c r="FG28" s="516" t="str">
        <f t="shared" si="143"/>
        <v/>
      </c>
      <c r="FH28" s="516" t="str">
        <f t="shared" si="144"/>
        <v/>
      </c>
      <c r="FI28" s="516" t="str">
        <f t="shared" si="145"/>
        <v/>
      </c>
      <c r="FJ28" s="516" t="str">
        <f t="shared" si="146"/>
        <v/>
      </c>
      <c r="FK28" s="516" t="str">
        <f t="shared" si="147"/>
        <v/>
      </c>
      <c r="FL28" s="516" t="str">
        <f t="shared" si="148"/>
        <v/>
      </c>
      <c r="FM28" s="516" t="str">
        <f t="shared" si="149"/>
        <v/>
      </c>
      <c r="FN28" s="516" t="str">
        <f t="shared" si="150"/>
        <v/>
      </c>
      <c r="FO28" s="516" t="str">
        <f t="shared" si="151"/>
        <v/>
      </c>
      <c r="FP28" s="516" t="str">
        <f t="shared" si="152"/>
        <v/>
      </c>
      <c r="FQ28" s="516" t="str">
        <f t="shared" si="153"/>
        <v/>
      </c>
      <c r="FR28" s="516" t="str">
        <f t="shared" si="154"/>
        <v/>
      </c>
      <c r="FS28" s="516" t="str">
        <f t="shared" si="155"/>
        <v/>
      </c>
      <c r="FT28" s="516" t="str">
        <f t="shared" si="156"/>
        <v/>
      </c>
      <c r="FU28" s="516" t="str">
        <f t="shared" si="157"/>
        <v/>
      </c>
      <c r="FV28" s="516" t="str">
        <f t="shared" si="158"/>
        <v/>
      </c>
      <c r="FW28" s="516" t="str">
        <f t="shared" si="159"/>
        <v/>
      </c>
      <c r="FX28" s="516" t="str">
        <f t="shared" si="160"/>
        <v/>
      </c>
      <c r="FY28" s="516" t="str">
        <f t="shared" si="161"/>
        <v/>
      </c>
      <c r="FZ28" s="516" t="str">
        <f t="shared" si="162"/>
        <v/>
      </c>
      <c r="GA28" s="516" t="str">
        <f t="shared" si="163"/>
        <v/>
      </c>
      <c r="GB28" s="516" t="str">
        <f t="shared" si="164"/>
        <v/>
      </c>
      <c r="GC28" s="516" t="str">
        <f t="shared" si="165"/>
        <v/>
      </c>
      <c r="GD28" s="516" t="str">
        <f t="shared" si="166"/>
        <v/>
      </c>
      <c r="GE28" s="516" t="str">
        <f t="shared" si="167"/>
        <v/>
      </c>
      <c r="GF28" s="516" t="str">
        <f t="shared" si="168"/>
        <v/>
      </c>
      <c r="GG28" s="516" t="str">
        <f t="shared" si="169"/>
        <v/>
      </c>
      <c r="GH28" s="516" t="str">
        <f t="shared" si="170"/>
        <v/>
      </c>
      <c r="GI28" s="516" t="str">
        <f t="shared" si="171"/>
        <v/>
      </c>
      <c r="GJ28" s="516" t="str">
        <f t="shared" si="172"/>
        <v/>
      </c>
      <c r="GK28" s="516" t="str">
        <f t="shared" si="173"/>
        <v/>
      </c>
      <c r="GL28" s="516" t="str">
        <f t="shared" si="174"/>
        <v/>
      </c>
      <c r="GM28" s="516" t="str">
        <f t="shared" si="175"/>
        <v/>
      </c>
      <c r="GN28" s="516" t="str">
        <f t="shared" si="176"/>
        <v/>
      </c>
      <c r="GO28" s="516" t="str">
        <f t="shared" si="177"/>
        <v/>
      </c>
      <c r="GP28" s="516" t="str">
        <f t="shared" si="178"/>
        <v/>
      </c>
      <c r="GQ28" s="516" t="str">
        <f t="shared" si="179"/>
        <v/>
      </c>
      <c r="GR28" s="516" t="str">
        <f t="shared" si="180"/>
        <v/>
      </c>
      <c r="GS28" s="516" t="str">
        <f t="shared" si="181"/>
        <v/>
      </c>
      <c r="GT28" s="516" t="str">
        <f t="shared" si="182"/>
        <v/>
      </c>
      <c r="GU28" s="516" t="str">
        <f t="shared" si="183"/>
        <v/>
      </c>
      <c r="GV28" s="516" t="str">
        <f t="shared" si="184"/>
        <v/>
      </c>
      <c r="GW28" s="516" t="str">
        <f t="shared" si="185"/>
        <v/>
      </c>
      <c r="GX28" s="516" t="str">
        <f t="shared" si="186"/>
        <v/>
      </c>
      <c r="GY28" s="516" t="str">
        <f t="shared" si="187"/>
        <v/>
      </c>
      <c r="GZ28" s="516" t="str">
        <f t="shared" si="188"/>
        <v/>
      </c>
      <c r="HA28" s="516" t="str">
        <f t="shared" si="189"/>
        <v/>
      </c>
      <c r="HB28" s="516" t="str">
        <f t="shared" si="190"/>
        <v/>
      </c>
      <c r="HC28" s="516" t="str">
        <f t="shared" si="191"/>
        <v/>
      </c>
      <c r="HD28" s="516" t="str">
        <f t="shared" si="192"/>
        <v/>
      </c>
      <c r="HE28" s="516" t="str">
        <f t="shared" si="193"/>
        <v/>
      </c>
      <c r="HF28" s="516" t="str">
        <f t="shared" si="194"/>
        <v/>
      </c>
      <c r="HG28" s="516" t="str">
        <f t="shared" si="195"/>
        <v/>
      </c>
      <c r="HH28" s="516" t="str">
        <f t="shared" si="196"/>
        <v/>
      </c>
      <c r="HI28" s="516" t="str">
        <f t="shared" si="197"/>
        <v/>
      </c>
      <c r="HJ28" s="516" t="str">
        <f t="shared" si="198"/>
        <v/>
      </c>
      <c r="HK28" s="516" t="str">
        <f t="shared" si="199"/>
        <v/>
      </c>
      <c r="HL28" s="516" t="str">
        <f t="shared" si="200"/>
        <v/>
      </c>
      <c r="HM28" s="516" t="str">
        <f t="shared" si="201"/>
        <v/>
      </c>
      <c r="HN28" s="516" t="str">
        <f t="shared" si="202"/>
        <v/>
      </c>
      <c r="HO28" s="516" t="str">
        <f t="shared" si="203"/>
        <v/>
      </c>
      <c r="HP28" s="516" t="str">
        <f t="shared" si="204"/>
        <v/>
      </c>
      <c r="HQ28" s="516" t="str">
        <f t="shared" si="205"/>
        <v/>
      </c>
      <c r="HR28" s="516" t="str">
        <f t="shared" si="206"/>
        <v/>
      </c>
      <c r="HS28" s="516" t="str">
        <f t="shared" si="207"/>
        <v/>
      </c>
      <c r="HT28" s="516" t="str">
        <f t="shared" si="208"/>
        <v/>
      </c>
      <c r="HU28" s="516" t="str">
        <f t="shared" si="209"/>
        <v/>
      </c>
      <c r="HV28" s="516" t="str">
        <f t="shared" si="210"/>
        <v/>
      </c>
      <c r="HW28" s="516" t="str">
        <f t="shared" si="211"/>
        <v/>
      </c>
      <c r="HX28" s="516" t="str">
        <f t="shared" si="212"/>
        <v/>
      </c>
      <c r="HY28" s="516" t="str">
        <f t="shared" si="213"/>
        <v/>
      </c>
      <c r="HZ28" s="516" t="str">
        <f t="shared" si="214"/>
        <v/>
      </c>
      <c r="IA28" s="516" t="str">
        <f t="shared" si="215"/>
        <v/>
      </c>
      <c r="IB28" s="516" t="str">
        <f t="shared" si="216"/>
        <v/>
      </c>
      <c r="IC28" s="516" t="str">
        <f t="shared" si="217"/>
        <v/>
      </c>
      <c r="ID28" s="517" t="str">
        <f t="shared" si="218"/>
        <v/>
      </c>
      <c r="IE28" s="517" t="str">
        <f t="shared" si="219"/>
        <v/>
      </c>
      <c r="IF28" s="517" t="str">
        <f t="shared" si="220"/>
        <v/>
      </c>
      <c r="IG28" s="517" t="str">
        <f t="shared" si="221"/>
        <v/>
      </c>
      <c r="IH28" s="517" t="str">
        <f t="shared" si="222"/>
        <v/>
      </c>
      <c r="II28" s="506" t="str">
        <f t="shared" si="223"/>
        <v/>
      </c>
      <c r="IJ28" s="506" t="str">
        <f t="shared" si="224"/>
        <v/>
      </c>
      <c r="IK28" s="506" t="str">
        <f t="shared" si="225"/>
        <v/>
      </c>
      <c r="IL28" s="506" t="str">
        <f t="shared" si="226"/>
        <v/>
      </c>
      <c r="IM28" s="506" t="str">
        <f t="shared" si="227"/>
        <v/>
      </c>
      <c r="IN28" s="506" t="str">
        <f t="shared" si="228"/>
        <v/>
      </c>
      <c r="IO28" s="506" t="str">
        <f t="shared" si="229"/>
        <v/>
      </c>
      <c r="IP28" s="506" t="str">
        <f t="shared" si="230"/>
        <v/>
      </c>
      <c r="IQ28" s="506" t="str">
        <f t="shared" si="231"/>
        <v/>
      </c>
      <c r="IR28" s="506" t="str">
        <f t="shared" si="232"/>
        <v/>
      </c>
      <c r="IS28" s="506" t="str">
        <f t="shared" si="233"/>
        <v/>
      </c>
      <c r="IT28" s="506" t="str">
        <f t="shared" si="234"/>
        <v/>
      </c>
      <c r="IU28" s="506" t="str">
        <f t="shared" si="235"/>
        <v/>
      </c>
      <c r="IV28" s="506" t="str">
        <f t="shared" si="236"/>
        <v/>
      </c>
      <c r="IW28" s="506" t="str">
        <f t="shared" si="237"/>
        <v/>
      </c>
      <c r="IX28" s="506" t="str">
        <f t="shared" si="238"/>
        <v/>
      </c>
      <c r="IY28" s="506" t="str">
        <f t="shared" si="239"/>
        <v/>
      </c>
      <c r="IZ28" s="506" t="str">
        <f t="shared" si="240"/>
        <v/>
      </c>
      <c r="JA28" s="506" t="str">
        <f t="shared" si="241"/>
        <v/>
      </c>
      <c r="JB28" s="506" t="str">
        <f t="shared" si="242"/>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24" t="s">
        <v>1858</v>
      </c>
      <c r="C29" s="2525"/>
      <c r="D29" s="2526"/>
      <c r="E29" s="2527"/>
      <c r="F29" s="2527"/>
      <c r="G29" s="2527"/>
      <c r="H29" s="2527"/>
      <c r="I29" s="2527"/>
      <c r="J29" s="2528"/>
      <c r="K29" s="825">
        <f t="shared" si="1"/>
        <v>0</v>
      </c>
      <c r="L29" s="825">
        <f t="shared" si="2"/>
        <v>0</v>
      </c>
      <c r="M29" s="1301"/>
      <c r="N29" s="1301"/>
      <c r="O29" s="1301"/>
      <c r="P29" s="2529"/>
      <c r="Q29" s="2530" t="str">
        <f t="shared" si="243"/>
        <v/>
      </c>
      <c r="R29" s="2531" t="str">
        <f>IF(H29="","",IF(C29="Efficiency",Q29/($O$6*VLOOKUP(0,'DCA Underwriting Assumptions'!$J$118:$K$123,2,FALSE)),Q29/($O$6*VLOOKUP(C29,'DCA Underwriting Assumptions'!$J$118:$K$123,2,FALSE))))</f>
        <v/>
      </c>
      <c r="S29" s="2532"/>
      <c r="T29" s="2531"/>
      <c r="U29" s="2533"/>
      <c r="V29" s="2458"/>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53"/>
        <v/>
      </c>
      <c r="BV29" s="506" t="str">
        <f t="shared" si="54"/>
        <v/>
      </c>
      <c r="BW29" s="506" t="str">
        <f t="shared" si="55"/>
        <v/>
      </c>
      <c r="BX29" s="506" t="str">
        <f t="shared" si="56"/>
        <v/>
      </c>
      <c r="BY29" s="506" t="str">
        <f t="shared" si="57"/>
        <v/>
      </c>
      <c r="BZ29" s="506" t="str">
        <f t="shared" si="58"/>
        <v/>
      </c>
      <c r="CA29" s="506" t="str">
        <f t="shared" si="59"/>
        <v/>
      </c>
      <c r="CB29" s="506" t="str">
        <f t="shared" si="60"/>
        <v/>
      </c>
      <c r="CC29" s="506" t="str">
        <f t="shared" si="61"/>
        <v/>
      </c>
      <c r="CD29" s="506" t="str">
        <f t="shared" si="62"/>
        <v/>
      </c>
      <c r="CE29" s="506" t="str">
        <f t="shared" si="63"/>
        <v/>
      </c>
      <c r="CF29" s="506" t="str">
        <f t="shared" si="64"/>
        <v/>
      </c>
      <c r="CG29" s="506" t="str">
        <f t="shared" si="65"/>
        <v/>
      </c>
      <c r="CH29" s="506" t="str">
        <f t="shared" si="66"/>
        <v/>
      </c>
      <c r="CI29" s="506" t="str">
        <f t="shared" si="67"/>
        <v/>
      </c>
      <c r="CJ29" s="506" t="str">
        <f t="shared" si="68"/>
        <v/>
      </c>
      <c r="CK29" s="506" t="str">
        <f t="shared" si="69"/>
        <v/>
      </c>
      <c r="CL29" s="506" t="str">
        <f t="shared" si="70"/>
        <v/>
      </c>
      <c r="CM29" s="506" t="str">
        <f t="shared" si="71"/>
        <v/>
      </c>
      <c r="CN29" s="506" t="str">
        <f t="shared" si="72"/>
        <v/>
      </c>
      <c r="CO29" s="506" t="str">
        <f t="shared" si="73"/>
        <v/>
      </c>
      <c r="CP29" s="506" t="str">
        <f t="shared" si="74"/>
        <v/>
      </c>
      <c r="CQ29" s="506" t="str">
        <f t="shared" si="75"/>
        <v/>
      </c>
      <c r="CR29" s="506" t="str">
        <f t="shared" si="76"/>
        <v/>
      </c>
      <c r="CS29" s="506" t="str">
        <f t="shared" si="77"/>
        <v/>
      </c>
      <c r="CT29" s="506" t="str">
        <f t="shared" si="78"/>
        <v/>
      </c>
      <c r="CU29" s="506" t="str">
        <f t="shared" si="79"/>
        <v/>
      </c>
      <c r="CV29" s="506" t="str">
        <f t="shared" si="80"/>
        <v/>
      </c>
      <c r="CW29" s="506" t="str">
        <f t="shared" si="81"/>
        <v/>
      </c>
      <c r="CX29" s="506" t="str">
        <f t="shared" si="82"/>
        <v/>
      </c>
      <c r="CY29" s="506" t="str">
        <f t="shared" si="83"/>
        <v/>
      </c>
      <c r="CZ29" s="506" t="str">
        <f t="shared" si="84"/>
        <v/>
      </c>
      <c r="DA29" s="506" t="str">
        <f t="shared" si="85"/>
        <v/>
      </c>
      <c r="DB29" s="506" t="str">
        <f t="shared" si="86"/>
        <v/>
      </c>
      <c r="DC29" s="506" t="str">
        <f t="shared" si="87"/>
        <v/>
      </c>
      <c r="DD29" s="506" t="str">
        <f t="shared" si="88"/>
        <v/>
      </c>
      <c r="DE29" s="506" t="str">
        <f t="shared" si="89"/>
        <v/>
      </c>
      <c r="DF29" s="506" t="str">
        <f t="shared" si="90"/>
        <v/>
      </c>
      <c r="DG29" s="506" t="str">
        <f t="shared" si="91"/>
        <v/>
      </c>
      <c r="DH29" s="506" t="str">
        <f t="shared" si="92"/>
        <v/>
      </c>
      <c r="DI29" s="506" t="str">
        <f t="shared" si="93"/>
        <v/>
      </c>
      <c r="DJ29" s="506" t="str">
        <f t="shared" si="94"/>
        <v/>
      </c>
      <c r="DK29" s="506" t="str">
        <f t="shared" si="95"/>
        <v/>
      </c>
      <c r="DL29" s="506" t="str">
        <f t="shared" si="96"/>
        <v/>
      </c>
      <c r="DM29" s="506" t="str">
        <f t="shared" si="97"/>
        <v/>
      </c>
      <c r="DN29" s="506" t="str">
        <f t="shared" si="98"/>
        <v/>
      </c>
      <c r="DO29" s="506" t="str">
        <f t="shared" si="99"/>
        <v/>
      </c>
      <c r="DP29" s="506" t="str">
        <f t="shared" si="100"/>
        <v/>
      </c>
      <c r="DQ29" s="506" t="str">
        <f t="shared" si="101"/>
        <v/>
      </c>
      <c r="DR29" s="506" t="str">
        <f t="shared" si="102"/>
        <v/>
      </c>
      <c r="DS29" s="506" t="str">
        <f t="shared" si="103"/>
        <v/>
      </c>
      <c r="DT29" s="506" t="str">
        <f t="shared" si="104"/>
        <v/>
      </c>
      <c r="DU29" s="506" t="str">
        <f t="shared" si="105"/>
        <v/>
      </c>
      <c r="DV29" s="506" t="str">
        <f t="shared" si="106"/>
        <v/>
      </c>
      <c r="DW29" s="506" t="str">
        <f t="shared" si="107"/>
        <v/>
      </c>
      <c r="DX29" s="506" t="str">
        <f t="shared" si="108"/>
        <v/>
      </c>
      <c r="DY29" s="506" t="str">
        <f t="shared" si="109"/>
        <v/>
      </c>
      <c r="DZ29" s="506" t="str">
        <f t="shared" si="110"/>
        <v/>
      </c>
      <c r="EA29" s="506" t="str">
        <f t="shared" si="111"/>
        <v/>
      </c>
      <c r="EB29" s="506" t="str">
        <f t="shared" si="112"/>
        <v/>
      </c>
      <c r="EC29" s="506" t="str">
        <f t="shared" si="113"/>
        <v/>
      </c>
      <c r="ED29" s="506" t="str">
        <f t="shared" si="114"/>
        <v/>
      </c>
      <c r="EE29" s="506" t="str">
        <f t="shared" si="115"/>
        <v/>
      </c>
      <c r="EF29" s="506" t="str">
        <f t="shared" si="116"/>
        <v/>
      </c>
      <c r="EG29" s="506" t="str">
        <f t="shared" si="117"/>
        <v/>
      </c>
      <c r="EH29" s="506" t="str">
        <f t="shared" si="118"/>
        <v/>
      </c>
      <c r="EI29" s="506" t="str">
        <f t="shared" si="119"/>
        <v/>
      </c>
      <c r="EJ29" s="506" t="str">
        <f t="shared" si="120"/>
        <v/>
      </c>
      <c r="EK29" s="506" t="str">
        <f t="shared" si="121"/>
        <v/>
      </c>
      <c r="EL29" s="506" t="str">
        <f t="shared" si="122"/>
        <v/>
      </c>
      <c r="EM29" s="506" t="str">
        <f t="shared" si="123"/>
        <v/>
      </c>
      <c r="EN29" s="506" t="str">
        <f t="shared" si="124"/>
        <v/>
      </c>
      <c r="EO29" s="506" t="str">
        <f t="shared" si="125"/>
        <v/>
      </c>
      <c r="EP29" s="506" t="str">
        <f t="shared" si="126"/>
        <v/>
      </c>
      <c r="EQ29" s="506" t="str">
        <f t="shared" si="127"/>
        <v/>
      </c>
      <c r="ER29" s="506" t="str">
        <f t="shared" si="128"/>
        <v/>
      </c>
      <c r="ES29" s="506" t="str">
        <f t="shared" si="129"/>
        <v/>
      </c>
      <c r="ET29" s="506" t="str">
        <f t="shared" si="130"/>
        <v/>
      </c>
      <c r="EU29" s="506" t="str">
        <f t="shared" si="131"/>
        <v/>
      </c>
      <c r="EV29" s="506" t="str">
        <f t="shared" si="132"/>
        <v/>
      </c>
      <c r="EW29" s="516" t="str">
        <f t="shared" si="133"/>
        <v/>
      </c>
      <c r="EX29" s="516" t="str">
        <f t="shared" si="134"/>
        <v/>
      </c>
      <c r="EY29" s="516" t="str">
        <f t="shared" si="135"/>
        <v/>
      </c>
      <c r="EZ29" s="516" t="str">
        <f t="shared" si="136"/>
        <v/>
      </c>
      <c r="FA29" s="516" t="str">
        <f t="shared" si="137"/>
        <v/>
      </c>
      <c r="FB29" s="516" t="str">
        <f t="shared" si="138"/>
        <v/>
      </c>
      <c r="FC29" s="516" t="str">
        <f t="shared" si="139"/>
        <v/>
      </c>
      <c r="FD29" s="516" t="str">
        <f t="shared" si="140"/>
        <v/>
      </c>
      <c r="FE29" s="516" t="str">
        <f t="shared" si="141"/>
        <v/>
      </c>
      <c r="FF29" s="516" t="str">
        <f t="shared" si="142"/>
        <v/>
      </c>
      <c r="FG29" s="516" t="str">
        <f t="shared" si="143"/>
        <v/>
      </c>
      <c r="FH29" s="516" t="str">
        <f t="shared" si="144"/>
        <v/>
      </c>
      <c r="FI29" s="516" t="str">
        <f t="shared" si="145"/>
        <v/>
      </c>
      <c r="FJ29" s="516" t="str">
        <f t="shared" si="146"/>
        <v/>
      </c>
      <c r="FK29" s="516" t="str">
        <f t="shared" si="147"/>
        <v/>
      </c>
      <c r="FL29" s="516" t="str">
        <f t="shared" si="148"/>
        <v/>
      </c>
      <c r="FM29" s="516" t="str">
        <f t="shared" si="149"/>
        <v/>
      </c>
      <c r="FN29" s="516" t="str">
        <f t="shared" si="150"/>
        <v/>
      </c>
      <c r="FO29" s="516" t="str">
        <f t="shared" si="151"/>
        <v/>
      </c>
      <c r="FP29" s="516" t="str">
        <f t="shared" si="152"/>
        <v/>
      </c>
      <c r="FQ29" s="516" t="str">
        <f t="shared" si="153"/>
        <v/>
      </c>
      <c r="FR29" s="516" t="str">
        <f t="shared" si="154"/>
        <v/>
      </c>
      <c r="FS29" s="516" t="str">
        <f t="shared" si="155"/>
        <v/>
      </c>
      <c r="FT29" s="516" t="str">
        <f t="shared" si="156"/>
        <v/>
      </c>
      <c r="FU29" s="516" t="str">
        <f t="shared" si="157"/>
        <v/>
      </c>
      <c r="FV29" s="516" t="str">
        <f t="shared" si="158"/>
        <v/>
      </c>
      <c r="FW29" s="516" t="str">
        <f t="shared" si="159"/>
        <v/>
      </c>
      <c r="FX29" s="516" t="str">
        <f t="shared" si="160"/>
        <v/>
      </c>
      <c r="FY29" s="516" t="str">
        <f t="shared" si="161"/>
        <v/>
      </c>
      <c r="FZ29" s="516" t="str">
        <f t="shared" si="162"/>
        <v/>
      </c>
      <c r="GA29" s="516" t="str">
        <f t="shared" si="163"/>
        <v/>
      </c>
      <c r="GB29" s="516" t="str">
        <f t="shared" si="164"/>
        <v/>
      </c>
      <c r="GC29" s="516" t="str">
        <f t="shared" si="165"/>
        <v/>
      </c>
      <c r="GD29" s="516" t="str">
        <f t="shared" si="166"/>
        <v/>
      </c>
      <c r="GE29" s="516" t="str">
        <f t="shared" si="167"/>
        <v/>
      </c>
      <c r="GF29" s="516" t="str">
        <f t="shared" si="168"/>
        <v/>
      </c>
      <c r="GG29" s="516" t="str">
        <f t="shared" si="169"/>
        <v/>
      </c>
      <c r="GH29" s="516" t="str">
        <f t="shared" si="170"/>
        <v/>
      </c>
      <c r="GI29" s="516" t="str">
        <f t="shared" si="171"/>
        <v/>
      </c>
      <c r="GJ29" s="516" t="str">
        <f t="shared" si="172"/>
        <v/>
      </c>
      <c r="GK29" s="516" t="str">
        <f t="shared" si="173"/>
        <v/>
      </c>
      <c r="GL29" s="516" t="str">
        <f t="shared" si="174"/>
        <v/>
      </c>
      <c r="GM29" s="516" t="str">
        <f t="shared" si="175"/>
        <v/>
      </c>
      <c r="GN29" s="516" t="str">
        <f t="shared" si="176"/>
        <v/>
      </c>
      <c r="GO29" s="516" t="str">
        <f t="shared" si="177"/>
        <v/>
      </c>
      <c r="GP29" s="516" t="str">
        <f t="shared" si="178"/>
        <v/>
      </c>
      <c r="GQ29" s="516" t="str">
        <f t="shared" si="179"/>
        <v/>
      </c>
      <c r="GR29" s="516" t="str">
        <f t="shared" si="180"/>
        <v/>
      </c>
      <c r="GS29" s="516" t="str">
        <f t="shared" si="181"/>
        <v/>
      </c>
      <c r="GT29" s="516" t="str">
        <f t="shared" si="182"/>
        <v/>
      </c>
      <c r="GU29" s="516" t="str">
        <f t="shared" si="183"/>
        <v/>
      </c>
      <c r="GV29" s="516" t="str">
        <f t="shared" si="184"/>
        <v/>
      </c>
      <c r="GW29" s="516" t="str">
        <f t="shared" si="185"/>
        <v/>
      </c>
      <c r="GX29" s="516" t="str">
        <f t="shared" si="186"/>
        <v/>
      </c>
      <c r="GY29" s="516" t="str">
        <f t="shared" si="187"/>
        <v/>
      </c>
      <c r="GZ29" s="516" t="str">
        <f t="shared" si="188"/>
        <v/>
      </c>
      <c r="HA29" s="516" t="str">
        <f t="shared" si="189"/>
        <v/>
      </c>
      <c r="HB29" s="516" t="str">
        <f t="shared" si="190"/>
        <v/>
      </c>
      <c r="HC29" s="516" t="str">
        <f t="shared" si="191"/>
        <v/>
      </c>
      <c r="HD29" s="516" t="str">
        <f t="shared" si="192"/>
        <v/>
      </c>
      <c r="HE29" s="516" t="str">
        <f t="shared" si="193"/>
        <v/>
      </c>
      <c r="HF29" s="516" t="str">
        <f t="shared" si="194"/>
        <v/>
      </c>
      <c r="HG29" s="516" t="str">
        <f t="shared" si="195"/>
        <v/>
      </c>
      <c r="HH29" s="516" t="str">
        <f t="shared" si="196"/>
        <v/>
      </c>
      <c r="HI29" s="516" t="str">
        <f t="shared" si="197"/>
        <v/>
      </c>
      <c r="HJ29" s="516" t="str">
        <f t="shared" si="198"/>
        <v/>
      </c>
      <c r="HK29" s="516" t="str">
        <f t="shared" si="199"/>
        <v/>
      </c>
      <c r="HL29" s="516" t="str">
        <f t="shared" si="200"/>
        <v/>
      </c>
      <c r="HM29" s="516" t="str">
        <f t="shared" si="201"/>
        <v/>
      </c>
      <c r="HN29" s="516" t="str">
        <f t="shared" si="202"/>
        <v/>
      </c>
      <c r="HO29" s="516" t="str">
        <f t="shared" si="203"/>
        <v/>
      </c>
      <c r="HP29" s="516" t="str">
        <f t="shared" si="204"/>
        <v/>
      </c>
      <c r="HQ29" s="516" t="str">
        <f t="shared" si="205"/>
        <v/>
      </c>
      <c r="HR29" s="516" t="str">
        <f t="shared" si="206"/>
        <v/>
      </c>
      <c r="HS29" s="516" t="str">
        <f t="shared" si="207"/>
        <v/>
      </c>
      <c r="HT29" s="516" t="str">
        <f t="shared" si="208"/>
        <v/>
      </c>
      <c r="HU29" s="516" t="str">
        <f t="shared" si="209"/>
        <v/>
      </c>
      <c r="HV29" s="516" t="str">
        <f t="shared" si="210"/>
        <v/>
      </c>
      <c r="HW29" s="516" t="str">
        <f t="shared" si="211"/>
        <v/>
      </c>
      <c r="HX29" s="516" t="str">
        <f t="shared" si="212"/>
        <v/>
      </c>
      <c r="HY29" s="516" t="str">
        <f t="shared" si="213"/>
        <v/>
      </c>
      <c r="HZ29" s="516" t="str">
        <f t="shared" si="214"/>
        <v/>
      </c>
      <c r="IA29" s="516" t="str">
        <f t="shared" si="215"/>
        <v/>
      </c>
      <c r="IB29" s="516" t="str">
        <f t="shared" si="216"/>
        <v/>
      </c>
      <c r="IC29" s="516" t="str">
        <f t="shared" si="217"/>
        <v/>
      </c>
      <c r="ID29" s="517" t="str">
        <f t="shared" si="218"/>
        <v/>
      </c>
      <c r="IE29" s="517" t="str">
        <f t="shared" si="219"/>
        <v/>
      </c>
      <c r="IF29" s="517" t="str">
        <f t="shared" si="220"/>
        <v/>
      </c>
      <c r="IG29" s="517" t="str">
        <f t="shared" si="221"/>
        <v/>
      </c>
      <c r="IH29" s="517" t="str">
        <f t="shared" si="222"/>
        <v/>
      </c>
      <c r="II29" s="506" t="str">
        <f t="shared" si="223"/>
        <v/>
      </c>
      <c r="IJ29" s="506" t="str">
        <f t="shared" si="224"/>
        <v/>
      </c>
      <c r="IK29" s="506" t="str">
        <f t="shared" si="225"/>
        <v/>
      </c>
      <c r="IL29" s="506" t="str">
        <f t="shared" si="226"/>
        <v/>
      </c>
      <c r="IM29" s="506" t="str">
        <f t="shared" si="227"/>
        <v/>
      </c>
      <c r="IN29" s="506" t="str">
        <f t="shared" si="228"/>
        <v/>
      </c>
      <c r="IO29" s="506" t="str">
        <f t="shared" si="229"/>
        <v/>
      </c>
      <c r="IP29" s="506" t="str">
        <f t="shared" si="230"/>
        <v/>
      </c>
      <c r="IQ29" s="506" t="str">
        <f t="shared" si="231"/>
        <v/>
      </c>
      <c r="IR29" s="506" t="str">
        <f t="shared" si="232"/>
        <v/>
      </c>
      <c r="IS29" s="506" t="str">
        <f t="shared" si="233"/>
        <v/>
      </c>
      <c r="IT29" s="506" t="str">
        <f t="shared" si="234"/>
        <v/>
      </c>
      <c r="IU29" s="506" t="str">
        <f t="shared" si="235"/>
        <v/>
      </c>
      <c r="IV29" s="506" t="str">
        <f t="shared" si="236"/>
        <v/>
      </c>
      <c r="IW29" s="506" t="str">
        <f t="shared" si="237"/>
        <v/>
      </c>
      <c r="IX29" s="506" t="str">
        <f t="shared" si="238"/>
        <v/>
      </c>
      <c r="IY29" s="506" t="str">
        <f t="shared" si="239"/>
        <v/>
      </c>
      <c r="IZ29" s="506" t="str">
        <f t="shared" si="240"/>
        <v/>
      </c>
      <c r="JA29" s="506" t="str">
        <f t="shared" si="241"/>
        <v/>
      </c>
      <c r="JB29" s="506" t="str">
        <f t="shared" si="242"/>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24" t="s">
        <v>1858</v>
      </c>
      <c r="C30" s="2525"/>
      <c r="D30" s="2526"/>
      <c r="E30" s="2527"/>
      <c r="F30" s="2527"/>
      <c r="G30" s="2527"/>
      <c r="H30" s="2527"/>
      <c r="I30" s="2527"/>
      <c r="J30" s="2528"/>
      <c r="K30" s="825">
        <f t="shared" si="1"/>
        <v>0</v>
      </c>
      <c r="L30" s="825">
        <f t="shared" si="2"/>
        <v>0</v>
      </c>
      <c r="M30" s="1301"/>
      <c r="N30" s="1301"/>
      <c r="O30" s="1301"/>
      <c r="P30" s="2529"/>
      <c r="Q30" s="2530" t="str">
        <f t="shared" si="243"/>
        <v/>
      </c>
      <c r="R30" s="2531" t="str">
        <f>IF(H30="","",IF(C30="Efficiency",Q30/($O$6*VLOOKUP(0,'DCA Underwriting Assumptions'!$J$118:$K$123,2,FALSE)),Q30/($O$6*VLOOKUP(C30,'DCA Underwriting Assumptions'!$J$118:$K$123,2,FALSE))))</f>
        <v/>
      </c>
      <c r="S30" s="2532"/>
      <c r="T30" s="2531"/>
      <c r="U30" s="2533"/>
      <c r="V30" s="2458"/>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53"/>
        <v/>
      </c>
      <c r="BV30" s="506" t="str">
        <f t="shared" si="54"/>
        <v/>
      </c>
      <c r="BW30" s="506" t="str">
        <f t="shared" si="55"/>
        <v/>
      </c>
      <c r="BX30" s="506" t="str">
        <f t="shared" si="56"/>
        <v/>
      </c>
      <c r="BY30" s="506" t="str">
        <f t="shared" si="57"/>
        <v/>
      </c>
      <c r="BZ30" s="506" t="str">
        <f t="shared" si="58"/>
        <v/>
      </c>
      <c r="CA30" s="506" t="str">
        <f t="shared" si="59"/>
        <v/>
      </c>
      <c r="CB30" s="506" t="str">
        <f t="shared" si="60"/>
        <v/>
      </c>
      <c r="CC30" s="506" t="str">
        <f t="shared" si="61"/>
        <v/>
      </c>
      <c r="CD30" s="506" t="str">
        <f t="shared" si="62"/>
        <v/>
      </c>
      <c r="CE30" s="506" t="str">
        <f t="shared" si="63"/>
        <v/>
      </c>
      <c r="CF30" s="506" t="str">
        <f t="shared" si="64"/>
        <v/>
      </c>
      <c r="CG30" s="506" t="str">
        <f t="shared" si="65"/>
        <v/>
      </c>
      <c r="CH30" s="506" t="str">
        <f t="shared" si="66"/>
        <v/>
      </c>
      <c r="CI30" s="506" t="str">
        <f t="shared" si="67"/>
        <v/>
      </c>
      <c r="CJ30" s="506" t="str">
        <f t="shared" si="68"/>
        <v/>
      </c>
      <c r="CK30" s="506" t="str">
        <f t="shared" si="69"/>
        <v/>
      </c>
      <c r="CL30" s="506" t="str">
        <f t="shared" si="70"/>
        <v/>
      </c>
      <c r="CM30" s="506" t="str">
        <f t="shared" si="71"/>
        <v/>
      </c>
      <c r="CN30" s="506" t="str">
        <f t="shared" si="72"/>
        <v/>
      </c>
      <c r="CO30" s="506" t="str">
        <f t="shared" si="73"/>
        <v/>
      </c>
      <c r="CP30" s="506" t="str">
        <f t="shared" si="74"/>
        <v/>
      </c>
      <c r="CQ30" s="506" t="str">
        <f t="shared" si="75"/>
        <v/>
      </c>
      <c r="CR30" s="506" t="str">
        <f t="shared" si="76"/>
        <v/>
      </c>
      <c r="CS30" s="506" t="str">
        <f t="shared" si="77"/>
        <v/>
      </c>
      <c r="CT30" s="506" t="str">
        <f t="shared" si="78"/>
        <v/>
      </c>
      <c r="CU30" s="506" t="str">
        <f t="shared" si="79"/>
        <v/>
      </c>
      <c r="CV30" s="506" t="str">
        <f t="shared" si="80"/>
        <v/>
      </c>
      <c r="CW30" s="506" t="str">
        <f t="shared" si="81"/>
        <v/>
      </c>
      <c r="CX30" s="506" t="str">
        <f t="shared" si="82"/>
        <v/>
      </c>
      <c r="CY30" s="506" t="str">
        <f t="shared" si="83"/>
        <v/>
      </c>
      <c r="CZ30" s="506" t="str">
        <f t="shared" si="84"/>
        <v/>
      </c>
      <c r="DA30" s="506" t="str">
        <f t="shared" si="85"/>
        <v/>
      </c>
      <c r="DB30" s="506" t="str">
        <f t="shared" si="86"/>
        <v/>
      </c>
      <c r="DC30" s="506" t="str">
        <f t="shared" si="87"/>
        <v/>
      </c>
      <c r="DD30" s="506" t="str">
        <f t="shared" si="88"/>
        <v/>
      </c>
      <c r="DE30" s="506" t="str">
        <f t="shared" si="89"/>
        <v/>
      </c>
      <c r="DF30" s="506" t="str">
        <f t="shared" si="90"/>
        <v/>
      </c>
      <c r="DG30" s="506" t="str">
        <f t="shared" si="91"/>
        <v/>
      </c>
      <c r="DH30" s="506" t="str">
        <f t="shared" si="92"/>
        <v/>
      </c>
      <c r="DI30" s="506" t="str">
        <f t="shared" si="93"/>
        <v/>
      </c>
      <c r="DJ30" s="506" t="str">
        <f t="shared" si="94"/>
        <v/>
      </c>
      <c r="DK30" s="506" t="str">
        <f t="shared" si="95"/>
        <v/>
      </c>
      <c r="DL30" s="506" t="str">
        <f t="shared" si="96"/>
        <v/>
      </c>
      <c r="DM30" s="506" t="str">
        <f t="shared" si="97"/>
        <v/>
      </c>
      <c r="DN30" s="506" t="str">
        <f t="shared" si="98"/>
        <v/>
      </c>
      <c r="DO30" s="506" t="str">
        <f t="shared" si="99"/>
        <v/>
      </c>
      <c r="DP30" s="506" t="str">
        <f t="shared" si="100"/>
        <v/>
      </c>
      <c r="DQ30" s="506" t="str">
        <f t="shared" si="101"/>
        <v/>
      </c>
      <c r="DR30" s="506" t="str">
        <f t="shared" si="102"/>
        <v/>
      </c>
      <c r="DS30" s="506" t="str">
        <f t="shared" si="103"/>
        <v/>
      </c>
      <c r="DT30" s="506" t="str">
        <f t="shared" si="104"/>
        <v/>
      </c>
      <c r="DU30" s="506" t="str">
        <f t="shared" si="105"/>
        <v/>
      </c>
      <c r="DV30" s="506" t="str">
        <f t="shared" si="106"/>
        <v/>
      </c>
      <c r="DW30" s="506" t="str">
        <f t="shared" si="107"/>
        <v/>
      </c>
      <c r="DX30" s="506" t="str">
        <f t="shared" si="108"/>
        <v/>
      </c>
      <c r="DY30" s="506" t="str">
        <f t="shared" si="109"/>
        <v/>
      </c>
      <c r="DZ30" s="506" t="str">
        <f t="shared" si="110"/>
        <v/>
      </c>
      <c r="EA30" s="506" t="str">
        <f t="shared" si="111"/>
        <v/>
      </c>
      <c r="EB30" s="506" t="str">
        <f t="shared" si="112"/>
        <v/>
      </c>
      <c r="EC30" s="506" t="str">
        <f t="shared" si="113"/>
        <v/>
      </c>
      <c r="ED30" s="506" t="str">
        <f t="shared" si="114"/>
        <v/>
      </c>
      <c r="EE30" s="506" t="str">
        <f t="shared" si="115"/>
        <v/>
      </c>
      <c r="EF30" s="506" t="str">
        <f t="shared" si="116"/>
        <v/>
      </c>
      <c r="EG30" s="506" t="str">
        <f t="shared" si="117"/>
        <v/>
      </c>
      <c r="EH30" s="506" t="str">
        <f t="shared" si="118"/>
        <v/>
      </c>
      <c r="EI30" s="506" t="str">
        <f t="shared" si="119"/>
        <v/>
      </c>
      <c r="EJ30" s="506" t="str">
        <f t="shared" si="120"/>
        <v/>
      </c>
      <c r="EK30" s="506" t="str">
        <f t="shared" si="121"/>
        <v/>
      </c>
      <c r="EL30" s="506" t="str">
        <f t="shared" si="122"/>
        <v/>
      </c>
      <c r="EM30" s="506" t="str">
        <f t="shared" si="123"/>
        <v/>
      </c>
      <c r="EN30" s="506" t="str">
        <f t="shared" si="124"/>
        <v/>
      </c>
      <c r="EO30" s="506" t="str">
        <f t="shared" si="125"/>
        <v/>
      </c>
      <c r="EP30" s="506" t="str">
        <f t="shared" si="126"/>
        <v/>
      </c>
      <c r="EQ30" s="506" t="str">
        <f t="shared" si="127"/>
        <v/>
      </c>
      <c r="ER30" s="506" t="str">
        <f t="shared" si="128"/>
        <v/>
      </c>
      <c r="ES30" s="506" t="str">
        <f t="shared" si="129"/>
        <v/>
      </c>
      <c r="ET30" s="506" t="str">
        <f t="shared" si="130"/>
        <v/>
      </c>
      <c r="EU30" s="506" t="str">
        <f t="shared" si="131"/>
        <v/>
      </c>
      <c r="EV30" s="506" t="str">
        <f t="shared" si="132"/>
        <v/>
      </c>
      <c r="EW30" s="516" t="str">
        <f t="shared" si="133"/>
        <v/>
      </c>
      <c r="EX30" s="516" t="str">
        <f t="shared" si="134"/>
        <v/>
      </c>
      <c r="EY30" s="516" t="str">
        <f t="shared" si="135"/>
        <v/>
      </c>
      <c r="EZ30" s="516" t="str">
        <f t="shared" si="136"/>
        <v/>
      </c>
      <c r="FA30" s="516" t="str">
        <f t="shared" si="137"/>
        <v/>
      </c>
      <c r="FB30" s="516" t="str">
        <f t="shared" si="138"/>
        <v/>
      </c>
      <c r="FC30" s="516" t="str">
        <f t="shared" si="139"/>
        <v/>
      </c>
      <c r="FD30" s="516" t="str">
        <f t="shared" si="140"/>
        <v/>
      </c>
      <c r="FE30" s="516" t="str">
        <f t="shared" si="141"/>
        <v/>
      </c>
      <c r="FF30" s="516" t="str">
        <f t="shared" si="142"/>
        <v/>
      </c>
      <c r="FG30" s="516" t="str">
        <f t="shared" si="143"/>
        <v/>
      </c>
      <c r="FH30" s="516" t="str">
        <f t="shared" si="144"/>
        <v/>
      </c>
      <c r="FI30" s="516" t="str">
        <f t="shared" si="145"/>
        <v/>
      </c>
      <c r="FJ30" s="516" t="str">
        <f t="shared" si="146"/>
        <v/>
      </c>
      <c r="FK30" s="516" t="str">
        <f t="shared" si="147"/>
        <v/>
      </c>
      <c r="FL30" s="516" t="str">
        <f t="shared" si="148"/>
        <v/>
      </c>
      <c r="FM30" s="516" t="str">
        <f t="shared" si="149"/>
        <v/>
      </c>
      <c r="FN30" s="516" t="str">
        <f t="shared" si="150"/>
        <v/>
      </c>
      <c r="FO30" s="516" t="str">
        <f t="shared" si="151"/>
        <v/>
      </c>
      <c r="FP30" s="516" t="str">
        <f t="shared" si="152"/>
        <v/>
      </c>
      <c r="FQ30" s="516" t="str">
        <f t="shared" si="153"/>
        <v/>
      </c>
      <c r="FR30" s="516" t="str">
        <f t="shared" si="154"/>
        <v/>
      </c>
      <c r="FS30" s="516" t="str">
        <f t="shared" si="155"/>
        <v/>
      </c>
      <c r="FT30" s="516" t="str">
        <f t="shared" si="156"/>
        <v/>
      </c>
      <c r="FU30" s="516" t="str">
        <f t="shared" si="157"/>
        <v/>
      </c>
      <c r="FV30" s="516" t="str">
        <f t="shared" si="158"/>
        <v/>
      </c>
      <c r="FW30" s="516" t="str">
        <f t="shared" si="159"/>
        <v/>
      </c>
      <c r="FX30" s="516" t="str">
        <f t="shared" si="160"/>
        <v/>
      </c>
      <c r="FY30" s="516" t="str">
        <f t="shared" si="161"/>
        <v/>
      </c>
      <c r="FZ30" s="516" t="str">
        <f t="shared" si="162"/>
        <v/>
      </c>
      <c r="GA30" s="516" t="str">
        <f t="shared" si="163"/>
        <v/>
      </c>
      <c r="GB30" s="516" t="str">
        <f t="shared" si="164"/>
        <v/>
      </c>
      <c r="GC30" s="516" t="str">
        <f t="shared" si="165"/>
        <v/>
      </c>
      <c r="GD30" s="516" t="str">
        <f t="shared" si="166"/>
        <v/>
      </c>
      <c r="GE30" s="516" t="str">
        <f t="shared" si="167"/>
        <v/>
      </c>
      <c r="GF30" s="516" t="str">
        <f t="shared" si="168"/>
        <v/>
      </c>
      <c r="GG30" s="516" t="str">
        <f t="shared" si="169"/>
        <v/>
      </c>
      <c r="GH30" s="516" t="str">
        <f t="shared" si="170"/>
        <v/>
      </c>
      <c r="GI30" s="516" t="str">
        <f t="shared" si="171"/>
        <v/>
      </c>
      <c r="GJ30" s="516" t="str">
        <f t="shared" si="172"/>
        <v/>
      </c>
      <c r="GK30" s="516" t="str">
        <f t="shared" si="173"/>
        <v/>
      </c>
      <c r="GL30" s="516" t="str">
        <f t="shared" si="174"/>
        <v/>
      </c>
      <c r="GM30" s="516" t="str">
        <f t="shared" si="175"/>
        <v/>
      </c>
      <c r="GN30" s="516" t="str">
        <f t="shared" si="176"/>
        <v/>
      </c>
      <c r="GO30" s="516" t="str">
        <f t="shared" si="177"/>
        <v/>
      </c>
      <c r="GP30" s="516" t="str">
        <f t="shared" si="178"/>
        <v/>
      </c>
      <c r="GQ30" s="516" t="str">
        <f t="shared" si="179"/>
        <v/>
      </c>
      <c r="GR30" s="516" t="str">
        <f t="shared" si="180"/>
        <v/>
      </c>
      <c r="GS30" s="516" t="str">
        <f t="shared" si="181"/>
        <v/>
      </c>
      <c r="GT30" s="516" t="str">
        <f t="shared" si="182"/>
        <v/>
      </c>
      <c r="GU30" s="516" t="str">
        <f t="shared" si="183"/>
        <v/>
      </c>
      <c r="GV30" s="516" t="str">
        <f t="shared" si="184"/>
        <v/>
      </c>
      <c r="GW30" s="516" t="str">
        <f t="shared" si="185"/>
        <v/>
      </c>
      <c r="GX30" s="516" t="str">
        <f t="shared" si="186"/>
        <v/>
      </c>
      <c r="GY30" s="516" t="str">
        <f t="shared" si="187"/>
        <v/>
      </c>
      <c r="GZ30" s="516" t="str">
        <f t="shared" si="188"/>
        <v/>
      </c>
      <c r="HA30" s="516" t="str">
        <f t="shared" si="189"/>
        <v/>
      </c>
      <c r="HB30" s="516" t="str">
        <f t="shared" si="190"/>
        <v/>
      </c>
      <c r="HC30" s="516" t="str">
        <f t="shared" si="191"/>
        <v/>
      </c>
      <c r="HD30" s="516" t="str">
        <f t="shared" si="192"/>
        <v/>
      </c>
      <c r="HE30" s="516" t="str">
        <f t="shared" si="193"/>
        <v/>
      </c>
      <c r="HF30" s="516" t="str">
        <f t="shared" si="194"/>
        <v/>
      </c>
      <c r="HG30" s="516" t="str">
        <f t="shared" si="195"/>
        <v/>
      </c>
      <c r="HH30" s="516" t="str">
        <f t="shared" si="196"/>
        <v/>
      </c>
      <c r="HI30" s="516" t="str">
        <f t="shared" si="197"/>
        <v/>
      </c>
      <c r="HJ30" s="516" t="str">
        <f t="shared" si="198"/>
        <v/>
      </c>
      <c r="HK30" s="516" t="str">
        <f t="shared" si="199"/>
        <v/>
      </c>
      <c r="HL30" s="516" t="str">
        <f t="shared" si="200"/>
        <v/>
      </c>
      <c r="HM30" s="516" t="str">
        <f t="shared" si="201"/>
        <v/>
      </c>
      <c r="HN30" s="516" t="str">
        <f t="shared" si="202"/>
        <v/>
      </c>
      <c r="HO30" s="516" t="str">
        <f t="shared" si="203"/>
        <v/>
      </c>
      <c r="HP30" s="516" t="str">
        <f t="shared" si="204"/>
        <v/>
      </c>
      <c r="HQ30" s="516" t="str">
        <f t="shared" si="205"/>
        <v/>
      </c>
      <c r="HR30" s="516" t="str">
        <f t="shared" si="206"/>
        <v/>
      </c>
      <c r="HS30" s="516" t="str">
        <f t="shared" si="207"/>
        <v/>
      </c>
      <c r="HT30" s="516" t="str">
        <f t="shared" si="208"/>
        <v/>
      </c>
      <c r="HU30" s="516" t="str">
        <f t="shared" si="209"/>
        <v/>
      </c>
      <c r="HV30" s="516" t="str">
        <f t="shared" si="210"/>
        <v/>
      </c>
      <c r="HW30" s="516" t="str">
        <f t="shared" si="211"/>
        <v/>
      </c>
      <c r="HX30" s="516" t="str">
        <f t="shared" si="212"/>
        <v/>
      </c>
      <c r="HY30" s="516" t="str">
        <f t="shared" si="213"/>
        <v/>
      </c>
      <c r="HZ30" s="516" t="str">
        <f t="shared" si="214"/>
        <v/>
      </c>
      <c r="IA30" s="516" t="str">
        <f t="shared" si="215"/>
        <v/>
      </c>
      <c r="IB30" s="516" t="str">
        <f t="shared" si="216"/>
        <v/>
      </c>
      <c r="IC30" s="516" t="str">
        <f t="shared" si="217"/>
        <v/>
      </c>
      <c r="ID30" s="517" t="str">
        <f t="shared" si="218"/>
        <v/>
      </c>
      <c r="IE30" s="517" t="str">
        <f t="shared" si="219"/>
        <v/>
      </c>
      <c r="IF30" s="517" t="str">
        <f t="shared" si="220"/>
        <v/>
      </c>
      <c r="IG30" s="517" t="str">
        <f t="shared" si="221"/>
        <v/>
      </c>
      <c r="IH30" s="517" t="str">
        <f t="shared" si="222"/>
        <v/>
      </c>
      <c r="II30" s="506" t="str">
        <f t="shared" si="223"/>
        <v/>
      </c>
      <c r="IJ30" s="506" t="str">
        <f t="shared" si="224"/>
        <v/>
      </c>
      <c r="IK30" s="506" t="str">
        <f t="shared" si="225"/>
        <v/>
      </c>
      <c r="IL30" s="506" t="str">
        <f t="shared" si="226"/>
        <v/>
      </c>
      <c r="IM30" s="506" t="str">
        <f t="shared" si="227"/>
        <v/>
      </c>
      <c r="IN30" s="506" t="str">
        <f t="shared" si="228"/>
        <v/>
      </c>
      <c r="IO30" s="506" t="str">
        <f t="shared" si="229"/>
        <v/>
      </c>
      <c r="IP30" s="506" t="str">
        <f t="shared" si="230"/>
        <v/>
      </c>
      <c r="IQ30" s="506" t="str">
        <f t="shared" si="231"/>
        <v/>
      </c>
      <c r="IR30" s="506" t="str">
        <f t="shared" si="232"/>
        <v/>
      </c>
      <c r="IS30" s="506" t="str">
        <f t="shared" si="233"/>
        <v/>
      </c>
      <c r="IT30" s="506" t="str">
        <f t="shared" si="234"/>
        <v/>
      </c>
      <c r="IU30" s="506" t="str">
        <f t="shared" si="235"/>
        <v/>
      </c>
      <c r="IV30" s="506" t="str">
        <f t="shared" si="236"/>
        <v/>
      </c>
      <c r="IW30" s="506" t="str">
        <f t="shared" si="237"/>
        <v/>
      </c>
      <c r="IX30" s="506" t="str">
        <f t="shared" si="238"/>
        <v/>
      </c>
      <c r="IY30" s="506" t="str">
        <f t="shared" si="239"/>
        <v/>
      </c>
      <c r="IZ30" s="506" t="str">
        <f t="shared" si="240"/>
        <v/>
      </c>
      <c r="JA30" s="506" t="str">
        <f t="shared" si="241"/>
        <v/>
      </c>
      <c r="JB30" s="506" t="str">
        <f t="shared" si="242"/>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24" t="s">
        <v>1858</v>
      </c>
      <c r="C31" s="2525"/>
      <c r="D31" s="2526"/>
      <c r="E31" s="2527"/>
      <c r="F31" s="2527"/>
      <c r="G31" s="2527"/>
      <c r="H31" s="2527"/>
      <c r="I31" s="2527"/>
      <c r="J31" s="2528"/>
      <c r="K31" s="825">
        <f t="shared" si="1"/>
        <v>0</v>
      </c>
      <c r="L31" s="825">
        <f t="shared" si="2"/>
        <v>0</v>
      </c>
      <c r="M31" s="1301"/>
      <c r="N31" s="1301"/>
      <c r="O31" s="1301"/>
      <c r="P31" s="2529"/>
      <c r="Q31" s="2530" t="str">
        <f t="shared" si="243"/>
        <v/>
      </c>
      <c r="R31" s="2531" t="str">
        <f>IF(H31="","",IF(C31="Efficiency",Q31/($O$6*VLOOKUP(0,'DCA Underwriting Assumptions'!$J$118:$K$123,2,FALSE)),Q31/($O$6*VLOOKUP(C31,'DCA Underwriting Assumptions'!$J$118:$K$123,2,FALSE))))</f>
        <v/>
      </c>
      <c r="S31" s="2532"/>
      <c r="T31" s="2531"/>
      <c r="U31" s="2533"/>
      <c r="V31" s="2458"/>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53"/>
        <v/>
      </c>
      <c r="BV31" s="506" t="str">
        <f t="shared" si="54"/>
        <v/>
      </c>
      <c r="BW31" s="506" t="str">
        <f t="shared" si="55"/>
        <v/>
      </c>
      <c r="BX31" s="506" t="str">
        <f t="shared" si="56"/>
        <v/>
      </c>
      <c r="BY31" s="506" t="str">
        <f t="shared" si="57"/>
        <v/>
      </c>
      <c r="BZ31" s="506" t="str">
        <f t="shared" si="58"/>
        <v/>
      </c>
      <c r="CA31" s="506" t="str">
        <f t="shared" si="59"/>
        <v/>
      </c>
      <c r="CB31" s="506" t="str">
        <f t="shared" si="60"/>
        <v/>
      </c>
      <c r="CC31" s="506" t="str">
        <f t="shared" si="61"/>
        <v/>
      </c>
      <c r="CD31" s="506" t="str">
        <f t="shared" si="62"/>
        <v/>
      </c>
      <c r="CE31" s="506" t="str">
        <f t="shared" si="63"/>
        <v/>
      </c>
      <c r="CF31" s="506" t="str">
        <f t="shared" si="64"/>
        <v/>
      </c>
      <c r="CG31" s="506" t="str">
        <f t="shared" si="65"/>
        <v/>
      </c>
      <c r="CH31" s="506" t="str">
        <f t="shared" si="66"/>
        <v/>
      </c>
      <c r="CI31" s="506" t="str">
        <f t="shared" si="67"/>
        <v/>
      </c>
      <c r="CJ31" s="506" t="str">
        <f t="shared" si="68"/>
        <v/>
      </c>
      <c r="CK31" s="506" t="str">
        <f t="shared" si="69"/>
        <v/>
      </c>
      <c r="CL31" s="506" t="str">
        <f t="shared" si="70"/>
        <v/>
      </c>
      <c r="CM31" s="506" t="str">
        <f t="shared" si="71"/>
        <v/>
      </c>
      <c r="CN31" s="506" t="str">
        <f t="shared" si="72"/>
        <v/>
      </c>
      <c r="CO31" s="506" t="str">
        <f t="shared" si="73"/>
        <v/>
      </c>
      <c r="CP31" s="506" t="str">
        <f t="shared" si="74"/>
        <v/>
      </c>
      <c r="CQ31" s="506" t="str">
        <f t="shared" si="75"/>
        <v/>
      </c>
      <c r="CR31" s="506" t="str">
        <f t="shared" si="76"/>
        <v/>
      </c>
      <c r="CS31" s="506" t="str">
        <f t="shared" si="77"/>
        <v/>
      </c>
      <c r="CT31" s="506" t="str">
        <f t="shared" si="78"/>
        <v/>
      </c>
      <c r="CU31" s="506" t="str">
        <f t="shared" si="79"/>
        <v/>
      </c>
      <c r="CV31" s="506" t="str">
        <f t="shared" si="80"/>
        <v/>
      </c>
      <c r="CW31" s="506" t="str">
        <f t="shared" si="81"/>
        <v/>
      </c>
      <c r="CX31" s="506" t="str">
        <f t="shared" si="82"/>
        <v/>
      </c>
      <c r="CY31" s="506" t="str">
        <f t="shared" si="83"/>
        <v/>
      </c>
      <c r="CZ31" s="506" t="str">
        <f t="shared" si="84"/>
        <v/>
      </c>
      <c r="DA31" s="506" t="str">
        <f t="shared" si="85"/>
        <v/>
      </c>
      <c r="DB31" s="506" t="str">
        <f t="shared" si="86"/>
        <v/>
      </c>
      <c r="DC31" s="506" t="str">
        <f t="shared" si="87"/>
        <v/>
      </c>
      <c r="DD31" s="506" t="str">
        <f t="shared" si="88"/>
        <v/>
      </c>
      <c r="DE31" s="506" t="str">
        <f t="shared" si="89"/>
        <v/>
      </c>
      <c r="DF31" s="506" t="str">
        <f t="shared" si="90"/>
        <v/>
      </c>
      <c r="DG31" s="506" t="str">
        <f t="shared" si="91"/>
        <v/>
      </c>
      <c r="DH31" s="506" t="str">
        <f t="shared" si="92"/>
        <v/>
      </c>
      <c r="DI31" s="506" t="str">
        <f t="shared" si="93"/>
        <v/>
      </c>
      <c r="DJ31" s="506" t="str">
        <f t="shared" si="94"/>
        <v/>
      </c>
      <c r="DK31" s="506" t="str">
        <f t="shared" si="95"/>
        <v/>
      </c>
      <c r="DL31" s="506" t="str">
        <f t="shared" si="96"/>
        <v/>
      </c>
      <c r="DM31" s="506" t="str">
        <f t="shared" si="97"/>
        <v/>
      </c>
      <c r="DN31" s="506" t="str">
        <f t="shared" si="98"/>
        <v/>
      </c>
      <c r="DO31" s="506" t="str">
        <f t="shared" si="99"/>
        <v/>
      </c>
      <c r="DP31" s="506" t="str">
        <f t="shared" si="100"/>
        <v/>
      </c>
      <c r="DQ31" s="506" t="str">
        <f t="shared" si="101"/>
        <v/>
      </c>
      <c r="DR31" s="506" t="str">
        <f t="shared" si="102"/>
        <v/>
      </c>
      <c r="DS31" s="506" t="str">
        <f t="shared" si="103"/>
        <v/>
      </c>
      <c r="DT31" s="506" t="str">
        <f t="shared" si="104"/>
        <v/>
      </c>
      <c r="DU31" s="506" t="str">
        <f t="shared" si="105"/>
        <v/>
      </c>
      <c r="DV31" s="506" t="str">
        <f t="shared" si="106"/>
        <v/>
      </c>
      <c r="DW31" s="506" t="str">
        <f t="shared" si="107"/>
        <v/>
      </c>
      <c r="DX31" s="506" t="str">
        <f t="shared" si="108"/>
        <v/>
      </c>
      <c r="DY31" s="506" t="str">
        <f t="shared" si="109"/>
        <v/>
      </c>
      <c r="DZ31" s="506" t="str">
        <f t="shared" si="110"/>
        <v/>
      </c>
      <c r="EA31" s="506" t="str">
        <f t="shared" si="111"/>
        <v/>
      </c>
      <c r="EB31" s="506" t="str">
        <f t="shared" si="112"/>
        <v/>
      </c>
      <c r="EC31" s="506" t="str">
        <f t="shared" si="113"/>
        <v/>
      </c>
      <c r="ED31" s="506" t="str">
        <f t="shared" si="114"/>
        <v/>
      </c>
      <c r="EE31" s="506" t="str">
        <f t="shared" si="115"/>
        <v/>
      </c>
      <c r="EF31" s="506" t="str">
        <f t="shared" si="116"/>
        <v/>
      </c>
      <c r="EG31" s="506" t="str">
        <f t="shared" si="117"/>
        <v/>
      </c>
      <c r="EH31" s="506" t="str">
        <f t="shared" si="118"/>
        <v/>
      </c>
      <c r="EI31" s="506" t="str">
        <f t="shared" si="119"/>
        <v/>
      </c>
      <c r="EJ31" s="506" t="str">
        <f t="shared" si="120"/>
        <v/>
      </c>
      <c r="EK31" s="506" t="str">
        <f t="shared" si="121"/>
        <v/>
      </c>
      <c r="EL31" s="506" t="str">
        <f t="shared" si="122"/>
        <v/>
      </c>
      <c r="EM31" s="506" t="str">
        <f t="shared" si="123"/>
        <v/>
      </c>
      <c r="EN31" s="506" t="str">
        <f t="shared" si="124"/>
        <v/>
      </c>
      <c r="EO31" s="506" t="str">
        <f t="shared" si="125"/>
        <v/>
      </c>
      <c r="EP31" s="506" t="str">
        <f t="shared" si="126"/>
        <v/>
      </c>
      <c r="EQ31" s="506" t="str">
        <f t="shared" si="127"/>
        <v/>
      </c>
      <c r="ER31" s="506" t="str">
        <f t="shared" si="128"/>
        <v/>
      </c>
      <c r="ES31" s="506" t="str">
        <f t="shared" si="129"/>
        <v/>
      </c>
      <c r="ET31" s="506" t="str">
        <f t="shared" si="130"/>
        <v/>
      </c>
      <c r="EU31" s="506" t="str">
        <f t="shared" si="131"/>
        <v/>
      </c>
      <c r="EV31" s="506" t="str">
        <f t="shared" si="132"/>
        <v/>
      </c>
      <c r="EW31" s="516" t="str">
        <f t="shared" si="133"/>
        <v/>
      </c>
      <c r="EX31" s="516" t="str">
        <f t="shared" si="134"/>
        <v/>
      </c>
      <c r="EY31" s="516" t="str">
        <f t="shared" si="135"/>
        <v/>
      </c>
      <c r="EZ31" s="516" t="str">
        <f t="shared" si="136"/>
        <v/>
      </c>
      <c r="FA31" s="516" t="str">
        <f t="shared" si="137"/>
        <v/>
      </c>
      <c r="FB31" s="516" t="str">
        <f t="shared" si="138"/>
        <v/>
      </c>
      <c r="FC31" s="516" t="str">
        <f t="shared" si="139"/>
        <v/>
      </c>
      <c r="FD31" s="516" t="str">
        <f t="shared" si="140"/>
        <v/>
      </c>
      <c r="FE31" s="516" t="str">
        <f t="shared" si="141"/>
        <v/>
      </c>
      <c r="FF31" s="516" t="str">
        <f t="shared" si="142"/>
        <v/>
      </c>
      <c r="FG31" s="516" t="str">
        <f t="shared" si="143"/>
        <v/>
      </c>
      <c r="FH31" s="516" t="str">
        <f t="shared" si="144"/>
        <v/>
      </c>
      <c r="FI31" s="516" t="str">
        <f t="shared" si="145"/>
        <v/>
      </c>
      <c r="FJ31" s="516" t="str">
        <f t="shared" si="146"/>
        <v/>
      </c>
      <c r="FK31" s="516" t="str">
        <f t="shared" si="147"/>
        <v/>
      </c>
      <c r="FL31" s="516" t="str">
        <f t="shared" si="148"/>
        <v/>
      </c>
      <c r="FM31" s="516" t="str">
        <f t="shared" si="149"/>
        <v/>
      </c>
      <c r="FN31" s="516" t="str">
        <f t="shared" si="150"/>
        <v/>
      </c>
      <c r="FO31" s="516" t="str">
        <f t="shared" si="151"/>
        <v/>
      </c>
      <c r="FP31" s="516" t="str">
        <f t="shared" si="152"/>
        <v/>
      </c>
      <c r="FQ31" s="516" t="str">
        <f t="shared" si="153"/>
        <v/>
      </c>
      <c r="FR31" s="516" t="str">
        <f t="shared" si="154"/>
        <v/>
      </c>
      <c r="FS31" s="516" t="str">
        <f t="shared" si="155"/>
        <v/>
      </c>
      <c r="FT31" s="516" t="str">
        <f t="shared" si="156"/>
        <v/>
      </c>
      <c r="FU31" s="516" t="str">
        <f t="shared" si="157"/>
        <v/>
      </c>
      <c r="FV31" s="516" t="str">
        <f t="shared" si="158"/>
        <v/>
      </c>
      <c r="FW31" s="516" t="str">
        <f t="shared" si="159"/>
        <v/>
      </c>
      <c r="FX31" s="516" t="str">
        <f t="shared" si="160"/>
        <v/>
      </c>
      <c r="FY31" s="516" t="str">
        <f t="shared" si="161"/>
        <v/>
      </c>
      <c r="FZ31" s="516" t="str">
        <f t="shared" si="162"/>
        <v/>
      </c>
      <c r="GA31" s="516" t="str">
        <f t="shared" si="163"/>
        <v/>
      </c>
      <c r="GB31" s="516" t="str">
        <f t="shared" si="164"/>
        <v/>
      </c>
      <c r="GC31" s="516" t="str">
        <f t="shared" si="165"/>
        <v/>
      </c>
      <c r="GD31" s="516" t="str">
        <f t="shared" si="166"/>
        <v/>
      </c>
      <c r="GE31" s="516" t="str">
        <f t="shared" si="167"/>
        <v/>
      </c>
      <c r="GF31" s="516" t="str">
        <f t="shared" si="168"/>
        <v/>
      </c>
      <c r="GG31" s="516" t="str">
        <f t="shared" si="169"/>
        <v/>
      </c>
      <c r="GH31" s="516" t="str">
        <f t="shared" si="170"/>
        <v/>
      </c>
      <c r="GI31" s="516" t="str">
        <f t="shared" si="171"/>
        <v/>
      </c>
      <c r="GJ31" s="516" t="str">
        <f t="shared" si="172"/>
        <v/>
      </c>
      <c r="GK31" s="516" t="str">
        <f t="shared" si="173"/>
        <v/>
      </c>
      <c r="GL31" s="516" t="str">
        <f t="shared" si="174"/>
        <v/>
      </c>
      <c r="GM31" s="516" t="str">
        <f t="shared" si="175"/>
        <v/>
      </c>
      <c r="GN31" s="516" t="str">
        <f t="shared" si="176"/>
        <v/>
      </c>
      <c r="GO31" s="516" t="str">
        <f t="shared" si="177"/>
        <v/>
      </c>
      <c r="GP31" s="516" t="str">
        <f t="shared" si="178"/>
        <v/>
      </c>
      <c r="GQ31" s="516" t="str">
        <f t="shared" si="179"/>
        <v/>
      </c>
      <c r="GR31" s="516" t="str">
        <f t="shared" si="180"/>
        <v/>
      </c>
      <c r="GS31" s="516" t="str">
        <f t="shared" si="181"/>
        <v/>
      </c>
      <c r="GT31" s="516" t="str">
        <f t="shared" si="182"/>
        <v/>
      </c>
      <c r="GU31" s="516" t="str">
        <f t="shared" si="183"/>
        <v/>
      </c>
      <c r="GV31" s="516" t="str">
        <f t="shared" si="184"/>
        <v/>
      </c>
      <c r="GW31" s="516" t="str">
        <f t="shared" si="185"/>
        <v/>
      </c>
      <c r="GX31" s="516" t="str">
        <f t="shared" si="186"/>
        <v/>
      </c>
      <c r="GY31" s="516" t="str">
        <f t="shared" si="187"/>
        <v/>
      </c>
      <c r="GZ31" s="516" t="str">
        <f t="shared" si="188"/>
        <v/>
      </c>
      <c r="HA31" s="516" t="str">
        <f t="shared" si="189"/>
        <v/>
      </c>
      <c r="HB31" s="516" t="str">
        <f t="shared" si="190"/>
        <v/>
      </c>
      <c r="HC31" s="516" t="str">
        <f t="shared" si="191"/>
        <v/>
      </c>
      <c r="HD31" s="516" t="str">
        <f t="shared" si="192"/>
        <v/>
      </c>
      <c r="HE31" s="516" t="str">
        <f t="shared" si="193"/>
        <v/>
      </c>
      <c r="HF31" s="516" t="str">
        <f t="shared" si="194"/>
        <v/>
      </c>
      <c r="HG31" s="516" t="str">
        <f t="shared" si="195"/>
        <v/>
      </c>
      <c r="HH31" s="516" t="str">
        <f t="shared" si="196"/>
        <v/>
      </c>
      <c r="HI31" s="516" t="str">
        <f t="shared" si="197"/>
        <v/>
      </c>
      <c r="HJ31" s="516" t="str">
        <f t="shared" si="198"/>
        <v/>
      </c>
      <c r="HK31" s="516" t="str">
        <f t="shared" si="199"/>
        <v/>
      </c>
      <c r="HL31" s="516" t="str">
        <f t="shared" si="200"/>
        <v/>
      </c>
      <c r="HM31" s="516" t="str">
        <f t="shared" si="201"/>
        <v/>
      </c>
      <c r="HN31" s="516" t="str">
        <f t="shared" si="202"/>
        <v/>
      </c>
      <c r="HO31" s="516" t="str">
        <f t="shared" si="203"/>
        <v/>
      </c>
      <c r="HP31" s="516" t="str">
        <f t="shared" si="204"/>
        <v/>
      </c>
      <c r="HQ31" s="516" t="str">
        <f t="shared" si="205"/>
        <v/>
      </c>
      <c r="HR31" s="516" t="str">
        <f t="shared" si="206"/>
        <v/>
      </c>
      <c r="HS31" s="516" t="str">
        <f t="shared" si="207"/>
        <v/>
      </c>
      <c r="HT31" s="516" t="str">
        <f t="shared" si="208"/>
        <v/>
      </c>
      <c r="HU31" s="516" t="str">
        <f t="shared" si="209"/>
        <v/>
      </c>
      <c r="HV31" s="516" t="str">
        <f t="shared" si="210"/>
        <v/>
      </c>
      <c r="HW31" s="516" t="str">
        <f t="shared" si="211"/>
        <v/>
      </c>
      <c r="HX31" s="516" t="str">
        <f t="shared" si="212"/>
        <v/>
      </c>
      <c r="HY31" s="516" t="str">
        <f t="shared" si="213"/>
        <v/>
      </c>
      <c r="HZ31" s="516" t="str">
        <f t="shared" si="214"/>
        <v/>
      </c>
      <c r="IA31" s="516" t="str">
        <f t="shared" si="215"/>
        <v/>
      </c>
      <c r="IB31" s="516" t="str">
        <f t="shared" si="216"/>
        <v/>
      </c>
      <c r="IC31" s="516" t="str">
        <f t="shared" si="217"/>
        <v/>
      </c>
      <c r="ID31" s="517" t="str">
        <f t="shared" si="218"/>
        <v/>
      </c>
      <c r="IE31" s="517" t="str">
        <f t="shared" si="219"/>
        <v/>
      </c>
      <c r="IF31" s="517" t="str">
        <f t="shared" si="220"/>
        <v/>
      </c>
      <c r="IG31" s="517" t="str">
        <f t="shared" si="221"/>
        <v/>
      </c>
      <c r="IH31" s="517" t="str">
        <f t="shared" si="222"/>
        <v/>
      </c>
      <c r="II31" s="506" t="str">
        <f t="shared" si="223"/>
        <v/>
      </c>
      <c r="IJ31" s="506" t="str">
        <f t="shared" si="224"/>
        <v/>
      </c>
      <c r="IK31" s="506" t="str">
        <f t="shared" si="225"/>
        <v/>
      </c>
      <c r="IL31" s="506" t="str">
        <f t="shared" si="226"/>
        <v/>
      </c>
      <c r="IM31" s="506" t="str">
        <f t="shared" si="227"/>
        <v/>
      </c>
      <c r="IN31" s="506" t="str">
        <f t="shared" si="228"/>
        <v/>
      </c>
      <c r="IO31" s="506" t="str">
        <f t="shared" si="229"/>
        <v/>
      </c>
      <c r="IP31" s="506" t="str">
        <f t="shared" si="230"/>
        <v/>
      </c>
      <c r="IQ31" s="506" t="str">
        <f t="shared" si="231"/>
        <v/>
      </c>
      <c r="IR31" s="506" t="str">
        <f t="shared" si="232"/>
        <v/>
      </c>
      <c r="IS31" s="506" t="str">
        <f t="shared" si="233"/>
        <v/>
      </c>
      <c r="IT31" s="506" t="str">
        <f t="shared" si="234"/>
        <v/>
      </c>
      <c r="IU31" s="506" t="str">
        <f t="shared" si="235"/>
        <v/>
      </c>
      <c r="IV31" s="506" t="str">
        <f t="shared" si="236"/>
        <v/>
      </c>
      <c r="IW31" s="506" t="str">
        <f t="shared" si="237"/>
        <v/>
      </c>
      <c r="IX31" s="506" t="str">
        <f t="shared" si="238"/>
        <v/>
      </c>
      <c r="IY31" s="506" t="str">
        <f t="shared" si="239"/>
        <v/>
      </c>
      <c r="IZ31" s="506" t="str">
        <f t="shared" si="240"/>
        <v/>
      </c>
      <c r="JA31" s="506" t="str">
        <f t="shared" si="241"/>
        <v/>
      </c>
      <c r="JB31" s="506" t="str">
        <f t="shared" si="242"/>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24" t="s">
        <v>1858</v>
      </c>
      <c r="C32" s="2525"/>
      <c r="D32" s="2526"/>
      <c r="E32" s="2527"/>
      <c r="F32" s="2527"/>
      <c r="G32" s="2527"/>
      <c r="H32" s="2527"/>
      <c r="I32" s="2527"/>
      <c r="J32" s="2528"/>
      <c r="K32" s="825">
        <f t="shared" si="1"/>
        <v>0</v>
      </c>
      <c r="L32" s="825">
        <f t="shared" si="2"/>
        <v>0</v>
      </c>
      <c r="M32" s="1301"/>
      <c r="N32" s="1301"/>
      <c r="O32" s="1301"/>
      <c r="P32" s="2529"/>
      <c r="Q32" s="2530" t="str">
        <f t="shared" si="243"/>
        <v/>
      </c>
      <c r="R32" s="2531" t="str">
        <f>IF(H32="","",IF(C32="Efficiency",Q32/($O$6*VLOOKUP(0,'DCA Underwriting Assumptions'!$J$118:$K$123,2,FALSE)),Q32/($O$6*VLOOKUP(C32,'DCA Underwriting Assumptions'!$J$118:$K$123,2,FALSE))))</f>
        <v/>
      </c>
      <c r="S32" s="2532"/>
      <c r="T32" s="2531"/>
      <c r="U32" s="2533"/>
      <c r="V32" s="2458"/>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53"/>
        <v/>
      </c>
      <c r="BV32" s="506" t="str">
        <f t="shared" si="54"/>
        <v/>
      </c>
      <c r="BW32" s="506" t="str">
        <f t="shared" si="55"/>
        <v/>
      </c>
      <c r="BX32" s="506" t="str">
        <f t="shared" si="56"/>
        <v/>
      </c>
      <c r="BY32" s="506" t="str">
        <f t="shared" si="57"/>
        <v/>
      </c>
      <c r="BZ32" s="506" t="str">
        <f t="shared" si="58"/>
        <v/>
      </c>
      <c r="CA32" s="506" t="str">
        <f t="shared" si="59"/>
        <v/>
      </c>
      <c r="CB32" s="506" t="str">
        <f t="shared" si="60"/>
        <v/>
      </c>
      <c r="CC32" s="506" t="str">
        <f t="shared" si="61"/>
        <v/>
      </c>
      <c r="CD32" s="506" t="str">
        <f t="shared" si="62"/>
        <v/>
      </c>
      <c r="CE32" s="506" t="str">
        <f t="shared" si="63"/>
        <v/>
      </c>
      <c r="CF32" s="506" t="str">
        <f t="shared" si="64"/>
        <v/>
      </c>
      <c r="CG32" s="506" t="str">
        <f t="shared" si="65"/>
        <v/>
      </c>
      <c r="CH32" s="506" t="str">
        <f t="shared" si="66"/>
        <v/>
      </c>
      <c r="CI32" s="506" t="str">
        <f t="shared" si="67"/>
        <v/>
      </c>
      <c r="CJ32" s="506" t="str">
        <f t="shared" si="68"/>
        <v/>
      </c>
      <c r="CK32" s="506" t="str">
        <f t="shared" si="69"/>
        <v/>
      </c>
      <c r="CL32" s="506" t="str">
        <f t="shared" si="70"/>
        <v/>
      </c>
      <c r="CM32" s="506" t="str">
        <f t="shared" si="71"/>
        <v/>
      </c>
      <c r="CN32" s="506" t="str">
        <f t="shared" si="72"/>
        <v/>
      </c>
      <c r="CO32" s="506" t="str">
        <f t="shared" si="73"/>
        <v/>
      </c>
      <c r="CP32" s="506" t="str">
        <f t="shared" si="74"/>
        <v/>
      </c>
      <c r="CQ32" s="506" t="str">
        <f t="shared" si="75"/>
        <v/>
      </c>
      <c r="CR32" s="506" t="str">
        <f t="shared" si="76"/>
        <v/>
      </c>
      <c r="CS32" s="506" t="str">
        <f t="shared" si="77"/>
        <v/>
      </c>
      <c r="CT32" s="506" t="str">
        <f t="shared" si="78"/>
        <v/>
      </c>
      <c r="CU32" s="506" t="str">
        <f t="shared" si="79"/>
        <v/>
      </c>
      <c r="CV32" s="506" t="str">
        <f t="shared" si="80"/>
        <v/>
      </c>
      <c r="CW32" s="506" t="str">
        <f t="shared" si="81"/>
        <v/>
      </c>
      <c r="CX32" s="506" t="str">
        <f t="shared" si="82"/>
        <v/>
      </c>
      <c r="CY32" s="506" t="str">
        <f t="shared" si="83"/>
        <v/>
      </c>
      <c r="CZ32" s="506" t="str">
        <f t="shared" si="84"/>
        <v/>
      </c>
      <c r="DA32" s="506" t="str">
        <f t="shared" si="85"/>
        <v/>
      </c>
      <c r="DB32" s="506" t="str">
        <f t="shared" si="86"/>
        <v/>
      </c>
      <c r="DC32" s="506" t="str">
        <f t="shared" si="87"/>
        <v/>
      </c>
      <c r="DD32" s="506" t="str">
        <f t="shared" si="88"/>
        <v/>
      </c>
      <c r="DE32" s="506" t="str">
        <f t="shared" si="89"/>
        <v/>
      </c>
      <c r="DF32" s="506" t="str">
        <f t="shared" si="90"/>
        <v/>
      </c>
      <c r="DG32" s="506" t="str">
        <f t="shared" si="91"/>
        <v/>
      </c>
      <c r="DH32" s="506" t="str">
        <f t="shared" si="92"/>
        <v/>
      </c>
      <c r="DI32" s="506" t="str">
        <f t="shared" si="93"/>
        <v/>
      </c>
      <c r="DJ32" s="506" t="str">
        <f t="shared" si="94"/>
        <v/>
      </c>
      <c r="DK32" s="506" t="str">
        <f t="shared" si="95"/>
        <v/>
      </c>
      <c r="DL32" s="506" t="str">
        <f t="shared" si="96"/>
        <v/>
      </c>
      <c r="DM32" s="506" t="str">
        <f t="shared" si="97"/>
        <v/>
      </c>
      <c r="DN32" s="506" t="str">
        <f t="shared" si="98"/>
        <v/>
      </c>
      <c r="DO32" s="506" t="str">
        <f t="shared" si="99"/>
        <v/>
      </c>
      <c r="DP32" s="506" t="str">
        <f t="shared" si="100"/>
        <v/>
      </c>
      <c r="DQ32" s="506" t="str">
        <f t="shared" si="101"/>
        <v/>
      </c>
      <c r="DR32" s="506" t="str">
        <f t="shared" si="102"/>
        <v/>
      </c>
      <c r="DS32" s="506" t="str">
        <f t="shared" si="103"/>
        <v/>
      </c>
      <c r="DT32" s="506" t="str">
        <f t="shared" si="104"/>
        <v/>
      </c>
      <c r="DU32" s="506" t="str">
        <f t="shared" si="105"/>
        <v/>
      </c>
      <c r="DV32" s="506" t="str">
        <f t="shared" si="106"/>
        <v/>
      </c>
      <c r="DW32" s="506" t="str">
        <f t="shared" si="107"/>
        <v/>
      </c>
      <c r="DX32" s="506" t="str">
        <f t="shared" si="108"/>
        <v/>
      </c>
      <c r="DY32" s="506" t="str">
        <f t="shared" si="109"/>
        <v/>
      </c>
      <c r="DZ32" s="506" t="str">
        <f t="shared" si="110"/>
        <v/>
      </c>
      <c r="EA32" s="506" t="str">
        <f t="shared" si="111"/>
        <v/>
      </c>
      <c r="EB32" s="506" t="str">
        <f t="shared" si="112"/>
        <v/>
      </c>
      <c r="EC32" s="506" t="str">
        <f t="shared" si="113"/>
        <v/>
      </c>
      <c r="ED32" s="506" t="str">
        <f t="shared" si="114"/>
        <v/>
      </c>
      <c r="EE32" s="506" t="str">
        <f t="shared" si="115"/>
        <v/>
      </c>
      <c r="EF32" s="506" t="str">
        <f t="shared" si="116"/>
        <v/>
      </c>
      <c r="EG32" s="506" t="str">
        <f t="shared" si="117"/>
        <v/>
      </c>
      <c r="EH32" s="506" t="str">
        <f t="shared" si="118"/>
        <v/>
      </c>
      <c r="EI32" s="506" t="str">
        <f t="shared" si="119"/>
        <v/>
      </c>
      <c r="EJ32" s="506" t="str">
        <f t="shared" si="120"/>
        <v/>
      </c>
      <c r="EK32" s="506" t="str">
        <f t="shared" si="121"/>
        <v/>
      </c>
      <c r="EL32" s="506" t="str">
        <f t="shared" si="122"/>
        <v/>
      </c>
      <c r="EM32" s="506" t="str">
        <f t="shared" si="123"/>
        <v/>
      </c>
      <c r="EN32" s="506" t="str">
        <f t="shared" si="124"/>
        <v/>
      </c>
      <c r="EO32" s="506" t="str">
        <f t="shared" si="125"/>
        <v/>
      </c>
      <c r="EP32" s="506" t="str">
        <f t="shared" si="126"/>
        <v/>
      </c>
      <c r="EQ32" s="506" t="str">
        <f t="shared" si="127"/>
        <v/>
      </c>
      <c r="ER32" s="506" t="str">
        <f t="shared" si="128"/>
        <v/>
      </c>
      <c r="ES32" s="506" t="str">
        <f t="shared" si="129"/>
        <v/>
      </c>
      <c r="ET32" s="506" t="str">
        <f t="shared" si="130"/>
        <v/>
      </c>
      <c r="EU32" s="506" t="str">
        <f t="shared" si="131"/>
        <v/>
      </c>
      <c r="EV32" s="506" t="str">
        <f t="shared" si="132"/>
        <v/>
      </c>
      <c r="EW32" s="516" t="str">
        <f t="shared" si="133"/>
        <v/>
      </c>
      <c r="EX32" s="516" t="str">
        <f t="shared" si="134"/>
        <v/>
      </c>
      <c r="EY32" s="516" t="str">
        <f t="shared" si="135"/>
        <v/>
      </c>
      <c r="EZ32" s="516" t="str">
        <f t="shared" si="136"/>
        <v/>
      </c>
      <c r="FA32" s="516" t="str">
        <f t="shared" si="137"/>
        <v/>
      </c>
      <c r="FB32" s="516" t="str">
        <f t="shared" si="138"/>
        <v/>
      </c>
      <c r="FC32" s="516" t="str">
        <f t="shared" si="139"/>
        <v/>
      </c>
      <c r="FD32" s="516" t="str">
        <f t="shared" si="140"/>
        <v/>
      </c>
      <c r="FE32" s="516" t="str">
        <f t="shared" si="141"/>
        <v/>
      </c>
      <c r="FF32" s="516" t="str">
        <f t="shared" si="142"/>
        <v/>
      </c>
      <c r="FG32" s="516" t="str">
        <f t="shared" si="143"/>
        <v/>
      </c>
      <c r="FH32" s="516" t="str">
        <f t="shared" si="144"/>
        <v/>
      </c>
      <c r="FI32" s="516" t="str">
        <f t="shared" si="145"/>
        <v/>
      </c>
      <c r="FJ32" s="516" t="str">
        <f t="shared" si="146"/>
        <v/>
      </c>
      <c r="FK32" s="516" t="str">
        <f t="shared" si="147"/>
        <v/>
      </c>
      <c r="FL32" s="516" t="str">
        <f t="shared" si="148"/>
        <v/>
      </c>
      <c r="FM32" s="516" t="str">
        <f t="shared" si="149"/>
        <v/>
      </c>
      <c r="FN32" s="516" t="str">
        <f t="shared" si="150"/>
        <v/>
      </c>
      <c r="FO32" s="516" t="str">
        <f t="shared" si="151"/>
        <v/>
      </c>
      <c r="FP32" s="516" t="str">
        <f t="shared" si="152"/>
        <v/>
      </c>
      <c r="FQ32" s="516" t="str">
        <f t="shared" si="153"/>
        <v/>
      </c>
      <c r="FR32" s="516" t="str">
        <f t="shared" si="154"/>
        <v/>
      </c>
      <c r="FS32" s="516" t="str">
        <f t="shared" si="155"/>
        <v/>
      </c>
      <c r="FT32" s="516" t="str">
        <f t="shared" si="156"/>
        <v/>
      </c>
      <c r="FU32" s="516" t="str">
        <f t="shared" si="157"/>
        <v/>
      </c>
      <c r="FV32" s="516" t="str">
        <f t="shared" si="158"/>
        <v/>
      </c>
      <c r="FW32" s="516" t="str">
        <f t="shared" si="159"/>
        <v/>
      </c>
      <c r="FX32" s="516" t="str">
        <f t="shared" si="160"/>
        <v/>
      </c>
      <c r="FY32" s="516" t="str">
        <f t="shared" si="161"/>
        <v/>
      </c>
      <c r="FZ32" s="516" t="str">
        <f t="shared" si="162"/>
        <v/>
      </c>
      <c r="GA32" s="516" t="str">
        <f t="shared" si="163"/>
        <v/>
      </c>
      <c r="GB32" s="516" t="str">
        <f t="shared" si="164"/>
        <v/>
      </c>
      <c r="GC32" s="516" t="str">
        <f t="shared" si="165"/>
        <v/>
      </c>
      <c r="GD32" s="516" t="str">
        <f t="shared" si="166"/>
        <v/>
      </c>
      <c r="GE32" s="516" t="str">
        <f t="shared" si="167"/>
        <v/>
      </c>
      <c r="GF32" s="516" t="str">
        <f t="shared" si="168"/>
        <v/>
      </c>
      <c r="GG32" s="516" t="str">
        <f t="shared" si="169"/>
        <v/>
      </c>
      <c r="GH32" s="516" t="str">
        <f t="shared" si="170"/>
        <v/>
      </c>
      <c r="GI32" s="516" t="str">
        <f t="shared" si="171"/>
        <v/>
      </c>
      <c r="GJ32" s="516" t="str">
        <f t="shared" si="172"/>
        <v/>
      </c>
      <c r="GK32" s="516" t="str">
        <f t="shared" si="173"/>
        <v/>
      </c>
      <c r="GL32" s="516" t="str">
        <f t="shared" si="174"/>
        <v/>
      </c>
      <c r="GM32" s="516" t="str">
        <f t="shared" si="175"/>
        <v/>
      </c>
      <c r="GN32" s="516" t="str">
        <f t="shared" si="176"/>
        <v/>
      </c>
      <c r="GO32" s="516" t="str">
        <f t="shared" si="177"/>
        <v/>
      </c>
      <c r="GP32" s="516" t="str">
        <f t="shared" si="178"/>
        <v/>
      </c>
      <c r="GQ32" s="516" t="str">
        <f t="shared" si="179"/>
        <v/>
      </c>
      <c r="GR32" s="516" t="str">
        <f t="shared" si="180"/>
        <v/>
      </c>
      <c r="GS32" s="516" t="str">
        <f t="shared" si="181"/>
        <v/>
      </c>
      <c r="GT32" s="516" t="str">
        <f t="shared" si="182"/>
        <v/>
      </c>
      <c r="GU32" s="516" t="str">
        <f t="shared" si="183"/>
        <v/>
      </c>
      <c r="GV32" s="516" t="str">
        <f t="shared" si="184"/>
        <v/>
      </c>
      <c r="GW32" s="516" t="str">
        <f t="shared" si="185"/>
        <v/>
      </c>
      <c r="GX32" s="516" t="str">
        <f t="shared" si="186"/>
        <v/>
      </c>
      <c r="GY32" s="516" t="str">
        <f t="shared" si="187"/>
        <v/>
      </c>
      <c r="GZ32" s="516" t="str">
        <f t="shared" si="188"/>
        <v/>
      </c>
      <c r="HA32" s="516" t="str">
        <f t="shared" si="189"/>
        <v/>
      </c>
      <c r="HB32" s="516" t="str">
        <f t="shared" si="190"/>
        <v/>
      </c>
      <c r="HC32" s="516" t="str">
        <f t="shared" si="191"/>
        <v/>
      </c>
      <c r="HD32" s="516" t="str">
        <f t="shared" si="192"/>
        <v/>
      </c>
      <c r="HE32" s="516" t="str">
        <f t="shared" si="193"/>
        <v/>
      </c>
      <c r="HF32" s="516" t="str">
        <f t="shared" si="194"/>
        <v/>
      </c>
      <c r="HG32" s="516" t="str">
        <f t="shared" si="195"/>
        <v/>
      </c>
      <c r="HH32" s="516" t="str">
        <f t="shared" si="196"/>
        <v/>
      </c>
      <c r="HI32" s="516" t="str">
        <f t="shared" si="197"/>
        <v/>
      </c>
      <c r="HJ32" s="516" t="str">
        <f t="shared" si="198"/>
        <v/>
      </c>
      <c r="HK32" s="516" t="str">
        <f t="shared" si="199"/>
        <v/>
      </c>
      <c r="HL32" s="516" t="str">
        <f t="shared" si="200"/>
        <v/>
      </c>
      <c r="HM32" s="516" t="str">
        <f t="shared" si="201"/>
        <v/>
      </c>
      <c r="HN32" s="516" t="str">
        <f t="shared" si="202"/>
        <v/>
      </c>
      <c r="HO32" s="516" t="str">
        <f t="shared" si="203"/>
        <v/>
      </c>
      <c r="HP32" s="516" t="str">
        <f t="shared" si="204"/>
        <v/>
      </c>
      <c r="HQ32" s="516" t="str">
        <f t="shared" si="205"/>
        <v/>
      </c>
      <c r="HR32" s="516" t="str">
        <f t="shared" si="206"/>
        <v/>
      </c>
      <c r="HS32" s="516" t="str">
        <f t="shared" si="207"/>
        <v/>
      </c>
      <c r="HT32" s="516" t="str">
        <f t="shared" si="208"/>
        <v/>
      </c>
      <c r="HU32" s="516" t="str">
        <f t="shared" si="209"/>
        <v/>
      </c>
      <c r="HV32" s="516" t="str">
        <f t="shared" si="210"/>
        <v/>
      </c>
      <c r="HW32" s="516" t="str">
        <f t="shared" si="211"/>
        <v/>
      </c>
      <c r="HX32" s="516" t="str">
        <f t="shared" si="212"/>
        <v/>
      </c>
      <c r="HY32" s="516" t="str">
        <f t="shared" si="213"/>
        <v/>
      </c>
      <c r="HZ32" s="516" t="str">
        <f t="shared" si="214"/>
        <v/>
      </c>
      <c r="IA32" s="516" t="str">
        <f t="shared" si="215"/>
        <v/>
      </c>
      <c r="IB32" s="516" t="str">
        <f t="shared" si="216"/>
        <v/>
      </c>
      <c r="IC32" s="516" t="str">
        <f t="shared" si="217"/>
        <v/>
      </c>
      <c r="ID32" s="517" t="str">
        <f t="shared" si="218"/>
        <v/>
      </c>
      <c r="IE32" s="517" t="str">
        <f t="shared" si="219"/>
        <v/>
      </c>
      <c r="IF32" s="517" t="str">
        <f t="shared" si="220"/>
        <v/>
      </c>
      <c r="IG32" s="517" t="str">
        <f t="shared" si="221"/>
        <v/>
      </c>
      <c r="IH32" s="517" t="str">
        <f t="shared" si="222"/>
        <v/>
      </c>
      <c r="II32" s="506" t="str">
        <f t="shared" si="223"/>
        <v/>
      </c>
      <c r="IJ32" s="506" t="str">
        <f t="shared" si="224"/>
        <v/>
      </c>
      <c r="IK32" s="506" t="str">
        <f t="shared" si="225"/>
        <v/>
      </c>
      <c r="IL32" s="506" t="str">
        <f t="shared" si="226"/>
        <v/>
      </c>
      <c r="IM32" s="506" t="str">
        <f t="shared" si="227"/>
        <v/>
      </c>
      <c r="IN32" s="506" t="str">
        <f t="shared" si="228"/>
        <v/>
      </c>
      <c r="IO32" s="506" t="str">
        <f t="shared" si="229"/>
        <v/>
      </c>
      <c r="IP32" s="506" t="str">
        <f t="shared" si="230"/>
        <v/>
      </c>
      <c r="IQ32" s="506" t="str">
        <f t="shared" si="231"/>
        <v/>
      </c>
      <c r="IR32" s="506" t="str">
        <f t="shared" si="232"/>
        <v/>
      </c>
      <c r="IS32" s="506" t="str">
        <f t="shared" si="233"/>
        <v/>
      </c>
      <c r="IT32" s="506" t="str">
        <f t="shared" si="234"/>
        <v/>
      </c>
      <c r="IU32" s="506" t="str">
        <f t="shared" si="235"/>
        <v/>
      </c>
      <c r="IV32" s="506" t="str">
        <f t="shared" si="236"/>
        <v/>
      </c>
      <c r="IW32" s="506" t="str">
        <f t="shared" si="237"/>
        <v/>
      </c>
      <c r="IX32" s="506" t="str">
        <f t="shared" si="238"/>
        <v/>
      </c>
      <c r="IY32" s="506" t="str">
        <f t="shared" si="239"/>
        <v/>
      </c>
      <c r="IZ32" s="506" t="str">
        <f t="shared" si="240"/>
        <v/>
      </c>
      <c r="JA32" s="506" t="str">
        <f t="shared" si="241"/>
        <v/>
      </c>
      <c r="JB32" s="506" t="str">
        <f t="shared" si="242"/>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24" t="s">
        <v>1858</v>
      </c>
      <c r="C33" s="2525"/>
      <c r="D33" s="2526"/>
      <c r="E33" s="2527"/>
      <c r="F33" s="2527"/>
      <c r="G33" s="2527"/>
      <c r="H33" s="2527"/>
      <c r="I33" s="2527"/>
      <c r="J33" s="2528"/>
      <c r="K33" s="825">
        <f t="shared" si="1"/>
        <v>0</v>
      </c>
      <c r="L33" s="825">
        <f t="shared" si="2"/>
        <v>0</v>
      </c>
      <c r="M33" s="1301"/>
      <c r="N33" s="1301"/>
      <c r="O33" s="1301"/>
      <c r="P33" s="2529"/>
      <c r="Q33" s="2530" t="str">
        <f t="shared" si="243"/>
        <v/>
      </c>
      <c r="R33" s="2531" t="str">
        <f>IF(H33="","",IF(C33="Efficiency",Q33/($O$6*VLOOKUP(0,'DCA Underwriting Assumptions'!$J$118:$K$123,2,FALSE)),Q33/($O$6*VLOOKUP(C33,'DCA Underwriting Assumptions'!$J$118:$K$123,2,FALSE))))</f>
        <v/>
      </c>
      <c r="S33" s="2532"/>
      <c r="T33" s="2531"/>
      <c r="U33" s="2533"/>
      <c r="V33" s="2458"/>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53"/>
        <v/>
      </c>
      <c r="BV33" s="506" t="str">
        <f t="shared" si="54"/>
        <v/>
      </c>
      <c r="BW33" s="506" t="str">
        <f t="shared" si="55"/>
        <v/>
      </c>
      <c r="BX33" s="506" t="str">
        <f t="shared" si="56"/>
        <v/>
      </c>
      <c r="BY33" s="506" t="str">
        <f t="shared" si="57"/>
        <v/>
      </c>
      <c r="BZ33" s="506" t="str">
        <f t="shared" si="58"/>
        <v/>
      </c>
      <c r="CA33" s="506" t="str">
        <f t="shared" si="59"/>
        <v/>
      </c>
      <c r="CB33" s="506" t="str">
        <f t="shared" si="60"/>
        <v/>
      </c>
      <c r="CC33" s="506" t="str">
        <f t="shared" si="61"/>
        <v/>
      </c>
      <c r="CD33" s="506" t="str">
        <f t="shared" si="62"/>
        <v/>
      </c>
      <c r="CE33" s="506" t="str">
        <f t="shared" si="63"/>
        <v/>
      </c>
      <c r="CF33" s="506" t="str">
        <f t="shared" si="64"/>
        <v/>
      </c>
      <c r="CG33" s="506" t="str">
        <f t="shared" si="65"/>
        <v/>
      </c>
      <c r="CH33" s="506" t="str">
        <f t="shared" si="66"/>
        <v/>
      </c>
      <c r="CI33" s="506" t="str">
        <f t="shared" si="67"/>
        <v/>
      </c>
      <c r="CJ33" s="506" t="str">
        <f t="shared" si="68"/>
        <v/>
      </c>
      <c r="CK33" s="506" t="str">
        <f t="shared" si="69"/>
        <v/>
      </c>
      <c r="CL33" s="506" t="str">
        <f t="shared" si="70"/>
        <v/>
      </c>
      <c r="CM33" s="506" t="str">
        <f t="shared" si="71"/>
        <v/>
      </c>
      <c r="CN33" s="506" t="str">
        <f t="shared" si="72"/>
        <v/>
      </c>
      <c r="CO33" s="506" t="str">
        <f t="shared" si="73"/>
        <v/>
      </c>
      <c r="CP33" s="506" t="str">
        <f t="shared" si="74"/>
        <v/>
      </c>
      <c r="CQ33" s="506" t="str">
        <f t="shared" si="75"/>
        <v/>
      </c>
      <c r="CR33" s="506" t="str">
        <f t="shared" si="76"/>
        <v/>
      </c>
      <c r="CS33" s="506" t="str">
        <f t="shared" si="77"/>
        <v/>
      </c>
      <c r="CT33" s="506" t="str">
        <f t="shared" si="78"/>
        <v/>
      </c>
      <c r="CU33" s="506" t="str">
        <f t="shared" si="79"/>
        <v/>
      </c>
      <c r="CV33" s="506" t="str">
        <f t="shared" si="80"/>
        <v/>
      </c>
      <c r="CW33" s="506" t="str">
        <f t="shared" si="81"/>
        <v/>
      </c>
      <c r="CX33" s="506" t="str">
        <f t="shared" si="82"/>
        <v/>
      </c>
      <c r="CY33" s="506" t="str">
        <f t="shared" si="83"/>
        <v/>
      </c>
      <c r="CZ33" s="506" t="str">
        <f t="shared" si="84"/>
        <v/>
      </c>
      <c r="DA33" s="506" t="str">
        <f t="shared" si="85"/>
        <v/>
      </c>
      <c r="DB33" s="506" t="str">
        <f t="shared" si="86"/>
        <v/>
      </c>
      <c r="DC33" s="506" t="str">
        <f t="shared" si="87"/>
        <v/>
      </c>
      <c r="DD33" s="506" t="str">
        <f t="shared" si="88"/>
        <v/>
      </c>
      <c r="DE33" s="506" t="str">
        <f t="shared" si="89"/>
        <v/>
      </c>
      <c r="DF33" s="506" t="str">
        <f t="shared" si="90"/>
        <v/>
      </c>
      <c r="DG33" s="506" t="str">
        <f t="shared" si="91"/>
        <v/>
      </c>
      <c r="DH33" s="506" t="str">
        <f t="shared" si="92"/>
        <v/>
      </c>
      <c r="DI33" s="506" t="str">
        <f t="shared" si="93"/>
        <v/>
      </c>
      <c r="DJ33" s="506" t="str">
        <f t="shared" si="94"/>
        <v/>
      </c>
      <c r="DK33" s="506" t="str">
        <f t="shared" si="95"/>
        <v/>
      </c>
      <c r="DL33" s="506" t="str">
        <f t="shared" si="96"/>
        <v/>
      </c>
      <c r="DM33" s="506" t="str">
        <f t="shared" si="97"/>
        <v/>
      </c>
      <c r="DN33" s="506" t="str">
        <f t="shared" si="98"/>
        <v/>
      </c>
      <c r="DO33" s="506" t="str">
        <f t="shared" si="99"/>
        <v/>
      </c>
      <c r="DP33" s="506" t="str">
        <f t="shared" si="100"/>
        <v/>
      </c>
      <c r="DQ33" s="506" t="str">
        <f t="shared" si="101"/>
        <v/>
      </c>
      <c r="DR33" s="506" t="str">
        <f t="shared" si="102"/>
        <v/>
      </c>
      <c r="DS33" s="506" t="str">
        <f t="shared" si="103"/>
        <v/>
      </c>
      <c r="DT33" s="506" t="str">
        <f t="shared" si="104"/>
        <v/>
      </c>
      <c r="DU33" s="506" t="str">
        <f t="shared" si="105"/>
        <v/>
      </c>
      <c r="DV33" s="506" t="str">
        <f t="shared" si="106"/>
        <v/>
      </c>
      <c r="DW33" s="506" t="str">
        <f t="shared" si="107"/>
        <v/>
      </c>
      <c r="DX33" s="506" t="str">
        <f t="shared" si="108"/>
        <v/>
      </c>
      <c r="DY33" s="506" t="str">
        <f t="shared" si="109"/>
        <v/>
      </c>
      <c r="DZ33" s="506" t="str">
        <f t="shared" si="110"/>
        <v/>
      </c>
      <c r="EA33" s="506" t="str">
        <f t="shared" si="111"/>
        <v/>
      </c>
      <c r="EB33" s="506" t="str">
        <f t="shared" si="112"/>
        <v/>
      </c>
      <c r="EC33" s="506" t="str">
        <f t="shared" si="113"/>
        <v/>
      </c>
      <c r="ED33" s="506" t="str">
        <f t="shared" si="114"/>
        <v/>
      </c>
      <c r="EE33" s="506" t="str">
        <f t="shared" si="115"/>
        <v/>
      </c>
      <c r="EF33" s="506" t="str">
        <f t="shared" si="116"/>
        <v/>
      </c>
      <c r="EG33" s="506" t="str">
        <f t="shared" si="117"/>
        <v/>
      </c>
      <c r="EH33" s="506" t="str">
        <f t="shared" si="118"/>
        <v/>
      </c>
      <c r="EI33" s="506" t="str">
        <f t="shared" si="119"/>
        <v/>
      </c>
      <c r="EJ33" s="506" t="str">
        <f t="shared" si="120"/>
        <v/>
      </c>
      <c r="EK33" s="506" t="str">
        <f t="shared" si="121"/>
        <v/>
      </c>
      <c r="EL33" s="506" t="str">
        <f t="shared" si="122"/>
        <v/>
      </c>
      <c r="EM33" s="506" t="str">
        <f t="shared" si="123"/>
        <v/>
      </c>
      <c r="EN33" s="506" t="str">
        <f t="shared" si="124"/>
        <v/>
      </c>
      <c r="EO33" s="506" t="str">
        <f t="shared" si="125"/>
        <v/>
      </c>
      <c r="EP33" s="506" t="str">
        <f t="shared" si="126"/>
        <v/>
      </c>
      <c r="EQ33" s="506" t="str">
        <f t="shared" si="127"/>
        <v/>
      </c>
      <c r="ER33" s="506" t="str">
        <f t="shared" si="128"/>
        <v/>
      </c>
      <c r="ES33" s="506" t="str">
        <f t="shared" si="129"/>
        <v/>
      </c>
      <c r="ET33" s="506" t="str">
        <f t="shared" si="130"/>
        <v/>
      </c>
      <c r="EU33" s="506" t="str">
        <f t="shared" si="131"/>
        <v/>
      </c>
      <c r="EV33" s="506" t="str">
        <f t="shared" si="132"/>
        <v/>
      </c>
      <c r="EW33" s="516" t="str">
        <f t="shared" si="133"/>
        <v/>
      </c>
      <c r="EX33" s="516" t="str">
        <f t="shared" si="134"/>
        <v/>
      </c>
      <c r="EY33" s="516" t="str">
        <f t="shared" si="135"/>
        <v/>
      </c>
      <c r="EZ33" s="516" t="str">
        <f t="shared" si="136"/>
        <v/>
      </c>
      <c r="FA33" s="516" t="str">
        <f t="shared" si="137"/>
        <v/>
      </c>
      <c r="FB33" s="516" t="str">
        <f t="shared" si="138"/>
        <v/>
      </c>
      <c r="FC33" s="516" t="str">
        <f t="shared" si="139"/>
        <v/>
      </c>
      <c r="FD33" s="516" t="str">
        <f t="shared" si="140"/>
        <v/>
      </c>
      <c r="FE33" s="516" t="str">
        <f t="shared" si="141"/>
        <v/>
      </c>
      <c r="FF33" s="516" t="str">
        <f t="shared" si="142"/>
        <v/>
      </c>
      <c r="FG33" s="516" t="str">
        <f t="shared" si="143"/>
        <v/>
      </c>
      <c r="FH33" s="516" t="str">
        <f t="shared" si="144"/>
        <v/>
      </c>
      <c r="FI33" s="516" t="str">
        <f t="shared" si="145"/>
        <v/>
      </c>
      <c r="FJ33" s="516" t="str">
        <f t="shared" si="146"/>
        <v/>
      </c>
      <c r="FK33" s="516" t="str">
        <f t="shared" si="147"/>
        <v/>
      </c>
      <c r="FL33" s="516" t="str">
        <f t="shared" si="148"/>
        <v/>
      </c>
      <c r="FM33" s="516" t="str">
        <f t="shared" si="149"/>
        <v/>
      </c>
      <c r="FN33" s="516" t="str">
        <f t="shared" si="150"/>
        <v/>
      </c>
      <c r="FO33" s="516" t="str">
        <f t="shared" si="151"/>
        <v/>
      </c>
      <c r="FP33" s="516" t="str">
        <f t="shared" si="152"/>
        <v/>
      </c>
      <c r="FQ33" s="516" t="str">
        <f t="shared" si="153"/>
        <v/>
      </c>
      <c r="FR33" s="516" t="str">
        <f t="shared" si="154"/>
        <v/>
      </c>
      <c r="FS33" s="516" t="str">
        <f t="shared" si="155"/>
        <v/>
      </c>
      <c r="FT33" s="516" t="str">
        <f t="shared" si="156"/>
        <v/>
      </c>
      <c r="FU33" s="516" t="str">
        <f t="shared" si="157"/>
        <v/>
      </c>
      <c r="FV33" s="516" t="str">
        <f t="shared" si="158"/>
        <v/>
      </c>
      <c r="FW33" s="516" t="str">
        <f t="shared" si="159"/>
        <v/>
      </c>
      <c r="FX33" s="516" t="str">
        <f t="shared" si="160"/>
        <v/>
      </c>
      <c r="FY33" s="516" t="str">
        <f t="shared" si="161"/>
        <v/>
      </c>
      <c r="FZ33" s="516" t="str">
        <f t="shared" si="162"/>
        <v/>
      </c>
      <c r="GA33" s="516" t="str">
        <f t="shared" si="163"/>
        <v/>
      </c>
      <c r="GB33" s="516" t="str">
        <f t="shared" si="164"/>
        <v/>
      </c>
      <c r="GC33" s="516" t="str">
        <f t="shared" si="165"/>
        <v/>
      </c>
      <c r="GD33" s="516" t="str">
        <f t="shared" si="166"/>
        <v/>
      </c>
      <c r="GE33" s="516" t="str">
        <f t="shared" si="167"/>
        <v/>
      </c>
      <c r="GF33" s="516" t="str">
        <f t="shared" si="168"/>
        <v/>
      </c>
      <c r="GG33" s="516" t="str">
        <f t="shared" si="169"/>
        <v/>
      </c>
      <c r="GH33" s="516" t="str">
        <f t="shared" si="170"/>
        <v/>
      </c>
      <c r="GI33" s="516" t="str">
        <f t="shared" si="171"/>
        <v/>
      </c>
      <c r="GJ33" s="516" t="str">
        <f t="shared" si="172"/>
        <v/>
      </c>
      <c r="GK33" s="516" t="str">
        <f t="shared" si="173"/>
        <v/>
      </c>
      <c r="GL33" s="516" t="str">
        <f t="shared" si="174"/>
        <v/>
      </c>
      <c r="GM33" s="516" t="str">
        <f t="shared" si="175"/>
        <v/>
      </c>
      <c r="GN33" s="516" t="str">
        <f t="shared" si="176"/>
        <v/>
      </c>
      <c r="GO33" s="516" t="str">
        <f t="shared" si="177"/>
        <v/>
      </c>
      <c r="GP33" s="516" t="str">
        <f t="shared" si="178"/>
        <v/>
      </c>
      <c r="GQ33" s="516" t="str">
        <f t="shared" si="179"/>
        <v/>
      </c>
      <c r="GR33" s="516" t="str">
        <f t="shared" si="180"/>
        <v/>
      </c>
      <c r="GS33" s="516" t="str">
        <f t="shared" si="181"/>
        <v/>
      </c>
      <c r="GT33" s="516" t="str">
        <f t="shared" si="182"/>
        <v/>
      </c>
      <c r="GU33" s="516" t="str">
        <f t="shared" si="183"/>
        <v/>
      </c>
      <c r="GV33" s="516" t="str">
        <f t="shared" si="184"/>
        <v/>
      </c>
      <c r="GW33" s="516" t="str">
        <f t="shared" si="185"/>
        <v/>
      </c>
      <c r="GX33" s="516" t="str">
        <f t="shared" si="186"/>
        <v/>
      </c>
      <c r="GY33" s="516" t="str">
        <f t="shared" si="187"/>
        <v/>
      </c>
      <c r="GZ33" s="516" t="str">
        <f t="shared" si="188"/>
        <v/>
      </c>
      <c r="HA33" s="516" t="str">
        <f t="shared" si="189"/>
        <v/>
      </c>
      <c r="HB33" s="516" t="str">
        <f t="shared" si="190"/>
        <v/>
      </c>
      <c r="HC33" s="516" t="str">
        <f t="shared" si="191"/>
        <v/>
      </c>
      <c r="HD33" s="516" t="str">
        <f t="shared" si="192"/>
        <v/>
      </c>
      <c r="HE33" s="516" t="str">
        <f t="shared" si="193"/>
        <v/>
      </c>
      <c r="HF33" s="516" t="str">
        <f t="shared" si="194"/>
        <v/>
      </c>
      <c r="HG33" s="516" t="str">
        <f t="shared" si="195"/>
        <v/>
      </c>
      <c r="HH33" s="516" t="str">
        <f t="shared" si="196"/>
        <v/>
      </c>
      <c r="HI33" s="516" t="str">
        <f t="shared" si="197"/>
        <v/>
      </c>
      <c r="HJ33" s="516" t="str">
        <f t="shared" si="198"/>
        <v/>
      </c>
      <c r="HK33" s="516" t="str">
        <f t="shared" si="199"/>
        <v/>
      </c>
      <c r="HL33" s="516" t="str">
        <f t="shared" si="200"/>
        <v/>
      </c>
      <c r="HM33" s="516" t="str">
        <f t="shared" si="201"/>
        <v/>
      </c>
      <c r="HN33" s="516" t="str">
        <f t="shared" si="202"/>
        <v/>
      </c>
      <c r="HO33" s="516" t="str">
        <f t="shared" si="203"/>
        <v/>
      </c>
      <c r="HP33" s="516" t="str">
        <f t="shared" si="204"/>
        <v/>
      </c>
      <c r="HQ33" s="516" t="str">
        <f t="shared" si="205"/>
        <v/>
      </c>
      <c r="HR33" s="516" t="str">
        <f t="shared" si="206"/>
        <v/>
      </c>
      <c r="HS33" s="516" t="str">
        <f t="shared" si="207"/>
        <v/>
      </c>
      <c r="HT33" s="516" t="str">
        <f t="shared" si="208"/>
        <v/>
      </c>
      <c r="HU33" s="516" t="str">
        <f t="shared" si="209"/>
        <v/>
      </c>
      <c r="HV33" s="516" t="str">
        <f t="shared" si="210"/>
        <v/>
      </c>
      <c r="HW33" s="516" t="str">
        <f t="shared" si="211"/>
        <v/>
      </c>
      <c r="HX33" s="516" t="str">
        <f t="shared" si="212"/>
        <v/>
      </c>
      <c r="HY33" s="516" t="str">
        <f t="shared" si="213"/>
        <v/>
      </c>
      <c r="HZ33" s="516" t="str">
        <f t="shared" si="214"/>
        <v/>
      </c>
      <c r="IA33" s="516" t="str">
        <f t="shared" si="215"/>
        <v/>
      </c>
      <c r="IB33" s="516" t="str">
        <f t="shared" si="216"/>
        <v/>
      </c>
      <c r="IC33" s="516" t="str">
        <f t="shared" si="217"/>
        <v/>
      </c>
      <c r="ID33" s="517" t="str">
        <f t="shared" si="218"/>
        <v/>
      </c>
      <c r="IE33" s="517" t="str">
        <f t="shared" si="219"/>
        <v/>
      </c>
      <c r="IF33" s="517" t="str">
        <f t="shared" si="220"/>
        <v/>
      </c>
      <c r="IG33" s="517" t="str">
        <f t="shared" si="221"/>
        <v/>
      </c>
      <c r="IH33" s="517" t="str">
        <f t="shared" si="222"/>
        <v/>
      </c>
      <c r="II33" s="506" t="str">
        <f t="shared" si="223"/>
        <v/>
      </c>
      <c r="IJ33" s="506" t="str">
        <f t="shared" si="224"/>
        <v/>
      </c>
      <c r="IK33" s="506" t="str">
        <f t="shared" si="225"/>
        <v/>
      </c>
      <c r="IL33" s="506" t="str">
        <f t="shared" si="226"/>
        <v/>
      </c>
      <c r="IM33" s="506" t="str">
        <f t="shared" si="227"/>
        <v/>
      </c>
      <c r="IN33" s="506" t="str">
        <f t="shared" si="228"/>
        <v/>
      </c>
      <c r="IO33" s="506" t="str">
        <f t="shared" si="229"/>
        <v/>
      </c>
      <c r="IP33" s="506" t="str">
        <f t="shared" si="230"/>
        <v/>
      </c>
      <c r="IQ33" s="506" t="str">
        <f t="shared" si="231"/>
        <v/>
      </c>
      <c r="IR33" s="506" t="str">
        <f t="shared" si="232"/>
        <v/>
      </c>
      <c r="IS33" s="506" t="str">
        <f t="shared" si="233"/>
        <v/>
      </c>
      <c r="IT33" s="506" t="str">
        <f t="shared" si="234"/>
        <v/>
      </c>
      <c r="IU33" s="506" t="str">
        <f t="shared" si="235"/>
        <v/>
      </c>
      <c r="IV33" s="506" t="str">
        <f t="shared" si="236"/>
        <v/>
      </c>
      <c r="IW33" s="506" t="str">
        <f t="shared" si="237"/>
        <v/>
      </c>
      <c r="IX33" s="506" t="str">
        <f t="shared" si="238"/>
        <v/>
      </c>
      <c r="IY33" s="506" t="str">
        <f t="shared" si="239"/>
        <v/>
      </c>
      <c r="IZ33" s="506" t="str">
        <f t="shared" si="240"/>
        <v/>
      </c>
      <c r="JA33" s="506" t="str">
        <f t="shared" si="241"/>
        <v/>
      </c>
      <c r="JB33" s="506" t="str">
        <f t="shared" si="242"/>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24" t="s">
        <v>1858</v>
      </c>
      <c r="C34" s="2525"/>
      <c r="D34" s="2526"/>
      <c r="E34" s="2527"/>
      <c r="F34" s="2527"/>
      <c r="G34" s="2527"/>
      <c r="H34" s="2527"/>
      <c r="I34" s="2527"/>
      <c r="J34" s="2528"/>
      <c r="K34" s="825">
        <f t="shared" si="1"/>
        <v>0</v>
      </c>
      <c r="L34" s="825">
        <f t="shared" si="2"/>
        <v>0</v>
      </c>
      <c r="M34" s="1301"/>
      <c r="N34" s="1301"/>
      <c r="O34" s="1301"/>
      <c r="P34" s="2529"/>
      <c r="Q34" s="2530" t="str">
        <f t="shared" si="243"/>
        <v/>
      </c>
      <c r="R34" s="2531" t="str">
        <f>IF(H34="","",IF(C34="Efficiency",Q34/($O$6*VLOOKUP(0,'DCA Underwriting Assumptions'!$J$118:$K$123,2,FALSE)),Q34/($O$6*VLOOKUP(C34,'DCA Underwriting Assumptions'!$J$118:$K$123,2,FALSE))))</f>
        <v/>
      </c>
      <c r="S34" s="2532"/>
      <c r="T34" s="2531"/>
      <c r="U34" s="2533"/>
      <c r="V34" s="2458"/>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53"/>
        <v/>
      </c>
      <c r="BV34" s="506" t="str">
        <f t="shared" si="54"/>
        <v/>
      </c>
      <c r="BW34" s="506" t="str">
        <f t="shared" si="55"/>
        <v/>
      </c>
      <c r="BX34" s="506" t="str">
        <f t="shared" si="56"/>
        <v/>
      </c>
      <c r="BY34" s="506" t="str">
        <f t="shared" si="57"/>
        <v/>
      </c>
      <c r="BZ34" s="506" t="str">
        <f t="shared" si="58"/>
        <v/>
      </c>
      <c r="CA34" s="506" t="str">
        <f t="shared" si="59"/>
        <v/>
      </c>
      <c r="CB34" s="506" t="str">
        <f t="shared" si="60"/>
        <v/>
      </c>
      <c r="CC34" s="506" t="str">
        <f t="shared" si="61"/>
        <v/>
      </c>
      <c r="CD34" s="506" t="str">
        <f t="shared" si="62"/>
        <v/>
      </c>
      <c r="CE34" s="506" t="str">
        <f t="shared" si="63"/>
        <v/>
      </c>
      <c r="CF34" s="506" t="str">
        <f t="shared" si="64"/>
        <v/>
      </c>
      <c r="CG34" s="506" t="str">
        <f t="shared" si="65"/>
        <v/>
      </c>
      <c r="CH34" s="506" t="str">
        <f t="shared" si="66"/>
        <v/>
      </c>
      <c r="CI34" s="506" t="str">
        <f t="shared" si="67"/>
        <v/>
      </c>
      <c r="CJ34" s="506" t="str">
        <f t="shared" si="68"/>
        <v/>
      </c>
      <c r="CK34" s="506" t="str">
        <f t="shared" si="69"/>
        <v/>
      </c>
      <c r="CL34" s="506" t="str">
        <f t="shared" si="70"/>
        <v/>
      </c>
      <c r="CM34" s="506" t="str">
        <f t="shared" si="71"/>
        <v/>
      </c>
      <c r="CN34" s="506" t="str">
        <f t="shared" si="72"/>
        <v/>
      </c>
      <c r="CO34" s="506" t="str">
        <f t="shared" si="73"/>
        <v/>
      </c>
      <c r="CP34" s="506" t="str">
        <f t="shared" si="74"/>
        <v/>
      </c>
      <c r="CQ34" s="506" t="str">
        <f t="shared" si="75"/>
        <v/>
      </c>
      <c r="CR34" s="506" t="str">
        <f t="shared" si="76"/>
        <v/>
      </c>
      <c r="CS34" s="506" t="str">
        <f t="shared" si="77"/>
        <v/>
      </c>
      <c r="CT34" s="506" t="str">
        <f t="shared" si="78"/>
        <v/>
      </c>
      <c r="CU34" s="506" t="str">
        <f t="shared" si="79"/>
        <v/>
      </c>
      <c r="CV34" s="506" t="str">
        <f t="shared" si="80"/>
        <v/>
      </c>
      <c r="CW34" s="506" t="str">
        <f t="shared" si="81"/>
        <v/>
      </c>
      <c r="CX34" s="506" t="str">
        <f t="shared" si="82"/>
        <v/>
      </c>
      <c r="CY34" s="506" t="str">
        <f t="shared" si="83"/>
        <v/>
      </c>
      <c r="CZ34" s="506" t="str">
        <f t="shared" si="84"/>
        <v/>
      </c>
      <c r="DA34" s="506" t="str">
        <f t="shared" si="85"/>
        <v/>
      </c>
      <c r="DB34" s="506" t="str">
        <f t="shared" si="86"/>
        <v/>
      </c>
      <c r="DC34" s="506" t="str">
        <f t="shared" si="87"/>
        <v/>
      </c>
      <c r="DD34" s="506" t="str">
        <f t="shared" si="88"/>
        <v/>
      </c>
      <c r="DE34" s="506" t="str">
        <f t="shared" si="89"/>
        <v/>
      </c>
      <c r="DF34" s="506" t="str">
        <f t="shared" si="90"/>
        <v/>
      </c>
      <c r="DG34" s="506" t="str">
        <f t="shared" si="91"/>
        <v/>
      </c>
      <c r="DH34" s="506" t="str">
        <f t="shared" si="92"/>
        <v/>
      </c>
      <c r="DI34" s="506" t="str">
        <f t="shared" si="93"/>
        <v/>
      </c>
      <c r="DJ34" s="506" t="str">
        <f t="shared" si="94"/>
        <v/>
      </c>
      <c r="DK34" s="506" t="str">
        <f t="shared" si="95"/>
        <v/>
      </c>
      <c r="DL34" s="506" t="str">
        <f t="shared" si="96"/>
        <v/>
      </c>
      <c r="DM34" s="506" t="str">
        <f t="shared" si="97"/>
        <v/>
      </c>
      <c r="DN34" s="506" t="str">
        <f t="shared" si="98"/>
        <v/>
      </c>
      <c r="DO34" s="506" t="str">
        <f t="shared" si="99"/>
        <v/>
      </c>
      <c r="DP34" s="506" t="str">
        <f t="shared" si="100"/>
        <v/>
      </c>
      <c r="DQ34" s="506" t="str">
        <f t="shared" si="101"/>
        <v/>
      </c>
      <c r="DR34" s="506" t="str">
        <f t="shared" si="102"/>
        <v/>
      </c>
      <c r="DS34" s="506" t="str">
        <f t="shared" si="103"/>
        <v/>
      </c>
      <c r="DT34" s="506" t="str">
        <f t="shared" si="104"/>
        <v/>
      </c>
      <c r="DU34" s="506" t="str">
        <f t="shared" si="105"/>
        <v/>
      </c>
      <c r="DV34" s="506" t="str">
        <f t="shared" si="106"/>
        <v/>
      </c>
      <c r="DW34" s="506" t="str">
        <f t="shared" si="107"/>
        <v/>
      </c>
      <c r="DX34" s="506" t="str">
        <f t="shared" si="108"/>
        <v/>
      </c>
      <c r="DY34" s="506" t="str">
        <f t="shared" si="109"/>
        <v/>
      </c>
      <c r="DZ34" s="506" t="str">
        <f t="shared" si="110"/>
        <v/>
      </c>
      <c r="EA34" s="506" t="str">
        <f t="shared" si="111"/>
        <v/>
      </c>
      <c r="EB34" s="506" t="str">
        <f t="shared" si="112"/>
        <v/>
      </c>
      <c r="EC34" s="506" t="str">
        <f t="shared" si="113"/>
        <v/>
      </c>
      <c r="ED34" s="506" t="str">
        <f t="shared" si="114"/>
        <v/>
      </c>
      <c r="EE34" s="506" t="str">
        <f t="shared" si="115"/>
        <v/>
      </c>
      <c r="EF34" s="506" t="str">
        <f t="shared" si="116"/>
        <v/>
      </c>
      <c r="EG34" s="506" t="str">
        <f t="shared" si="117"/>
        <v/>
      </c>
      <c r="EH34" s="506" t="str">
        <f t="shared" si="118"/>
        <v/>
      </c>
      <c r="EI34" s="506" t="str">
        <f t="shared" si="119"/>
        <v/>
      </c>
      <c r="EJ34" s="506" t="str">
        <f t="shared" si="120"/>
        <v/>
      </c>
      <c r="EK34" s="506" t="str">
        <f t="shared" si="121"/>
        <v/>
      </c>
      <c r="EL34" s="506" t="str">
        <f t="shared" si="122"/>
        <v/>
      </c>
      <c r="EM34" s="506" t="str">
        <f t="shared" si="123"/>
        <v/>
      </c>
      <c r="EN34" s="506" t="str">
        <f t="shared" si="124"/>
        <v/>
      </c>
      <c r="EO34" s="506" t="str">
        <f t="shared" si="125"/>
        <v/>
      </c>
      <c r="EP34" s="506" t="str">
        <f t="shared" si="126"/>
        <v/>
      </c>
      <c r="EQ34" s="506" t="str">
        <f t="shared" si="127"/>
        <v/>
      </c>
      <c r="ER34" s="506" t="str">
        <f t="shared" si="128"/>
        <v/>
      </c>
      <c r="ES34" s="506" t="str">
        <f t="shared" si="129"/>
        <v/>
      </c>
      <c r="ET34" s="506" t="str">
        <f t="shared" si="130"/>
        <v/>
      </c>
      <c r="EU34" s="506" t="str">
        <f t="shared" si="131"/>
        <v/>
      </c>
      <c r="EV34" s="506" t="str">
        <f t="shared" si="132"/>
        <v/>
      </c>
      <c r="EW34" s="516" t="str">
        <f t="shared" si="133"/>
        <v/>
      </c>
      <c r="EX34" s="516" t="str">
        <f t="shared" si="134"/>
        <v/>
      </c>
      <c r="EY34" s="516" t="str">
        <f t="shared" si="135"/>
        <v/>
      </c>
      <c r="EZ34" s="516" t="str">
        <f t="shared" si="136"/>
        <v/>
      </c>
      <c r="FA34" s="516" t="str">
        <f t="shared" si="137"/>
        <v/>
      </c>
      <c r="FB34" s="516" t="str">
        <f t="shared" si="138"/>
        <v/>
      </c>
      <c r="FC34" s="516" t="str">
        <f t="shared" si="139"/>
        <v/>
      </c>
      <c r="FD34" s="516" t="str">
        <f t="shared" si="140"/>
        <v/>
      </c>
      <c r="FE34" s="516" t="str">
        <f t="shared" si="141"/>
        <v/>
      </c>
      <c r="FF34" s="516" t="str">
        <f t="shared" si="142"/>
        <v/>
      </c>
      <c r="FG34" s="516" t="str">
        <f t="shared" si="143"/>
        <v/>
      </c>
      <c r="FH34" s="516" t="str">
        <f t="shared" si="144"/>
        <v/>
      </c>
      <c r="FI34" s="516" t="str">
        <f t="shared" si="145"/>
        <v/>
      </c>
      <c r="FJ34" s="516" t="str">
        <f t="shared" si="146"/>
        <v/>
      </c>
      <c r="FK34" s="516" t="str">
        <f t="shared" si="147"/>
        <v/>
      </c>
      <c r="FL34" s="516" t="str">
        <f t="shared" si="148"/>
        <v/>
      </c>
      <c r="FM34" s="516" t="str">
        <f t="shared" si="149"/>
        <v/>
      </c>
      <c r="FN34" s="516" t="str">
        <f t="shared" si="150"/>
        <v/>
      </c>
      <c r="FO34" s="516" t="str">
        <f t="shared" si="151"/>
        <v/>
      </c>
      <c r="FP34" s="516" t="str">
        <f t="shared" si="152"/>
        <v/>
      </c>
      <c r="FQ34" s="516" t="str">
        <f t="shared" si="153"/>
        <v/>
      </c>
      <c r="FR34" s="516" t="str">
        <f t="shared" si="154"/>
        <v/>
      </c>
      <c r="FS34" s="516" t="str">
        <f t="shared" si="155"/>
        <v/>
      </c>
      <c r="FT34" s="516" t="str">
        <f t="shared" si="156"/>
        <v/>
      </c>
      <c r="FU34" s="516" t="str">
        <f t="shared" si="157"/>
        <v/>
      </c>
      <c r="FV34" s="516" t="str">
        <f t="shared" si="158"/>
        <v/>
      </c>
      <c r="FW34" s="516" t="str">
        <f t="shared" si="159"/>
        <v/>
      </c>
      <c r="FX34" s="516" t="str">
        <f t="shared" si="160"/>
        <v/>
      </c>
      <c r="FY34" s="516" t="str">
        <f t="shared" si="161"/>
        <v/>
      </c>
      <c r="FZ34" s="516" t="str">
        <f t="shared" si="162"/>
        <v/>
      </c>
      <c r="GA34" s="516" t="str">
        <f t="shared" si="163"/>
        <v/>
      </c>
      <c r="GB34" s="516" t="str">
        <f t="shared" si="164"/>
        <v/>
      </c>
      <c r="GC34" s="516" t="str">
        <f t="shared" si="165"/>
        <v/>
      </c>
      <c r="GD34" s="516" t="str">
        <f t="shared" si="166"/>
        <v/>
      </c>
      <c r="GE34" s="516" t="str">
        <f t="shared" si="167"/>
        <v/>
      </c>
      <c r="GF34" s="516" t="str">
        <f t="shared" si="168"/>
        <v/>
      </c>
      <c r="GG34" s="516" t="str">
        <f t="shared" si="169"/>
        <v/>
      </c>
      <c r="GH34" s="516" t="str">
        <f t="shared" si="170"/>
        <v/>
      </c>
      <c r="GI34" s="516" t="str">
        <f t="shared" si="171"/>
        <v/>
      </c>
      <c r="GJ34" s="516" t="str">
        <f t="shared" si="172"/>
        <v/>
      </c>
      <c r="GK34" s="516" t="str">
        <f t="shared" si="173"/>
        <v/>
      </c>
      <c r="GL34" s="516" t="str">
        <f t="shared" si="174"/>
        <v/>
      </c>
      <c r="GM34" s="516" t="str">
        <f t="shared" si="175"/>
        <v/>
      </c>
      <c r="GN34" s="516" t="str">
        <f t="shared" si="176"/>
        <v/>
      </c>
      <c r="GO34" s="516" t="str">
        <f t="shared" si="177"/>
        <v/>
      </c>
      <c r="GP34" s="516" t="str">
        <f t="shared" si="178"/>
        <v/>
      </c>
      <c r="GQ34" s="516" t="str">
        <f t="shared" si="179"/>
        <v/>
      </c>
      <c r="GR34" s="516" t="str">
        <f t="shared" si="180"/>
        <v/>
      </c>
      <c r="GS34" s="516" t="str">
        <f t="shared" si="181"/>
        <v/>
      </c>
      <c r="GT34" s="516" t="str">
        <f t="shared" si="182"/>
        <v/>
      </c>
      <c r="GU34" s="516" t="str">
        <f t="shared" si="183"/>
        <v/>
      </c>
      <c r="GV34" s="516" t="str">
        <f t="shared" si="184"/>
        <v/>
      </c>
      <c r="GW34" s="516" t="str">
        <f t="shared" si="185"/>
        <v/>
      </c>
      <c r="GX34" s="516" t="str">
        <f t="shared" si="186"/>
        <v/>
      </c>
      <c r="GY34" s="516" t="str">
        <f t="shared" si="187"/>
        <v/>
      </c>
      <c r="GZ34" s="516" t="str">
        <f t="shared" si="188"/>
        <v/>
      </c>
      <c r="HA34" s="516" t="str">
        <f t="shared" si="189"/>
        <v/>
      </c>
      <c r="HB34" s="516" t="str">
        <f t="shared" si="190"/>
        <v/>
      </c>
      <c r="HC34" s="516" t="str">
        <f t="shared" si="191"/>
        <v/>
      </c>
      <c r="HD34" s="516" t="str">
        <f t="shared" si="192"/>
        <v/>
      </c>
      <c r="HE34" s="516" t="str">
        <f t="shared" si="193"/>
        <v/>
      </c>
      <c r="HF34" s="516" t="str">
        <f t="shared" si="194"/>
        <v/>
      </c>
      <c r="HG34" s="516" t="str">
        <f t="shared" si="195"/>
        <v/>
      </c>
      <c r="HH34" s="516" t="str">
        <f t="shared" si="196"/>
        <v/>
      </c>
      <c r="HI34" s="516" t="str">
        <f t="shared" si="197"/>
        <v/>
      </c>
      <c r="HJ34" s="516" t="str">
        <f t="shared" si="198"/>
        <v/>
      </c>
      <c r="HK34" s="516" t="str">
        <f t="shared" si="199"/>
        <v/>
      </c>
      <c r="HL34" s="516" t="str">
        <f t="shared" si="200"/>
        <v/>
      </c>
      <c r="HM34" s="516" t="str">
        <f t="shared" si="201"/>
        <v/>
      </c>
      <c r="HN34" s="516" t="str">
        <f t="shared" si="202"/>
        <v/>
      </c>
      <c r="HO34" s="516" t="str">
        <f t="shared" si="203"/>
        <v/>
      </c>
      <c r="HP34" s="516" t="str">
        <f t="shared" si="204"/>
        <v/>
      </c>
      <c r="HQ34" s="516" t="str">
        <f t="shared" si="205"/>
        <v/>
      </c>
      <c r="HR34" s="516" t="str">
        <f t="shared" si="206"/>
        <v/>
      </c>
      <c r="HS34" s="516" t="str">
        <f t="shared" si="207"/>
        <v/>
      </c>
      <c r="HT34" s="516" t="str">
        <f t="shared" si="208"/>
        <v/>
      </c>
      <c r="HU34" s="516" t="str">
        <f t="shared" si="209"/>
        <v/>
      </c>
      <c r="HV34" s="516" t="str">
        <f t="shared" si="210"/>
        <v/>
      </c>
      <c r="HW34" s="516" t="str">
        <f t="shared" si="211"/>
        <v/>
      </c>
      <c r="HX34" s="516" t="str">
        <f t="shared" si="212"/>
        <v/>
      </c>
      <c r="HY34" s="516" t="str">
        <f t="shared" si="213"/>
        <v/>
      </c>
      <c r="HZ34" s="516" t="str">
        <f t="shared" si="214"/>
        <v/>
      </c>
      <c r="IA34" s="516" t="str">
        <f t="shared" si="215"/>
        <v/>
      </c>
      <c r="IB34" s="516" t="str">
        <f t="shared" si="216"/>
        <v/>
      </c>
      <c r="IC34" s="516" t="str">
        <f t="shared" si="217"/>
        <v/>
      </c>
      <c r="ID34" s="517" t="str">
        <f t="shared" si="218"/>
        <v/>
      </c>
      <c r="IE34" s="517" t="str">
        <f t="shared" si="219"/>
        <v/>
      </c>
      <c r="IF34" s="517" t="str">
        <f t="shared" si="220"/>
        <v/>
      </c>
      <c r="IG34" s="517" t="str">
        <f t="shared" si="221"/>
        <v/>
      </c>
      <c r="IH34" s="517" t="str">
        <f t="shared" si="222"/>
        <v/>
      </c>
      <c r="II34" s="506" t="str">
        <f t="shared" si="223"/>
        <v/>
      </c>
      <c r="IJ34" s="506" t="str">
        <f t="shared" si="224"/>
        <v/>
      </c>
      <c r="IK34" s="506" t="str">
        <f t="shared" si="225"/>
        <v/>
      </c>
      <c r="IL34" s="506" t="str">
        <f t="shared" si="226"/>
        <v/>
      </c>
      <c r="IM34" s="506" t="str">
        <f t="shared" si="227"/>
        <v/>
      </c>
      <c r="IN34" s="506" t="str">
        <f t="shared" si="228"/>
        <v/>
      </c>
      <c r="IO34" s="506" t="str">
        <f t="shared" si="229"/>
        <v/>
      </c>
      <c r="IP34" s="506" t="str">
        <f t="shared" si="230"/>
        <v/>
      </c>
      <c r="IQ34" s="506" t="str">
        <f t="shared" si="231"/>
        <v/>
      </c>
      <c r="IR34" s="506" t="str">
        <f t="shared" si="232"/>
        <v/>
      </c>
      <c r="IS34" s="506" t="str">
        <f t="shared" si="233"/>
        <v/>
      </c>
      <c r="IT34" s="506" t="str">
        <f t="shared" si="234"/>
        <v/>
      </c>
      <c r="IU34" s="506" t="str">
        <f t="shared" si="235"/>
        <v/>
      </c>
      <c r="IV34" s="506" t="str">
        <f t="shared" si="236"/>
        <v/>
      </c>
      <c r="IW34" s="506" t="str">
        <f t="shared" si="237"/>
        <v/>
      </c>
      <c r="IX34" s="506" t="str">
        <f t="shared" si="238"/>
        <v/>
      </c>
      <c r="IY34" s="506" t="str">
        <f t="shared" si="239"/>
        <v/>
      </c>
      <c r="IZ34" s="506" t="str">
        <f t="shared" si="240"/>
        <v/>
      </c>
      <c r="JA34" s="506" t="str">
        <f t="shared" si="241"/>
        <v/>
      </c>
      <c r="JB34" s="506" t="str">
        <f t="shared" si="242"/>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24" t="s">
        <v>1858</v>
      </c>
      <c r="C35" s="2525"/>
      <c r="D35" s="2526"/>
      <c r="E35" s="2527"/>
      <c r="F35" s="2527"/>
      <c r="G35" s="2527"/>
      <c r="H35" s="2527"/>
      <c r="I35" s="2527"/>
      <c r="J35" s="2528"/>
      <c r="K35" s="825">
        <f t="shared" si="1"/>
        <v>0</v>
      </c>
      <c r="L35" s="825">
        <f t="shared" si="2"/>
        <v>0</v>
      </c>
      <c r="M35" s="1301"/>
      <c r="N35" s="1301"/>
      <c r="O35" s="1301"/>
      <c r="P35" s="2529"/>
      <c r="Q35" s="2530" t="str">
        <f t="shared" si="243"/>
        <v/>
      </c>
      <c r="R35" s="2531" t="str">
        <f>IF(H35="","",IF(C35="Efficiency",Q35/($O$6*VLOOKUP(0,'DCA Underwriting Assumptions'!$J$118:$K$123,2,FALSE)),Q35/($O$6*VLOOKUP(C35,'DCA Underwriting Assumptions'!$J$118:$K$123,2,FALSE))))</f>
        <v/>
      </c>
      <c r="S35" s="2532"/>
      <c r="T35" s="2531"/>
      <c r="U35" s="2533"/>
      <c r="V35" s="2458"/>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53"/>
        <v/>
      </c>
      <c r="BV35" s="506" t="str">
        <f t="shared" si="54"/>
        <v/>
      </c>
      <c r="BW35" s="506" t="str">
        <f t="shared" si="55"/>
        <v/>
      </c>
      <c r="BX35" s="506" t="str">
        <f t="shared" si="56"/>
        <v/>
      </c>
      <c r="BY35" s="506" t="str">
        <f t="shared" si="57"/>
        <v/>
      </c>
      <c r="BZ35" s="506" t="str">
        <f t="shared" si="58"/>
        <v/>
      </c>
      <c r="CA35" s="506" t="str">
        <f t="shared" si="59"/>
        <v/>
      </c>
      <c r="CB35" s="506" t="str">
        <f t="shared" si="60"/>
        <v/>
      </c>
      <c r="CC35" s="506" t="str">
        <f t="shared" si="61"/>
        <v/>
      </c>
      <c r="CD35" s="506" t="str">
        <f t="shared" si="62"/>
        <v/>
      </c>
      <c r="CE35" s="506" t="str">
        <f t="shared" si="63"/>
        <v/>
      </c>
      <c r="CF35" s="506" t="str">
        <f t="shared" si="64"/>
        <v/>
      </c>
      <c r="CG35" s="506" t="str">
        <f t="shared" si="65"/>
        <v/>
      </c>
      <c r="CH35" s="506" t="str">
        <f t="shared" si="66"/>
        <v/>
      </c>
      <c r="CI35" s="506" t="str">
        <f t="shared" si="67"/>
        <v/>
      </c>
      <c r="CJ35" s="506" t="str">
        <f t="shared" si="68"/>
        <v/>
      </c>
      <c r="CK35" s="506" t="str">
        <f t="shared" si="69"/>
        <v/>
      </c>
      <c r="CL35" s="506" t="str">
        <f t="shared" si="70"/>
        <v/>
      </c>
      <c r="CM35" s="506" t="str">
        <f t="shared" si="71"/>
        <v/>
      </c>
      <c r="CN35" s="506" t="str">
        <f t="shared" si="72"/>
        <v/>
      </c>
      <c r="CO35" s="506" t="str">
        <f t="shared" si="73"/>
        <v/>
      </c>
      <c r="CP35" s="506" t="str">
        <f t="shared" si="74"/>
        <v/>
      </c>
      <c r="CQ35" s="506" t="str">
        <f t="shared" si="75"/>
        <v/>
      </c>
      <c r="CR35" s="506" t="str">
        <f t="shared" si="76"/>
        <v/>
      </c>
      <c r="CS35" s="506" t="str">
        <f t="shared" si="77"/>
        <v/>
      </c>
      <c r="CT35" s="506" t="str">
        <f t="shared" si="78"/>
        <v/>
      </c>
      <c r="CU35" s="506" t="str">
        <f t="shared" si="79"/>
        <v/>
      </c>
      <c r="CV35" s="506" t="str">
        <f t="shared" si="80"/>
        <v/>
      </c>
      <c r="CW35" s="506" t="str">
        <f t="shared" si="81"/>
        <v/>
      </c>
      <c r="CX35" s="506" t="str">
        <f t="shared" si="82"/>
        <v/>
      </c>
      <c r="CY35" s="506" t="str">
        <f t="shared" si="83"/>
        <v/>
      </c>
      <c r="CZ35" s="506" t="str">
        <f t="shared" si="84"/>
        <v/>
      </c>
      <c r="DA35" s="506" t="str">
        <f t="shared" si="85"/>
        <v/>
      </c>
      <c r="DB35" s="506" t="str">
        <f t="shared" si="86"/>
        <v/>
      </c>
      <c r="DC35" s="506" t="str">
        <f t="shared" si="87"/>
        <v/>
      </c>
      <c r="DD35" s="506" t="str">
        <f t="shared" si="88"/>
        <v/>
      </c>
      <c r="DE35" s="506" t="str">
        <f t="shared" si="89"/>
        <v/>
      </c>
      <c r="DF35" s="506" t="str">
        <f t="shared" si="90"/>
        <v/>
      </c>
      <c r="DG35" s="506" t="str">
        <f t="shared" si="91"/>
        <v/>
      </c>
      <c r="DH35" s="506" t="str">
        <f t="shared" si="92"/>
        <v/>
      </c>
      <c r="DI35" s="506" t="str">
        <f t="shared" si="93"/>
        <v/>
      </c>
      <c r="DJ35" s="506" t="str">
        <f t="shared" si="94"/>
        <v/>
      </c>
      <c r="DK35" s="506" t="str">
        <f t="shared" si="95"/>
        <v/>
      </c>
      <c r="DL35" s="506" t="str">
        <f t="shared" si="96"/>
        <v/>
      </c>
      <c r="DM35" s="506" t="str">
        <f t="shared" si="97"/>
        <v/>
      </c>
      <c r="DN35" s="506" t="str">
        <f t="shared" si="98"/>
        <v/>
      </c>
      <c r="DO35" s="506" t="str">
        <f t="shared" si="99"/>
        <v/>
      </c>
      <c r="DP35" s="506" t="str">
        <f t="shared" si="100"/>
        <v/>
      </c>
      <c r="DQ35" s="506" t="str">
        <f t="shared" si="101"/>
        <v/>
      </c>
      <c r="DR35" s="506" t="str">
        <f t="shared" si="102"/>
        <v/>
      </c>
      <c r="DS35" s="506" t="str">
        <f t="shared" si="103"/>
        <v/>
      </c>
      <c r="DT35" s="506" t="str">
        <f t="shared" si="104"/>
        <v/>
      </c>
      <c r="DU35" s="506" t="str">
        <f t="shared" si="105"/>
        <v/>
      </c>
      <c r="DV35" s="506" t="str">
        <f t="shared" si="106"/>
        <v/>
      </c>
      <c r="DW35" s="506" t="str">
        <f t="shared" si="107"/>
        <v/>
      </c>
      <c r="DX35" s="506" t="str">
        <f t="shared" si="108"/>
        <v/>
      </c>
      <c r="DY35" s="506" t="str">
        <f t="shared" si="109"/>
        <v/>
      </c>
      <c r="DZ35" s="506" t="str">
        <f t="shared" si="110"/>
        <v/>
      </c>
      <c r="EA35" s="506" t="str">
        <f t="shared" si="111"/>
        <v/>
      </c>
      <c r="EB35" s="506" t="str">
        <f t="shared" si="112"/>
        <v/>
      </c>
      <c r="EC35" s="506" t="str">
        <f t="shared" si="113"/>
        <v/>
      </c>
      <c r="ED35" s="506" t="str">
        <f t="shared" si="114"/>
        <v/>
      </c>
      <c r="EE35" s="506" t="str">
        <f t="shared" si="115"/>
        <v/>
      </c>
      <c r="EF35" s="506" t="str">
        <f t="shared" si="116"/>
        <v/>
      </c>
      <c r="EG35" s="506" t="str">
        <f t="shared" si="117"/>
        <v/>
      </c>
      <c r="EH35" s="506" t="str">
        <f t="shared" si="118"/>
        <v/>
      </c>
      <c r="EI35" s="506" t="str">
        <f t="shared" si="119"/>
        <v/>
      </c>
      <c r="EJ35" s="506" t="str">
        <f t="shared" si="120"/>
        <v/>
      </c>
      <c r="EK35" s="506" t="str">
        <f t="shared" si="121"/>
        <v/>
      </c>
      <c r="EL35" s="506" t="str">
        <f t="shared" si="122"/>
        <v/>
      </c>
      <c r="EM35" s="506" t="str">
        <f t="shared" si="123"/>
        <v/>
      </c>
      <c r="EN35" s="506" t="str">
        <f t="shared" si="124"/>
        <v/>
      </c>
      <c r="EO35" s="506" t="str">
        <f t="shared" si="125"/>
        <v/>
      </c>
      <c r="EP35" s="506" t="str">
        <f t="shared" si="126"/>
        <v/>
      </c>
      <c r="EQ35" s="506" t="str">
        <f t="shared" si="127"/>
        <v/>
      </c>
      <c r="ER35" s="506" t="str">
        <f t="shared" si="128"/>
        <v/>
      </c>
      <c r="ES35" s="506" t="str">
        <f t="shared" si="129"/>
        <v/>
      </c>
      <c r="ET35" s="506" t="str">
        <f t="shared" si="130"/>
        <v/>
      </c>
      <c r="EU35" s="506" t="str">
        <f t="shared" si="131"/>
        <v/>
      </c>
      <c r="EV35" s="506" t="str">
        <f t="shared" si="132"/>
        <v/>
      </c>
      <c r="EW35" s="516" t="str">
        <f t="shared" si="133"/>
        <v/>
      </c>
      <c r="EX35" s="516" t="str">
        <f t="shared" si="134"/>
        <v/>
      </c>
      <c r="EY35" s="516" t="str">
        <f t="shared" si="135"/>
        <v/>
      </c>
      <c r="EZ35" s="516" t="str">
        <f t="shared" si="136"/>
        <v/>
      </c>
      <c r="FA35" s="516" t="str">
        <f t="shared" si="137"/>
        <v/>
      </c>
      <c r="FB35" s="516" t="str">
        <f t="shared" si="138"/>
        <v/>
      </c>
      <c r="FC35" s="516" t="str">
        <f t="shared" si="139"/>
        <v/>
      </c>
      <c r="FD35" s="516" t="str">
        <f t="shared" si="140"/>
        <v/>
      </c>
      <c r="FE35" s="516" t="str">
        <f t="shared" si="141"/>
        <v/>
      </c>
      <c r="FF35" s="516" t="str">
        <f t="shared" si="142"/>
        <v/>
      </c>
      <c r="FG35" s="516" t="str">
        <f t="shared" si="143"/>
        <v/>
      </c>
      <c r="FH35" s="516" t="str">
        <f t="shared" si="144"/>
        <v/>
      </c>
      <c r="FI35" s="516" t="str">
        <f t="shared" si="145"/>
        <v/>
      </c>
      <c r="FJ35" s="516" t="str">
        <f t="shared" si="146"/>
        <v/>
      </c>
      <c r="FK35" s="516" t="str">
        <f t="shared" si="147"/>
        <v/>
      </c>
      <c r="FL35" s="516" t="str">
        <f t="shared" si="148"/>
        <v/>
      </c>
      <c r="FM35" s="516" t="str">
        <f t="shared" si="149"/>
        <v/>
      </c>
      <c r="FN35" s="516" t="str">
        <f t="shared" si="150"/>
        <v/>
      </c>
      <c r="FO35" s="516" t="str">
        <f t="shared" si="151"/>
        <v/>
      </c>
      <c r="FP35" s="516" t="str">
        <f t="shared" si="152"/>
        <v/>
      </c>
      <c r="FQ35" s="516" t="str">
        <f t="shared" si="153"/>
        <v/>
      </c>
      <c r="FR35" s="516" t="str">
        <f t="shared" si="154"/>
        <v/>
      </c>
      <c r="FS35" s="516" t="str">
        <f t="shared" si="155"/>
        <v/>
      </c>
      <c r="FT35" s="516" t="str">
        <f t="shared" si="156"/>
        <v/>
      </c>
      <c r="FU35" s="516" t="str">
        <f t="shared" si="157"/>
        <v/>
      </c>
      <c r="FV35" s="516" t="str">
        <f t="shared" si="158"/>
        <v/>
      </c>
      <c r="FW35" s="516" t="str">
        <f t="shared" si="159"/>
        <v/>
      </c>
      <c r="FX35" s="516" t="str">
        <f t="shared" si="160"/>
        <v/>
      </c>
      <c r="FY35" s="516" t="str">
        <f t="shared" si="161"/>
        <v/>
      </c>
      <c r="FZ35" s="516" t="str">
        <f t="shared" si="162"/>
        <v/>
      </c>
      <c r="GA35" s="516" t="str">
        <f t="shared" si="163"/>
        <v/>
      </c>
      <c r="GB35" s="516" t="str">
        <f t="shared" si="164"/>
        <v/>
      </c>
      <c r="GC35" s="516" t="str">
        <f t="shared" si="165"/>
        <v/>
      </c>
      <c r="GD35" s="516" t="str">
        <f t="shared" si="166"/>
        <v/>
      </c>
      <c r="GE35" s="516" t="str">
        <f t="shared" si="167"/>
        <v/>
      </c>
      <c r="GF35" s="516" t="str">
        <f t="shared" si="168"/>
        <v/>
      </c>
      <c r="GG35" s="516" t="str">
        <f t="shared" si="169"/>
        <v/>
      </c>
      <c r="GH35" s="516" t="str">
        <f t="shared" si="170"/>
        <v/>
      </c>
      <c r="GI35" s="516" t="str">
        <f t="shared" si="171"/>
        <v/>
      </c>
      <c r="GJ35" s="516" t="str">
        <f t="shared" si="172"/>
        <v/>
      </c>
      <c r="GK35" s="516" t="str">
        <f t="shared" si="173"/>
        <v/>
      </c>
      <c r="GL35" s="516" t="str">
        <f t="shared" si="174"/>
        <v/>
      </c>
      <c r="GM35" s="516" t="str">
        <f t="shared" si="175"/>
        <v/>
      </c>
      <c r="GN35" s="516" t="str">
        <f t="shared" si="176"/>
        <v/>
      </c>
      <c r="GO35" s="516" t="str">
        <f t="shared" si="177"/>
        <v/>
      </c>
      <c r="GP35" s="516" t="str">
        <f t="shared" si="178"/>
        <v/>
      </c>
      <c r="GQ35" s="516" t="str">
        <f t="shared" si="179"/>
        <v/>
      </c>
      <c r="GR35" s="516" t="str">
        <f t="shared" si="180"/>
        <v/>
      </c>
      <c r="GS35" s="516" t="str">
        <f t="shared" si="181"/>
        <v/>
      </c>
      <c r="GT35" s="516" t="str">
        <f t="shared" si="182"/>
        <v/>
      </c>
      <c r="GU35" s="516" t="str">
        <f t="shared" si="183"/>
        <v/>
      </c>
      <c r="GV35" s="516" t="str">
        <f t="shared" si="184"/>
        <v/>
      </c>
      <c r="GW35" s="516" t="str">
        <f t="shared" si="185"/>
        <v/>
      </c>
      <c r="GX35" s="516" t="str">
        <f t="shared" si="186"/>
        <v/>
      </c>
      <c r="GY35" s="516" t="str">
        <f t="shared" si="187"/>
        <v/>
      </c>
      <c r="GZ35" s="516" t="str">
        <f t="shared" si="188"/>
        <v/>
      </c>
      <c r="HA35" s="516" t="str">
        <f t="shared" si="189"/>
        <v/>
      </c>
      <c r="HB35" s="516" t="str">
        <f t="shared" si="190"/>
        <v/>
      </c>
      <c r="HC35" s="516" t="str">
        <f t="shared" si="191"/>
        <v/>
      </c>
      <c r="HD35" s="516" t="str">
        <f t="shared" si="192"/>
        <v/>
      </c>
      <c r="HE35" s="516" t="str">
        <f t="shared" si="193"/>
        <v/>
      </c>
      <c r="HF35" s="516" t="str">
        <f t="shared" si="194"/>
        <v/>
      </c>
      <c r="HG35" s="516" t="str">
        <f t="shared" si="195"/>
        <v/>
      </c>
      <c r="HH35" s="516" t="str">
        <f t="shared" si="196"/>
        <v/>
      </c>
      <c r="HI35" s="516" t="str">
        <f t="shared" si="197"/>
        <v/>
      </c>
      <c r="HJ35" s="516" t="str">
        <f t="shared" si="198"/>
        <v/>
      </c>
      <c r="HK35" s="516" t="str">
        <f t="shared" si="199"/>
        <v/>
      </c>
      <c r="HL35" s="516" t="str">
        <f t="shared" si="200"/>
        <v/>
      </c>
      <c r="HM35" s="516" t="str">
        <f t="shared" si="201"/>
        <v/>
      </c>
      <c r="HN35" s="516" t="str">
        <f t="shared" si="202"/>
        <v/>
      </c>
      <c r="HO35" s="516" t="str">
        <f t="shared" si="203"/>
        <v/>
      </c>
      <c r="HP35" s="516" t="str">
        <f t="shared" si="204"/>
        <v/>
      </c>
      <c r="HQ35" s="516" t="str">
        <f t="shared" si="205"/>
        <v/>
      </c>
      <c r="HR35" s="516" t="str">
        <f t="shared" si="206"/>
        <v/>
      </c>
      <c r="HS35" s="516" t="str">
        <f t="shared" si="207"/>
        <v/>
      </c>
      <c r="HT35" s="516" t="str">
        <f t="shared" si="208"/>
        <v/>
      </c>
      <c r="HU35" s="516" t="str">
        <f t="shared" si="209"/>
        <v/>
      </c>
      <c r="HV35" s="516" t="str">
        <f t="shared" si="210"/>
        <v/>
      </c>
      <c r="HW35" s="516" t="str">
        <f t="shared" si="211"/>
        <v/>
      </c>
      <c r="HX35" s="516" t="str">
        <f t="shared" si="212"/>
        <v/>
      </c>
      <c r="HY35" s="516" t="str">
        <f t="shared" si="213"/>
        <v/>
      </c>
      <c r="HZ35" s="516" t="str">
        <f t="shared" si="214"/>
        <v/>
      </c>
      <c r="IA35" s="516" t="str">
        <f t="shared" si="215"/>
        <v/>
      </c>
      <c r="IB35" s="516" t="str">
        <f t="shared" si="216"/>
        <v/>
      </c>
      <c r="IC35" s="516" t="str">
        <f t="shared" si="217"/>
        <v/>
      </c>
      <c r="ID35" s="517" t="str">
        <f t="shared" si="218"/>
        <v/>
      </c>
      <c r="IE35" s="517" t="str">
        <f t="shared" si="219"/>
        <v/>
      </c>
      <c r="IF35" s="517" t="str">
        <f t="shared" si="220"/>
        <v/>
      </c>
      <c r="IG35" s="517" t="str">
        <f t="shared" si="221"/>
        <v/>
      </c>
      <c r="IH35" s="517" t="str">
        <f t="shared" si="222"/>
        <v/>
      </c>
      <c r="II35" s="506" t="str">
        <f t="shared" si="223"/>
        <v/>
      </c>
      <c r="IJ35" s="506" t="str">
        <f t="shared" si="224"/>
        <v/>
      </c>
      <c r="IK35" s="506" t="str">
        <f t="shared" si="225"/>
        <v/>
      </c>
      <c r="IL35" s="506" t="str">
        <f t="shared" si="226"/>
        <v/>
      </c>
      <c r="IM35" s="506" t="str">
        <f t="shared" si="227"/>
        <v/>
      </c>
      <c r="IN35" s="506" t="str">
        <f t="shared" si="228"/>
        <v/>
      </c>
      <c r="IO35" s="506" t="str">
        <f t="shared" si="229"/>
        <v/>
      </c>
      <c r="IP35" s="506" t="str">
        <f t="shared" si="230"/>
        <v/>
      </c>
      <c r="IQ35" s="506" t="str">
        <f t="shared" si="231"/>
        <v/>
      </c>
      <c r="IR35" s="506" t="str">
        <f t="shared" si="232"/>
        <v/>
      </c>
      <c r="IS35" s="506" t="str">
        <f t="shared" si="233"/>
        <v/>
      </c>
      <c r="IT35" s="506" t="str">
        <f t="shared" si="234"/>
        <v/>
      </c>
      <c r="IU35" s="506" t="str">
        <f t="shared" si="235"/>
        <v/>
      </c>
      <c r="IV35" s="506" t="str">
        <f t="shared" si="236"/>
        <v/>
      </c>
      <c r="IW35" s="506" t="str">
        <f t="shared" si="237"/>
        <v/>
      </c>
      <c r="IX35" s="506" t="str">
        <f t="shared" si="238"/>
        <v/>
      </c>
      <c r="IY35" s="506" t="str">
        <f t="shared" si="239"/>
        <v/>
      </c>
      <c r="IZ35" s="506" t="str">
        <f t="shared" si="240"/>
        <v/>
      </c>
      <c r="JA35" s="506" t="str">
        <f t="shared" si="241"/>
        <v/>
      </c>
      <c r="JB35" s="506" t="str">
        <f t="shared" si="242"/>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24" t="s">
        <v>1858</v>
      </c>
      <c r="C36" s="2525"/>
      <c r="D36" s="2526"/>
      <c r="E36" s="2527"/>
      <c r="F36" s="2527"/>
      <c r="G36" s="2527"/>
      <c r="H36" s="2527"/>
      <c r="I36" s="2527"/>
      <c r="J36" s="2528"/>
      <c r="K36" s="825">
        <f t="shared" si="1"/>
        <v>0</v>
      </c>
      <c r="L36" s="825">
        <f t="shared" si="2"/>
        <v>0</v>
      </c>
      <c r="M36" s="1301"/>
      <c r="N36" s="1301"/>
      <c r="O36" s="1301"/>
      <c r="P36" s="2529"/>
      <c r="Q36" s="2530" t="str">
        <f t="shared" si="243"/>
        <v/>
      </c>
      <c r="R36" s="2531" t="str">
        <f>IF(H36="","",IF(C36="Efficiency",Q36/($O$6*VLOOKUP(0,'DCA Underwriting Assumptions'!$J$118:$K$123,2,FALSE)),Q36/($O$6*VLOOKUP(C36,'DCA Underwriting Assumptions'!$J$118:$K$123,2,FALSE))))</f>
        <v/>
      </c>
      <c r="S36" s="2532"/>
      <c r="T36" s="2531"/>
      <c r="U36" s="2533"/>
      <c r="V36" s="2458"/>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53"/>
        <v/>
      </c>
      <c r="BV36" s="506" t="str">
        <f t="shared" si="54"/>
        <v/>
      </c>
      <c r="BW36" s="506" t="str">
        <f t="shared" si="55"/>
        <v/>
      </c>
      <c r="BX36" s="506" t="str">
        <f t="shared" si="56"/>
        <v/>
      </c>
      <c r="BY36" s="506" t="str">
        <f t="shared" si="57"/>
        <v/>
      </c>
      <c r="BZ36" s="506" t="str">
        <f t="shared" si="58"/>
        <v/>
      </c>
      <c r="CA36" s="506" t="str">
        <f t="shared" si="59"/>
        <v/>
      </c>
      <c r="CB36" s="506" t="str">
        <f t="shared" si="60"/>
        <v/>
      </c>
      <c r="CC36" s="506" t="str">
        <f t="shared" si="61"/>
        <v/>
      </c>
      <c r="CD36" s="506" t="str">
        <f t="shared" si="62"/>
        <v/>
      </c>
      <c r="CE36" s="506" t="str">
        <f t="shared" si="63"/>
        <v/>
      </c>
      <c r="CF36" s="506" t="str">
        <f t="shared" si="64"/>
        <v/>
      </c>
      <c r="CG36" s="506" t="str">
        <f t="shared" si="65"/>
        <v/>
      </c>
      <c r="CH36" s="506" t="str">
        <f t="shared" si="66"/>
        <v/>
      </c>
      <c r="CI36" s="506" t="str">
        <f t="shared" si="67"/>
        <v/>
      </c>
      <c r="CJ36" s="506" t="str">
        <f t="shared" si="68"/>
        <v/>
      </c>
      <c r="CK36" s="506" t="str">
        <f t="shared" si="69"/>
        <v/>
      </c>
      <c r="CL36" s="506" t="str">
        <f t="shared" si="70"/>
        <v/>
      </c>
      <c r="CM36" s="506" t="str">
        <f t="shared" si="71"/>
        <v/>
      </c>
      <c r="CN36" s="506" t="str">
        <f t="shared" si="72"/>
        <v/>
      </c>
      <c r="CO36" s="506" t="str">
        <f t="shared" si="73"/>
        <v/>
      </c>
      <c r="CP36" s="506" t="str">
        <f t="shared" si="74"/>
        <v/>
      </c>
      <c r="CQ36" s="506" t="str">
        <f t="shared" si="75"/>
        <v/>
      </c>
      <c r="CR36" s="506" t="str">
        <f t="shared" si="76"/>
        <v/>
      </c>
      <c r="CS36" s="506" t="str">
        <f t="shared" si="77"/>
        <v/>
      </c>
      <c r="CT36" s="506" t="str">
        <f t="shared" si="78"/>
        <v/>
      </c>
      <c r="CU36" s="506" t="str">
        <f t="shared" si="79"/>
        <v/>
      </c>
      <c r="CV36" s="506" t="str">
        <f t="shared" si="80"/>
        <v/>
      </c>
      <c r="CW36" s="506" t="str">
        <f t="shared" si="81"/>
        <v/>
      </c>
      <c r="CX36" s="506" t="str">
        <f t="shared" si="82"/>
        <v/>
      </c>
      <c r="CY36" s="506" t="str">
        <f t="shared" si="83"/>
        <v/>
      </c>
      <c r="CZ36" s="506" t="str">
        <f t="shared" si="84"/>
        <v/>
      </c>
      <c r="DA36" s="506" t="str">
        <f t="shared" si="85"/>
        <v/>
      </c>
      <c r="DB36" s="506" t="str">
        <f t="shared" si="86"/>
        <v/>
      </c>
      <c r="DC36" s="506" t="str">
        <f t="shared" si="87"/>
        <v/>
      </c>
      <c r="DD36" s="506" t="str">
        <f t="shared" si="88"/>
        <v/>
      </c>
      <c r="DE36" s="506" t="str">
        <f t="shared" si="89"/>
        <v/>
      </c>
      <c r="DF36" s="506" t="str">
        <f t="shared" si="90"/>
        <v/>
      </c>
      <c r="DG36" s="506" t="str">
        <f t="shared" si="91"/>
        <v/>
      </c>
      <c r="DH36" s="506" t="str">
        <f t="shared" si="92"/>
        <v/>
      </c>
      <c r="DI36" s="506" t="str">
        <f t="shared" si="93"/>
        <v/>
      </c>
      <c r="DJ36" s="506" t="str">
        <f t="shared" si="94"/>
        <v/>
      </c>
      <c r="DK36" s="506" t="str">
        <f t="shared" si="95"/>
        <v/>
      </c>
      <c r="DL36" s="506" t="str">
        <f t="shared" si="96"/>
        <v/>
      </c>
      <c r="DM36" s="506" t="str">
        <f t="shared" si="97"/>
        <v/>
      </c>
      <c r="DN36" s="506" t="str">
        <f t="shared" si="98"/>
        <v/>
      </c>
      <c r="DO36" s="506" t="str">
        <f t="shared" si="99"/>
        <v/>
      </c>
      <c r="DP36" s="506" t="str">
        <f t="shared" si="100"/>
        <v/>
      </c>
      <c r="DQ36" s="506" t="str">
        <f t="shared" si="101"/>
        <v/>
      </c>
      <c r="DR36" s="506" t="str">
        <f t="shared" si="102"/>
        <v/>
      </c>
      <c r="DS36" s="506" t="str">
        <f t="shared" si="103"/>
        <v/>
      </c>
      <c r="DT36" s="506" t="str">
        <f t="shared" si="104"/>
        <v/>
      </c>
      <c r="DU36" s="506" t="str">
        <f t="shared" si="105"/>
        <v/>
      </c>
      <c r="DV36" s="506" t="str">
        <f t="shared" si="106"/>
        <v/>
      </c>
      <c r="DW36" s="506" t="str">
        <f t="shared" si="107"/>
        <v/>
      </c>
      <c r="DX36" s="506" t="str">
        <f t="shared" si="108"/>
        <v/>
      </c>
      <c r="DY36" s="506" t="str">
        <f t="shared" si="109"/>
        <v/>
      </c>
      <c r="DZ36" s="506" t="str">
        <f t="shared" si="110"/>
        <v/>
      </c>
      <c r="EA36" s="506" t="str">
        <f t="shared" si="111"/>
        <v/>
      </c>
      <c r="EB36" s="506" t="str">
        <f t="shared" si="112"/>
        <v/>
      </c>
      <c r="EC36" s="506" t="str">
        <f t="shared" si="113"/>
        <v/>
      </c>
      <c r="ED36" s="506" t="str">
        <f t="shared" si="114"/>
        <v/>
      </c>
      <c r="EE36" s="506" t="str">
        <f t="shared" si="115"/>
        <v/>
      </c>
      <c r="EF36" s="506" t="str">
        <f t="shared" si="116"/>
        <v/>
      </c>
      <c r="EG36" s="506" t="str">
        <f t="shared" si="117"/>
        <v/>
      </c>
      <c r="EH36" s="506" t="str">
        <f t="shared" si="118"/>
        <v/>
      </c>
      <c r="EI36" s="506" t="str">
        <f t="shared" si="119"/>
        <v/>
      </c>
      <c r="EJ36" s="506" t="str">
        <f t="shared" si="120"/>
        <v/>
      </c>
      <c r="EK36" s="506" t="str">
        <f t="shared" si="121"/>
        <v/>
      </c>
      <c r="EL36" s="506" t="str">
        <f t="shared" si="122"/>
        <v/>
      </c>
      <c r="EM36" s="506" t="str">
        <f t="shared" si="123"/>
        <v/>
      </c>
      <c r="EN36" s="506" t="str">
        <f t="shared" si="124"/>
        <v/>
      </c>
      <c r="EO36" s="506" t="str">
        <f t="shared" si="125"/>
        <v/>
      </c>
      <c r="EP36" s="506" t="str">
        <f t="shared" si="126"/>
        <v/>
      </c>
      <c r="EQ36" s="506" t="str">
        <f t="shared" si="127"/>
        <v/>
      </c>
      <c r="ER36" s="506" t="str">
        <f t="shared" si="128"/>
        <v/>
      </c>
      <c r="ES36" s="506" t="str">
        <f t="shared" si="129"/>
        <v/>
      </c>
      <c r="ET36" s="506" t="str">
        <f t="shared" si="130"/>
        <v/>
      </c>
      <c r="EU36" s="506" t="str">
        <f t="shared" si="131"/>
        <v/>
      </c>
      <c r="EV36" s="506" t="str">
        <f t="shared" si="132"/>
        <v/>
      </c>
      <c r="EW36" s="516" t="str">
        <f t="shared" si="133"/>
        <v/>
      </c>
      <c r="EX36" s="516" t="str">
        <f t="shared" si="134"/>
        <v/>
      </c>
      <c r="EY36" s="516" t="str">
        <f t="shared" si="135"/>
        <v/>
      </c>
      <c r="EZ36" s="516" t="str">
        <f t="shared" si="136"/>
        <v/>
      </c>
      <c r="FA36" s="516" t="str">
        <f t="shared" si="137"/>
        <v/>
      </c>
      <c r="FB36" s="516" t="str">
        <f t="shared" si="138"/>
        <v/>
      </c>
      <c r="FC36" s="516" t="str">
        <f t="shared" si="139"/>
        <v/>
      </c>
      <c r="FD36" s="516" t="str">
        <f t="shared" si="140"/>
        <v/>
      </c>
      <c r="FE36" s="516" t="str">
        <f t="shared" si="141"/>
        <v/>
      </c>
      <c r="FF36" s="516" t="str">
        <f t="shared" si="142"/>
        <v/>
      </c>
      <c r="FG36" s="516" t="str">
        <f t="shared" si="143"/>
        <v/>
      </c>
      <c r="FH36" s="516" t="str">
        <f t="shared" si="144"/>
        <v/>
      </c>
      <c r="FI36" s="516" t="str">
        <f t="shared" si="145"/>
        <v/>
      </c>
      <c r="FJ36" s="516" t="str">
        <f t="shared" si="146"/>
        <v/>
      </c>
      <c r="FK36" s="516" t="str">
        <f t="shared" si="147"/>
        <v/>
      </c>
      <c r="FL36" s="516" t="str">
        <f t="shared" si="148"/>
        <v/>
      </c>
      <c r="FM36" s="516" t="str">
        <f t="shared" si="149"/>
        <v/>
      </c>
      <c r="FN36" s="516" t="str">
        <f t="shared" si="150"/>
        <v/>
      </c>
      <c r="FO36" s="516" t="str">
        <f t="shared" si="151"/>
        <v/>
      </c>
      <c r="FP36" s="516" t="str">
        <f t="shared" si="152"/>
        <v/>
      </c>
      <c r="FQ36" s="516" t="str">
        <f t="shared" si="153"/>
        <v/>
      </c>
      <c r="FR36" s="516" t="str">
        <f t="shared" si="154"/>
        <v/>
      </c>
      <c r="FS36" s="516" t="str">
        <f t="shared" si="155"/>
        <v/>
      </c>
      <c r="FT36" s="516" t="str">
        <f t="shared" si="156"/>
        <v/>
      </c>
      <c r="FU36" s="516" t="str">
        <f t="shared" si="157"/>
        <v/>
      </c>
      <c r="FV36" s="516" t="str">
        <f t="shared" si="158"/>
        <v/>
      </c>
      <c r="FW36" s="516" t="str">
        <f t="shared" si="159"/>
        <v/>
      </c>
      <c r="FX36" s="516" t="str">
        <f t="shared" si="160"/>
        <v/>
      </c>
      <c r="FY36" s="516" t="str">
        <f t="shared" si="161"/>
        <v/>
      </c>
      <c r="FZ36" s="516" t="str">
        <f t="shared" si="162"/>
        <v/>
      </c>
      <c r="GA36" s="516" t="str">
        <f t="shared" si="163"/>
        <v/>
      </c>
      <c r="GB36" s="516" t="str">
        <f t="shared" si="164"/>
        <v/>
      </c>
      <c r="GC36" s="516" t="str">
        <f t="shared" si="165"/>
        <v/>
      </c>
      <c r="GD36" s="516" t="str">
        <f t="shared" si="166"/>
        <v/>
      </c>
      <c r="GE36" s="516" t="str">
        <f t="shared" si="167"/>
        <v/>
      </c>
      <c r="GF36" s="516" t="str">
        <f t="shared" si="168"/>
        <v/>
      </c>
      <c r="GG36" s="516" t="str">
        <f t="shared" si="169"/>
        <v/>
      </c>
      <c r="GH36" s="516" t="str">
        <f t="shared" si="170"/>
        <v/>
      </c>
      <c r="GI36" s="516" t="str">
        <f t="shared" si="171"/>
        <v/>
      </c>
      <c r="GJ36" s="516" t="str">
        <f t="shared" si="172"/>
        <v/>
      </c>
      <c r="GK36" s="516" t="str">
        <f t="shared" si="173"/>
        <v/>
      </c>
      <c r="GL36" s="516" t="str">
        <f t="shared" si="174"/>
        <v/>
      </c>
      <c r="GM36" s="516" t="str">
        <f t="shared" si="175"/>
        <v/>
      </c>
      <c r="GN36" s="516" t="str">
        <f t="shared" si="176"/>
        <v/>
      </c>
      <c r="GO36" s="516" t="str">
        <f t="shared" si="177"/>
        <v/>
      </c>
      <c r="GP36" s="516" t="str">
        <f t="shared" si="178"/>
        <v/>
      </c>
      <c r="GQ36" s="516" t="str">
        <f t="shared" si="179"/>
        <v/>
      </c>
      <c r="GR36" s="516" t="str">
        <f t="shared" si="180"/>
        <v/>
      </c>
      <c r="GS36" s="516" t="str">
        <f t="shared" si="181"/>
        <v/>
      </c>
      <c r="GT36" s="516" t="str">
        <f t="shared" si="182"/>
        <v/>
      </c>
      <c r="GU36" s="516" t="str">
        <f t="shared" si="183"/>
        <v/>
      </c>
      <c r="GV36" s="516" t="str">
        <f t="shared" si="184"/>
        <v/>
      </c>
      <c r="GW36" s="516" t="str">
        <f t="shared" si="185"/>
        <v/>
      </c>
      <c r="GX36" s="516" t="str">
        <f t="shared" si="186"/>
        <v/>
      </c>
      <c r="GY36" s="516" t="str">
        <f t="shared" si="187"/>
        <v/>
      </c>
      <c r="GZ36" s="516" t="str">
        <f t="shared" si="188"/>
        <v/>
      </c>
      <c r="HA36" s="516" t="str">
        <f t="shared" si="189"/>
        <v/>
      </c>
      <c r="HB36" s="516" t="str">
        <f t="shared" si="190"/>
        <v/>
      </c>
      <c r="HC36" s="516" t="str">
        <f t="shared" si="191"/>
        <v/>
      </c>
      <c r="HD36" s="516" t="str">
        <f t="shared" si="192"/>
        <v/>
      </c>
      <c r="HE36" s="516" t="str">
        <f t="shared" si="193"/>
        <v/>
      </c>
      <c r="HF36" s="516" t="str">
        <f t="shared" si="194"/>
        <v/>
      </c>
      <c r="HG36" s="516" t="str">
        <f t="shared" si="195"/>
        <v/>
      </c>
      <c r="HH36" s="516" t="str">
        <f t="shared" si="196"/>
        <v/>
      </c>
      <c r="HI36" s="516" t="str">
        <f t="shared" si="197"/>
        <v/>
      </c>
      <c r="HJ36" s="516" t="str">
        <f t="shared" si="198"/>
        <v/>
      </c>
      <c r="HK36" s="516" t="str">
        <f t="shared" si="199"/>
        <v/>
      </c>
      <c r="HL36" s="516" t="str">
        <f t="shared" si="200"/>
        <v/>
      </c>
      <c r="HM36" s="516" t="str">
        <f t="shared" si="201"/>
        <v/>
      </c>
      <c r="HN36" s="516" t="str">
        <f t="shared" si="202"/>
        <v/>
      </c>
      <c r="HO36" s="516" t="str">
        <f t="shared" si="203"/>
        <v/>
      </c>
      <c r="HP36" s="516" t="str">
        <f t="shared" si="204"/>
        <v/>
      </c>
      <c r="HQ36" s="516" t="str">
        <f t="shared" si="205"/>
        <v/>
      </c>
      <c r="HR36" s="516" t="str">
        <f t="shared" si="206"/>
        <v/>
      </c>
      <c r="HS36" s="516" t="str">
        <f t="shared" si="207"/>
        <v/>
      </c>
      <c r="HT36" s="516" t="str">
        <f t="shared" si="208"/>
        <v/>
      </c>
      <c r="HU36" s="516" t="str">
        <f t="shared" si="209"/>
        <v/>
      </c>
      <c r="HV36" s="516" t="str">
        <f t="shared" si="210"/>
        <v/>
      </c>
      <c r="HW36" s="516" t="str">
        <f t="shared" si="211"/>
        <v/>
      </c>
      <c r="HX36" s="516" t="str">
        <f t="shared" si="212"/>
        <v/>
      </c>
      <c r="HY36" s="516" t="str">
        <f t="shared" si="213"/>
        <v/>
      </c>
      <c r="HZ36" s="516" t="str">
        <f t="shared" si="214"/>
        <v/>
      </c>
      <c r="IA36" s="516" t="str">
        <f t="shared" si="215"/>
        <v/>
      </c>
      <c r="IB36" s="516" t="str">
        <f t="shared" si="216"/>
        <v/>
      </c>
      <c r="IC36" s="516" t="str">
        <f t="shared" si="217"/>
        <v/>
      </c>
      <c r="ID36" s="517" t="str">
        <f t="shared" si="218"/>
        <v/>
      </c>
      <c r="IE36" s="517" t="str">
        <f t="shared" si="219"/>
        <v/>
      </c>
      <c r="IF36" s="517" t="str">
        <f t="shared" si="220"/>
        <v/>
      </c>
      <c r="IG36" s="517" t="str">
        <f t="shared" si="221"/>
        <v/>
      </c>
      <c r="IH36" s="517" t="str">
        <f t="shared" si="222"/>
        <v/>
      </c>
      <c r="II36" s="506" t="str">
        <f t="shared" si="223"/>
        <v/>
      </c>
      <c r="IJ36" s="506" t="str">
        <f t="shared" si="224"/>
        <v/>
      </c>
      <c r="IK36" s="506" t="str">
        <f t="shared" si="225"/>
        <v/>
      </c>
      <c r="IL36" s="506" t="str">
        <f t="shared" si="226"/>
        <v/>
      </c>
      <c r="IM36" s="506" t="str">
        <f t="shared" si="227"/>
        <v/>
      </c>
      <c r="IN36" s="506" t="str">
        <f t="shared" si="228"/>
        <v/>
      </c>
      <c r="IO36" s="506" t="str">
        <f t="shared" si="229"/>
        <v/>
      </c>
      <c r="IP36" s="506" t="str">
        <f t="shared" si="230"/>
        <v/>
      </c>
      <c r="IQ36" s="506" t="str">
        <f t="shared" si="231"/>
        <v/>
      </c>
      <c r="IR36" s="506" t="str">
        <f t="shared" si="232"/>
        <v/>
      </c>
      <c r="IS36" s="506" t="str">
        <f t="shared" si="233"/>
        <v/>
      </c>
      <c r="IT36" s="506" t="str">
        <f t="shared" si="234"/>
        <v/>
      </c>
      <c r="IU36" s="506" t="str">
        <f t="shared" si="235"/>
        <v/>
      </c>
      <c r="IV36" s="506" t="str">
        <f t="shared" si="236"/>
        <v/>
      </c>
      <c r="IW36" s="506" t="str">
        <f t="shared" si="237"/>
        <v/>
      </c>
      <c r="IX36" s="506" t="str">
        <f t="shared" si="238"/>
        <v/>
      </c>
      <c r="IY36" s="506" t="str">
        <f t="shared" si="239"/>
        <v/>
      </c>
      <c r="IZ36" s="506" t="str">
        <f t="shared" si="240"/>
        <v/>
      </c>
      <c r="JA36" s="506" t="str">
        <f t="shared" si="241"/>
        <v/>
      </c>
      <c r="JB36" s="506" t="str">
        <f t="shared" si="242"/>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24" t="s">
        <v>1858</v>
      </c>
      <c r="C37" s="2525"/>
      <c r="D37" s="2526"/>
      <c r="E37" s="2527"/>
      <c r="F37" s="2527"/>
      <c r="G37" s="2527"/>
      <c r="H37" s="2527"/>
      <c r="I37" s="2527"/>
      <c r="J37" s="2528"/>
      <c r="K37" s="825">
        <f t="shared" si="1"/>
        <v>0</v>
      </c>
      <c r="L37" s="825">
        <f t="shared" si="2"/>
        <v>0</v>
      </c>
      <c r="M37" s="1301"/>
      <c r="N37" s="1301"/>
      <c r="O37" s="1301"/>
      <c r="P37" s="2529"/>
      <c r="Q37" s="2530" t="str">
        <f t="shared" si="243"/>
        <v/>
      </c>
      <c r="R37" s="2531" t="str">
        <f>IF(H37="","",IF(C37="Efficiency",Q37/($O$6*VLOOKUP(0,'DCA Underwriting Assumptions'!$J$118:$K$123,2,FALSE)),Q37/($O$6*VLOOKUP(C37,'DCA Underwriting Assumptions'!$J$118:$K$123,2,FALSE))))</f>
        <v/>
      </c>
      <c r="S37" s="2532"/>
      <c r="T37" s="2531"/>
      <c r="U37" s="2533"/>
      <c r="V37" s="2458"/>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53"/>
        <v/>
      </c>
      <c r="BV37" s="506" t="str">
        <f t="shared" si="54"/>
        <v/>
      </c>
      <c r="BW37" s="506" t="str">
        <f t="shared" si="55"/>
        <v/>
      </c>
      <c r="BX37" s="506" t="str">
        <f t="shared" si="56"/>
        <v/>
      </c>
      <c r="BY37" s="506" t="str">
        <f t="shared" si="57"/>
        <v/>
      </c>
      <c r="BZ37" s="506" t="str">
        <f t="shared" si="58"/>
        <v/>
      </c>
      <c r="CA37" s="506" t="str">
        <f t="shared" si="59"/>
        <v/>
      </c>
      <c r="CB37" s="506" t="str">
        <f t="shared" si="60"/>
        <v/>
      </c>
      <c r="CC37" s="506" t="str">
        <f t="shared" si="61"/>
        <v/>
      </c>
      <c r="CD37" s="506" t="str">
        <f t="shared" si="62"/>
        <v/>
      </c>
      <c r="CE37" s="506" t="str">
        <f t="shared" si="63"/>
        <v/>
      </c>
      <c r="CF37" s="506" t="str">
        <f t="shared" si="64"/>
        <v/>
      </c>
      <c r="CG37" s="506" t="str">
        <f t="shared" si="65"/>
        <v/>
      </c>
      <c r="CH37" s="506" t="str">
        <f t="shared" si="66"/>
        <v/>
      </c>
      <c r="CI37" s="506" t="str">
        <f t="shared" si="67"/>
        <v/>
      </c>
      <c r="CJ37" s="506" t="str">
        <f t="shared" si="68"/>
        <v/>
      </c>
      <c r="CK37" s="506" t="str">
        <f t="shared" si="69"/>
        <v/>
      </c>
      <c r="CL37" s="506" t="str">
        <f t="shared" si="70"/>
        <v/>
      </c>
      <c r="CM37" s="506" t="str">
        <f t="shared" si="71"/>
        <v/>
      </c>
      <c r="CN37" s="506" t="str">
        <f t="shared" si="72"/>
        <v/>
      </c>
      <c r="CO37" s="506" t="str">
        <f t="shared" si="73"/>
        <v/>
      </c>
      <c r="CP37" s="506" t="str">
        <f t="shared" si="74"/>
        <v/>
      </c>
      <c r="CQ37" s="506" t="str">
        <f t="shared" si="75"/>
        <v/>
      </c>
      <c r="CR37" s="506" t="str">
        <f t="shared" si="76"/>
        <v/>
      </c>
      <c r="CS37" s="506" t="str">
        <f t="shared" si="77"/>
        <v/>
      </c>
      <c r="CT37" s="506" t="str">
        <f t="shared" si="78"/>
        <v/>
      </c>
      <c r="CU37" s="506" t="str">
        <f t="shared" si="79"/>
        <v/>
      </c>
      <c r="CV37" s="506" t="str">
        <f t="shared" si="80"/>
        <v/>
      </c>
      <c r="CW37" s="506" t="str">
        <f t="shared" si="81"/>
        <v/>
      </c>
      <c r="CX37" s="506" t="str">
        <f t="shared" si="82"/>
        <v/>
      </c>
      <c r="CY37" s="506" t="str">
        <f t="shared" si="83"/>
        <v/>
      </c>
      <c r="CZ37" s="506" t="str">
        <f t="shared" si="84"/>
        <v/>
      </c>
      <c r="DA37" s="506" t="str">
        <f t="shared" si="85"/>
        <v/>
      </c>
      <c r="DB37" s="506" t="str">
        <f t="shared" si="86"/>
        <v/>
      </c>
      <c r="DC37" s="506" t="str">
        <f t="shared" si="87"/>
        <v/>
      </c>
      <c r="DD37" s="506" t="str">
        <f t="shared" si="88"/>
        <v/>
      </c>
      <c r="DE37" s="506" t="str">
        <f t="shared" si="89"/>
        <v/>
      </c>
      <c r="DF37" s="506" t="str">
        <f t="shared" si="90"/>
        <v/>
      </c>
      <c r="DG37" s="506" t="str">
        <f t="shared" si="91"/>
        <v/>
      </c>
      <c r="DH37" s="506" t="str">
        <f t="shared" si="92"/>
        <v/>
      </c>
      <c r="DI37" s="506" t="str">
        <f t="shared" si="93"/>
        <v/>
      </c>
      <c r="DJ37" s="506" t="str">
        <f t="shared" si="94"/>
        <v/>
      </c>
      <c r="DK37" s="506" t="str">
        <f t="shared" si="95"/>
        <v/>
      </c>
      <c r="DL37" s="506" t="str">
        <f t="shared" si="96"/>
        <v/>
      </c>
      <c r="DM37" s="506" t="str">
        <f t="shared" si="97"/>
        <v/>
      </c>
      <c r="DN37" s="506" t="str">
        <f t="shared" si="98"/>
        <v/>
      </c>
      <c r="DO37" s="506" t="str">
        <f t="shared" si="99"/>
        <v/>
      </c>
      <c r="DP37" s="506" t="str">
        <f t="shared" si="100"/>
        <v/>
      </c>
      <c r="DQ37" s="506" t="str">
        <f t="shared" si="101"/>
        <v/>
      </c>
      <c r="DR37" s="506" t="str">
        <f t="shared" si="102"/>
        <v/>
      </c>
      <c r="DS37" s="506" t="str">
        <f t="shared" si="103"/>
        <v/>
      </c>
      <c r="DT37" s="506" t="str">
        <f t="shared" si="104"/>
        <v/>
      </c>
      <c r="DU37" s="506" t="str">
        <f t="shared" si="105"/>
        <v/>
      </c>
      <c r="DV37" s="506" t="str">
        <f t="shared" si="106"/>
        <v/>
      </c>
      <c r="DW37" s="506" t="str">
        <f t="shared" si="107"/>
        <v/>
      </c>
      <c r="DX37" s="506" t="str">
        <f t="shared" si="108"/>
        <v/>
      </c>
      <c r="DY37" s="506" t="str">
        <f t="shared" si="109"/>
        <v/>
      </c>
      <c r="DZ37" s="506" t="str">
        <f t="shared" si="110"/>
        <v/>
      </c>
      <c r="EA37" s="506" t="str">
        <f t="shared" si="111"/>
        <v/>
      </c>
      <c r="EB37" s="506" t="str">
        <f t="shared" si="112"/>
        <v/>
      </c>
      <c r="EC37" s="506" t="str">
        <f t="shared" si="113"/>
        <v/>
      </c>
      <c r="ED37" s="506" t="str">
        <f t="shared" si="114"/>
        <v/>
      </c>
      <c r="EE37" s="506" t="str">
        <f t="shared" si="115"/>
        <v/>
      </c>
      <c r="EF37" s="506" t="str">
        <f t="shared" si="116"/>
        <v/>
      </c>
      <c r="EG37" s="506" t="str">
        <f t="shared" si="117"/>
        <v/>
      </c>
      <c r="EH37" s="506" t="str">
        <f t="shared" si="118"/>
        <v/>
      </c>
      <c r="EI37" s="506" t="str">
        <f t="shared" si="119"/>
        <v/>
      </c>
      <c r="EJ37" s="506" t="str">
        <f t="shared" si="120"/>
        <v/>
      </c>
      <c r="EK37" s="506" t="str">
        <f t="shared" si="121"/>
        <v/>
      </c>
      <c r="EL37" s="506" t="str">
        <f t="shared" si="122"/>
        <v/>
      </c>
      <c r="EM37" s="506" t="str">
        <f t="shared" si="123"/>
        <v/>
      </c>
      <c r="EN37" s="506" t="str">
        <f t="shared" si="124"/>
        <v/>
      </c>
      <c r="EO37" s="506" t="str">
        <f t="shared" si="125"/>
        <v/>
      </c>
      <c r="EP37" s="506" t="str">
        <f t="shared" si="126"/>
        <v/>
      </c>
      <c r="EQ37" s="506" t="str">
        <f t="shared" si="127"/>
        <v/>
      </c>
      <c r="ER37" s="506" t="str">
        <f t="shared" si="128"/>
        <v/>
      </c>
      <c r="ES37" s="506" t="str">
        <f t="shared" si="129"/>
        <v/>
      </c>
      <c r="ET37" s="506" t="str">
        <f t="shared" si="130"/>
        <v/>
      </c>
      <c r="EU37" s="506" t="str">
        <f t="shared" si="131"/>
        <v/>
      </c>
      <c r="EV37" s="506" t="str">
        <f t="shared" si="132"/>
        <v/>
      </c>
      <c r="EW37" s="516" t="str">
        <f t="shared" si="133"/>
        <v/>
      </c>
      <c r="EX37" s="516" t="str">
        <f t="shared" si="134"/>
        <v/>
      </c>
      <c r="EY37" s="516" t="str">
        <f t="shared" si="135"/>
        <v/>
      </c>
      <c r="EZ37" s="516" t="str">
        <f t="shared" si="136"/>
        <v/>
      </c>
      <c r="FA37" s="516" t="str">
        <f t="shared" si="137"/>
        <v/>
      </c>
      <c r="FB37" s="516" t="str">
        <f t="shared" si="138"/>
        <v/>
      </c>
      <c r="FC37" s="516" t="str">
        <f t="shared" si="139"/>
        <v/>
      </c>
      <c r="FD37" s="516" t="str">
        <f t="shared" si="140"/>
        <v/>
      </c>
      <c r="FE37" s="516" t="str">
        <f t="shared" si="141"/>
        <v/>
      </c>
      <c r="FF37" s="516" t="str">
        <f t="shared" si="142"/>
        <v/>
      </c>
      <c r="FG37" s="516" t="str">
        <f t="shared" si="143"/>
        <v/>
      </c>
      <c r="FH37" s="516" t="str">
        <f t="shared" si="144"/>
        <v/>
      </c>
      <c r="FI37" s="516" t="str">
        <f t="shared" si="145"/>
        <v/>
      </c>
      <c r="FJ37" s="516" t="str">
        <f t="shared" si="146"/>
        <v/>
      </c>
      <c r="FK37" s="516" t="str">
        <f t="shared" si="147"/>
        <v/>
      </c>
      <c r="FL37" s="516" t="str">
        <f t="shared" si="148"/>
        <v/>
      </c>
      <c r="FM37" s="516" t="str">
        <f t="shared" si="149"/>
        <v/>
      </c>
      <c r="FN37" s="516" t="str">
        <f t="shared" si="150"/>
        <v/>
      </c>
      <c r="FO37" s="516" t="str">
        <f t="shared" si="151"/>
        <v/>
      </c>
      <c r="FP37" s="516" t="str">
        <f t="shared" si="152"/>
        <v/>
      </c>
      <c r="FQ37" s="516" t="str">
        <f t="shared" si="153"/>
        <v/>
      </c>
      <c r="FR37" s="516" t="str">
        <f t="shared" si="154"/>
        <v/>
      </c>
      <c r="FS37" s="516" t="str">
        <f t="shared" si="155"/>
        <v/>
      </c>
      <c r="FT37" s="516" t="str">
        <f t="shared" si="156"/>
        <v/>
      </c>
      <c r="FU37" s="516" t="str">
        <f t="shared" si="157"/>
        <v/>
      </c>
      <c r="FV37" s="516" t="str">
        <f t="shared" si="158"/>
        <v/>
      </c>
      <c r="FW37" s="516" t="str">
        <f t="shared" si="159"/>
        <v/>
      </c>
      <c r="FX37" s="516" t="str">
        <f t="shared" si="160"/>
        <v/>
      </c>
      <c r="FY37" s="516" t="str">
        <f t="shared" si="161"/>
        <v/>
      </c>
      <c r="FZ37" s="516" t="str">
        <f t="shared" si="162"/>
        <v/>
      </c>
      <c r="GA37" s="516" t="str">
        <f t="shared" si="163"/>
        <v/>
      </c>
      <c r="GB37" s="516" t="str">
        <f t="shared" si="164"/>
        <v/>
      </c>
      <c r="GC37" s="516" t="str">
        <f t="shared" si="165"/>
        <v/>
      </c>
      <c r="GD37" s="516" t="str">
        <f t="shared" si="166"/>
        <v/>
      </c>
      <c r="GE37" s="516" t="str">
        <f t="shared" si="167"/>
        <v/>
      </c>
      <c r="GF37" s="516" t="str">
        <f t="shared" si="168"/>
        <v/>
      </c>
      <c r="GG37" s="516" t="str">
        <f t="shared" si="169"/>
        <v/>
      </c>
      <c r="GH37" s="516" t="str">
        <f t="shared" si="170"/>
        <v/>
      </c>
      <c r="GI37" s="516" t="str">
        <f t="shared" si="171"/>
        <v/>
      </c>
      <c r="GJ37" s="516" t="str">
        <f t="shared" si="172"/>
        <v/>
      </c>
      <c r="GK37" s="516" t="str">
        <f t="shared" si="173"/>
        <v/>
      </c>
      <c r="GL37" s="516" t="str">
        <f t="shared" si="174"/>
        <v/>
      </c>
      <c r="GM37" s="516" t="str">
        <f t="shared" si="175"/>
        <v/>
      </c>
      <c r="GN37" s="516" t="str">
        <f t="shared" si="176"/>
        <v/>
      </c>
      <c r="GO37" s="516" t="str">
        <f t="shared" si="177"/>
        <v/>
      </c>
      <c r="GP37" s="516" t="str">
        <f t="shared" si="178"/>
        <v/>
      </c>
      <c r="GQ37" s="516" t="str">
        <f t="shared" si="179"/>
        <v/>
      </c>
      <c r="GR37" s="516" t="str">
        <f t="shared" si="180"/>
        <v/>
      </c>
      <c r="GS37" s="516" t="str">
        <f t="shared" si="181"/>
        <v/>
      </c>
      <c r="GT37" s="516" t="str">
        <f t="shared" si="182"/>
        <v/>
      </c>
      <c r="GU37" s="516" t="str">
        <f t="shared" si="183"/>
        <v/>
      </c>
      <c r="GV37" s="516" t="str">
        <f t="shared" si="184"/>
        <v/>
      </c>
      <c r="GW37" s="516" t="str">
        <f t="shared" si="185"/>
        <v/>
      </c>
      <c r="GX37" s="516" t="str">
        <f t="shared" si="186"/>
        <v/>
      </c>
      <c r="GY37" s="516" t="str">
        <f t="shared" si="187"/>
        <v/>
      </c>
      <c r="GZ37" s="516" t="str">
        <f t="shared" si="188"/>
        <v/>
      </c>
      <c r="HA37" s="516" t="str">
        <f t="shared" si="189"/>
        <v/>
      </c>
      <c r="HB37" s="516" t="str">
        <f t="shared" si="190"/>
        <v/>
      </c>
      <c r="HC37" s="516" t="str">
        <f t="shared" si="191"/>
        <v/>
      </c>
      <c r="HD37" s="516" t="str">
        <f t="shared" si="192"/>
        <v/>
      </c>
      <c r="HE37" s="516" t="str">
        <f t="shared" si="193"/>
        <v/>
      </c>
      <c r="HF37" s="516" t="str">
        <f t="shared" si="194"/>
        <v/>
      </c>
      <c r="HG37" s="516" t="str">
        <f t="shared" si="195"/>
        <v/>
      </c>
      <c r="HH37" s="516" t="str">
        <f t="shared" si="196"/>
        <v/>
      </c>
      <c r="HI37" s="516" t="str">
        <f t="shared" si="197"/>
        <v/>
      </c>
      <c r="HJ37" s="516" t="str">
        <f t="shared" si="198"/>
        <v/>
      </c>
      <c r="HK37" s="516" t="str">
        <f t="shared" si="199"/>
        <v/>
      </c>
      <c r="HL37" s="516" t="str">
        <f t="shared" si="200"/>
        <v/>
      </c>
      <c r="HM37" s="516" t="str">
        <f t="shared" si="201"/>
        <v/>
      </c>
      <c r="HN37" s="516" t="str">
        <f t="shared" si="202"/>
        <v/>
      </c>
      <c r="HO37" s="516" t="str">
        <f t="shared" si="203"/>
        <v/>
      </c>
      <c r="HP37" s="516" t="str">
        <f t="shared" si="204"/>
        <v/>
      </c>
      <c r="HQ37" s="516" t="str">
        <f t="shared" si="205"/>
        <v/>
      </c>
      <c r="HR37" s="516" t="str">
        <f t="shared" si="206"/>
        <v/>
      </c>
      <c r="HS37" s="516" t="str">
        <f t="shared" si="207"/>
        <v/>
      </c>
      <c r="HT37" s="516" t="str">
        <f t="shared" si="208"/>
        <v/>
      </c>
      <c r="HU37" s="516" t="str">
        <f t="shared" si="209"/>
        <v/>
      </c>
      <c r="HV37" s="516" t="str">
        <f t="shared" si="210"/>
        <v/>
      </c>
      <c r="HW37" s="516" t="str">
        <f t="shared" si="211"/>
        <v/>
      </c>
      <c r="HX37" s="516" t="str">
        <f t="shared" si="212"/>
        <v/>
      </c>
      <c r="HY37" s="516" t="str">
        <f t="shared" si="213"/>
        <v/>
      </c>
      <c r="HZ37" s="516" t="str">
        <f t="shared" si="214"/>
        <v/>
      </c>
      <c r="IA37" s="516" t="str">
        <f t="shared" si="215"/>
        <v/>
      </c>
      <c r="IB37" s="516" t="str">
        <f t="shared" si="216"/>
        <v/>
      </c>
      <c r="IC37" s="516" t="str">
        <f t="shared" si="217"/>
        <v/>
      </c>
      <c r="ID37" s="517" t="str">
        <f t="shared" si="218"/>
        <v/>
      </c>
      <c r="IE37" s="517" t="str">
        <f t="shared" si="219"/>
        <v/>
      </c>
      <c r="IF37" s="517" t="str">
        <f t="shared" si="220"/>
        <v/>
      </c>
      <c r="IG37" s="517" t="str">
        <f t="shared" si="221"/>
        <v/>
      </c>
      <c r="IH37" s="517" t="str">
        <f t="shared" si="222"/>
        <v/>
      </c>
      <c r="II37" s="506" t="str">
        <f t="shared" si="223"/>
        <v/>
      </c>
      <c r="IJ37" s="506" t="str">
        <f t="shared" si="224"/>
        <v/>
      </c>
      <c r="IK37" s="506" t="str">
        <f t="shared" si="225"/>
        <v/>
      </c>
      <c r="IL37" s="506" t="str">
        <f t="shared" si="226"/>
        <v/>
      </c>
      <c r="IM37" s="506" t="str">
        <f t="shared" si="227"/>
        <v/>
      </c>
      <c r="IN37" s="506" t="str">
        <f t="shared" si="228"/>
        <v/>
      </c>
      <c r="IO37" s="506" t="str">
        <f t="shared" si="229"/>
        <v/>
      </c>
      <c r="IP37" s="506" t="str">
        <f t="shared" si="230"/>
        <v/>
      </c>
      <c r="IQ37" s="506" t="str">
        <f t="shared" si="231"/>
        <v/>
      </c>
      <c r="IR37" s="506" t="str">
        <f t="shared" si="232"/>
        <v/>
      </c>
      <c r="IS37" s="506" t="str">
        <f t="shared" si="233"/>
        <v/>
      </c>
      <c r="IT37" s="506" t="str">
        <f t="shared" si="234"/>
        <v/>
      </c>
      <c r="IU37" s="506" t="str">
        <f t="shared" si="235"/>
        <v/>
      </c>
      <c r="IV37" s="506" t="str">
        <f t="shared" si="236"/>
        <v/>
      </c>
      <c r="IW37" s="506" t="str">
        <f t="shared" si="237"/>
        <v/>
      </c>
      <c r="IX37" s="506" t="str">
        <f t="shared" si="238"/>
        <v/>
      </c>
      <c r="IY37" s="506" t="str">
        <f t="shared" si="239"/>
        <v/>
      </c>
      <c r="IZ37" s="506" t="str">
        <f t="shared" si="240"/>
        <v/>
      </c>
      <c r="JA37" s="506" t="str">
        <f t="shared" si="241"/>
        <v/>
      </c>
      <c r="JB37" s="506" t="str">
        <f t="shared" si="242"/>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24" t="s">
        <v>1858</v>
      </c>
      <c r="C38" s="2525"/>
      <c r="D38" s="2526"/>
      <c r="E38" s="2527"/>
      <c r="F38" s="2527"/>
      <c r="G38" s="2527"/>
      <c r="H38" s="2527"/>
      <c r="I38" s="2527"/>
      <c r="J38" s="2528"/>
      <c r="K38" s="825">
        <f t="shared" si="1"/>
        <v>0</v>
      </c>
      <c r="L38" s="825">
        <f t="shared" si="2"/>
        <v>0</v>
      </c>
      <c r="M38" s="1301"/>
      <c r="N38" s="1301"/>
      <c r="O38" s="1301"/>
      <c r="P38" s="2529"/>
      <c r="Q38" s="2530" t="str">
        <f t="shared" si="243"/>
        <v/>
      </c>
      <c r="R38" s="2531" t="str">
        <f>IF(H38="","",IF(C38="Efficiency",Q38/($O$6*VLOOKUP(0,'DCA Underwriting Assumptions'!$J$118:$K$123,2,FALSE)),Q38/($O$6*VLOOKUP(C38,'DCA Underwriting Assumptions'!$J$118:$K$123,2,FALSE))))</f>
        <v/>
      </c>
      <c r="S38" s="2532"/>
      <c r="T38" s="2531"/>
      <c r="U38" s="2533"/>
      <c r="V38" s="2458"/>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53"/>
        <v/>
      </c>
      <c r="BV38" s="506" t="str">
        <f t="shared" si="54"/>
        <v/>
      </c>
      <c r="BW38" s="506" t="str">
        <f t="shared" si="55"/>
        <v/>
      </c>
      <c r="BX38" s="506" t="str">
        <f t="shared" si="56"/>
        <v/>
      </c>
      <c r="BY38" s="506" t="str">
        <f t="shared" si="57"/>
        <v/>
      </c>
      <c r="BZ38" s="506" t="str">
        <f t="shared" si="58"/>
        <v/>
      </c>
      <c r="CA38" s="506" t="str">
        <f t="shared" si="59"/>
        <v/>
      </c>
      <c r="CB38" s="506" t="str">
        <f t="shared" si="60"/>
        <v/>
      </c>
      <c r="CC38" s="506" t="str">
        <f t="shared" si="61"/>
        <v/>
      </c>
      <c r="CD38" s="506" t="str">
        <f t="shared" si="62"/>
        <v/>
      </c>
      <c r="CE38" s="506" t="str">
        <f t="shared" si="63"/>
        <v/>
      </c>
      <c r="CF38" s="506" t="str">
        <f t="shared" si="64"/>
        <v/>
      </c>
      <c r="CG38" s="506" t="str">
        <f t="shared" si="65"/>
        <v/>
      </c>
      <c r="CH38" s="506" t="str">
        <f t="shared" si="66"/>
        <v/>
      </c>
      <c r="CI38" s="506" t="str">
        <f t="shared" si="67"/>
        <v/>
      </c>
      <c r="CJ38" s="506" t="str">
        <f t="shared" si="68"/>
        <v/>
      </c>
      <c r="CK38" s="506" t="str">
        <f t="shared" si="69"/>
        <v/>
      </c>
      <c r="CL38" s="506" t="str">
        <f t="shared" si="70"/>
        <v/>
      </c>
      <c r="CM38" s="506" t="str">
        <f t="shared" si="71"/>
        <v/>
      </c>
      <c r="CN38" s="506" t="str">
        <f t="shared" si="72"/>
        <v/>
      </c>
      <c r="CO38" s="506" t="str">
        <f t="shared" si="73"/>
        <v/>
      </c>
      <c r="CP38" s="506" t="str">
        <f t="shared" si="74"/>
        <v/>
      </c>
      <c r="CQ38" s="506" t="str">
        <f t="shared" si="75"/>
        <v/>
      </c>
      <c r="CR38" s="506" t="str">
        <f t="shared" si="76"/>
        <v/>
      </c>
      <c r="CS38" s="506" t="str">
        <f t="shared" si="77"/>
        <v/>
      </c>
      <c r="CT38" s="506" t="str">
        <f t="shared" si="78"/>
        <v/>
      </c>
      <c r="CU38" s="506" t="str">
        <f t="shared" si="79"/>
        <v/>
      </c>
      <c r="CV38" s="506" t="str">
        <f t="shared" si="80"/>
        <v/>
      </c>
      <c r="CW38" s="506" t="str">
        <f t="shared" si="81"/>
        <v/>
      </c>
      <c r="CX38" s="506" t="str">
        <f t="shared" si="82"/>
        <v/>
      </c>
      <c r="CY38" s="506" t="str">
        <f t="shared" si="83"/>
        <v/>
      </c>
      <c r="CZ38" s="506" t="str">
        <f t="shared" si="84"/>
        <v/>
      </c>
      <c r="DA38" s="506" t="str">
        <f t="shared" si="85"/>
        <v/>
      </c>
      <c r="DB38" s="506" t="str">
        <f t="shared" si="86"/>
        <v/>
      </c>
      <c r="DC38" s="506" t="str">
        <f t="shared" si="87"/>
        <v/>
      </c>
      <c r="DD38" s="506" t="str">
        <f t="shared" si="88"/>
        <v/>
      </c>
      <c r="DE38" s="506" t="str">
        <f t="shared" si="89"/>
        <v/>
      </c>
      <c r="DF38" s="506" t="str">
        <f t="shared" si="90"/>
        <v/>
      </c>
      <c r="DG38" s="506" t="str">
        <f t="shared" si="91"/>
        <v/>
      </c>
      <c r="DH38" s="506" t="str">
        <f t="shared" si="92"/>
        <v/>
      </c>
      <c r="DI38" s="506" t="str">
        <f t="shared" si="93"/>
        <v/>
      </c>
      <c r="DJ38" s="506" t="str">
        <f t="shared" si="94"/>
        <v/>
      </c>
      <c r="DK38" s="506" t="str">
        <f t="shared" si="95"/>
        <v/>
      </c>
      <c r="DL38" s="506" t="str">
        <f t="shared" si="96"/>
        <v/>
      </c>
      <c r="DM38" s="506" t="str">
        <f t="shared" si="97"/>
        <v/>
      </c>
      <c r="DN38" s="506" t="str">
        <f t="shared" si="98"/>
        <v/>
      </c>
      <c r="DO38" s="506" t="str">
        <f t="shared" si="99"/>
        <v/>
      </c>
      <c r="DP38" s="506" t="str">
        <f t="shared" si="100"/>
        <v/>
      </c>
      <c r="DQ38" s="506" t="str">
        <f t="shared" si="101"/>
        <v/>
      </c>
      <c r="DR38" s="506" t="str">
        <f t="shared" si="102"/>
        <v/>
      </c>
      <c r="DS38" s="506" t="str">
        <f t="shared" si="103"/>
        <v/>
      </c>
      <c r="DT38" s="506" t="str">
        <f t="shared" si="104"/>
        <v/>
      </c>
      <c r="DU38" s="506" t="str">
        <f t="shared" si="105"/>
        <v/>
      </c>
      <c r="DV38" s="506" t="str">
        <f t="shared" si="106"/>
        <v/>
      </c>
      <c r="DW38" s="506" t="str">
        <f t="shared" si="107"/>
        <v/>
      </c>
      <c r="DX38" s="506" t="str">
        <f t="shared" si="108"/>
        <v/>
      </c>
      <c r="DY38" s="506" t="str">
        <f t="shared" si="109"/>
        <v/>
      </c>
      <c r="DZ38" s="506" t="str">
        <f t="shared" si="110"/>
        <v/>
      </c>
      <c r="EA38" s="506" t="str">
        <f t="shared" si="111"/>
        <v/>
      </c>
      <c r="EB38" s="506" t="str">
        <f t="shared" si="112"/>
        <v/>
      </c>
      <c r="EC38" s="506" t="str">
        <f t="shared" si="113"/>
        <v/>
      </c>
      <c r="ED38" s="506" t="str">
        <f t="shared" si="114"/>
        <v/>
      </c>
      <c r="EE38" s="506" t="str">
        <f t="shared" si="115"/>
        <v/>
      </c>
      <c r="EF38" s="506" t="str">
        <f t="shared" si="116"/>
        <v/>
      </c>
      <c r="EG38" s="506" t="str">
        <f t="shared" si="117"/>
        <v/>
      </c>
      <c r="EH38" s="506" t="str">
        <f t="shared" si="118"/>
        <v/>
      </c>
      <c r="EI38" s="506" t="str">
        <f t="shared" si="119"/>
        <v/>
      </c>
      <c r="EJ38" s="506" t="str">
        <f t="shared" si="120"/>
        <v/>
      </c>
      <c r="EK38" s="506" t="str">
        <f t="shared" si="121"/>
        <v/>
      </c>
      <c r="EL38" s="506" t="str">
        <f t="shared" si="122"/>
        <v/>
      </c>
      <c r="EM38" s="506" t="str">
        <f t="shared" si="123"/>
        <v/>
      </c>
      <c r="EN38" s="506" t="str">
        <f t="shared" si="124"/>
        <v/>
      </c>
      <c r="EO38" s="506" t="str">
        <f t="shared" si="125"/>
        <v/>
      </c>
      <c r="EP38" s="506" t="str">
        <f t="shared" si="126"/>
        <v/>
      </c>
      <c r="EQ38" s="506" t="str">
        <f t="shared" si="127"/>
        <v/>
      </c>
      <c r="ER38" s="506" t="str">
        <f t="shared" si="128"/>
        <v/>
      </c>
      <c r="ES38" s="506" t="str">
        <f t="shared" si="129"/>
        <v/>
      </c>
      <c r="ET38" s="506" t="str">
        <f t="shared" si="130"/>
        <v/>
      </c>
      <c r="EU38" s="506" t="str">
        <f t="shared" si="131"/>
        <v/>
      </c>
      <c r="EV38" s="506" t="str">
        <f t="shared" si="132"/>
        <v/>
      </c>
      <c r="EW38" s="516" t="str">
        <f t="shared" si="133"/>
        <v/>
      </c>
      <c r="EX38" s="516" t="str">
        <f t="shared" si="134"/>
        <v/>
      </c>
      <c r="EY38" s="516" t="str">
        <f t="shared" si="135"/>
        <v/>
      </c>
      <c r="EZ38" s="516" t="str">
        <f t="shared" si="136"/>
        <v/>
      </c>
      <c r="FA38" s="516" t="str">
        <f t="shared" si="137"/>
        <v/>
      </c>
      <c r="FB38" s="516" t="str">
        <f t="shared" si="138"/>
        <v/>
      </c>
      <c r="FC38" s="516" t="str">
        <f t="shared" si="139"/>
        <v/>
      </c>
      <c r="FD38" s="516" t="str">
        <f t="shared" si="140"/>
        <v/>
      </c>
      <c r="FE38" s="516" t="str">
        <f t="shared" si="141"/>
        <v/>
      </c>
      <c r="FF38" s="516" t="str">
        <f t="shared" si="142"/>
        <v/>
      </c>
      <c r="FG38" s="516" t="str">
        <f t="shared" si="143"/>
        <v/>
      </c>
      <c r="FH38" s="516" t="str">
        <f t="shared" si="144"/>
        <v/>
      </c>
      <c r="FI38" s="516" t="str">
        <f t="shared" si="145"/>
        <v/>
      </c>
      <c r="FJ38" s="516" t="str">
        <f t="shared" si="146"/>
        <v/>
      </c>
      <c r="FK38" s="516" t="str">
        <f t="shared" si="147"/>
        <v/>
      </c>
      <c r="FL38" s="516" t="str">
        <f t="shared" si="148"/>
        <v/>
      </c>
      <c r="FM38" s="516" t="str">
        <f t="shared" si="149"/>
        <v/>
      </c>
      <c r="FN38" s="516" t="str">
        <f t="shared" si="150"/>
        <v/>
      </c>
      <c r="FO38" s="516" t="str">
        <f t="shared" si="151"/>
        <v/>
      </c>
      <c r="FP38" s="516" t="str">
        <f t="shared" si="152"/>
        <v/>
      </c>
      <c r="FQ38" s="516" t="str">
        <f t="shared" si="153"/>
        <v/>
      </c>
      <c r="FR38" s="516" t="str">
        <f t="shared" si="154"/>
        <v/>
      </c>
      <c r="FS38" s="516" t="str">
        <f t="shared" si="155"/>
        <v/>
      </c>
      <c r="FT38" s="516" t="str">
        <f t="shared" si="156"/>
        <v/>
      </c>
      <c r="FU38" s="516" t="str">
        <f t="shared" si="157"/>
        <v/>
      </c>
      <c r="FV38" s="516" t="str">
        <f t="shared" si="158"/>
        <v/>
      </c>
      <c r="FW38" s="516" t="str">
        <f t="shared" si="159"/>
        <v/>
      </c>
      <c r="FX38" s="516" t="str">
        <f t="shared" si="160"/>
        <v/>
      </c>
      <c r="FY38" s="516" t="str">
        <f t="shared" si="161"/>
        <v/>
      </c>
      <c r="FZ38" s="516" t="str">
        <f t="shared" si="162"/>
        <v/>
      </c>
      <c r="GA38" s="516" t="str">
        <f t="shared" si="163"/>
        <v/>
      </c>
      <c r="GB38" s="516" t="str">
        <f t="shared" si="164"/>
        <v/>
      </c>
      <c r="GC38" s="516" t="str">
        <f t="shared" si="165"/>
        <v/>
      </c>
      <c r="GD38" s="516" t="str">
        <f t="shared" si="166"/>
        <v/>
      </c>
      <c r="GE38" s="516" t="str">
        <f t="shared" si="167"/>
        <v/>
      </c>
      <c r="GF38" s="516" t="str">
        <f t="shared" si="168"/>
        <v/>
      </c>
      <c r="GG38" s="516" t="str">
        <f t="shared" si="169"/>
        <v/>
      </c>
      <c r="GH38" s="516" t="str">
        <f t="shared" si="170"/>
        <v/>
      </c>
      <c r="GI38" s="516" t="str">
        <f t="shared" si="171"/>
        <v/>
      </c>
      <c r="GJ38" s="516" t="str">
        <f t="shared" si="172"/>
        <v/>
      </c>
      <c r="GK38" s="516" t="str">
        <f t="shared" si="173"/>
        <v/>
      </c>
      <c r="GL38" s="516" t="str">
        <f t="shared" si="174"/>
        <v/>
      </c>
      <c r="GM38" s="516" t="str">
        <f t="shared" si="175"/>
        <v/>
      </c>
      <c r="GN38" s="516" t="str">
        <f t="shared" si="176"/>
        <v/>
      </c>
      <c r="GO38" s="516" t="str">
        <f t="shared" si="177"/>
        <v/>
      </c>
      <c r="GP38" s="516" t="str">
        <f t="shared" si="178"/>
        <v/>
      </c>
      <c r="GQ38" s="516" t="str">
        <f t="shared" si="179"/>
        <v/>
      </c>
      <c r="GR38" s="516" t="str">
        <f t="shared" si="180"/>
        <v/>
      </c>
      <c r="GS38" s="516" t="str">
        <f t="shared" si="181"/>
        <v/>
      </c>
      <c r="GT38" s="516" t="str">
        <f t="shared" si="182"/>
        <v/>
      </c>
      <c r="GU38" s="516" t="str">
        <f t="shared" si="183"/>
        <v/>
      </c>
      <c r="GV38" s="516" t="str">
        <f t="shared" si="184"/>
        <v/>
      </c>
      <c r="GW38" s="516" t="str">
        <f t="shared" si="185"/>
        <v/>
      </c>
      <c r="GX38" s="516" t="str">
        <f t="shared" si="186"/>
        <v/>
      </c>
      <c r="GY38" s="516" t="str">
        <f t="shared" si="187"/>
        <v/>
      </c>
      <c r="GZ38" s="516" t="str">
        <f t="shared" si="188"/>
        <v/>
      </c>
      <c r="HA38" s="516" t="str">
        <f t="shared" si="189"/>
        <v/>
      </c>
      <c r="HB38" s="516" t="str">
        <f t="shared" si="190"/>
        <v/>
      </c>
      <c r="HC38" s="516" t="str">
        <f t="shared" si="191"/>
        <v/>
      </c>
      <c r="HD38" s="516" t="str">
        <f t="shared" si="192"/>
        <v/>
      </c>
      <c r="HE38" s="516" t="str">
        <f t="shared" si="193"/>
        <v/>
      </c>
      <c r="HF38" s="516" t="str">
        <f t="shared" si="194"/>
        <v/>
      </c>
      <c r="HG38" s="516" t="str">
        <f t="shared" si="195"/>
        <v/>
      </c>
      <c r="HH38" s="516" t="str">
        <f t="shared" si="196"/>
        <v/>
      </c>
      <c r="HI38" s="516" t="str">
        <f t="shared" si="197"/>
        <v/>
      </c>
      <c r="HJ38" s="516" t="str">
        <f t="shared" si="198"/>
        <v/>
      </c>
      <c r="HK38" s="516" t="str">
        <f t="shared" si="199"/>
        <v/>
      </c>
      <c r="HL38" s="516" t="str">
        <f t="shared" si="200"/>
        <v/>
      </c>
      <c r="HM38" s="516" t="str">
        <f t="shared" si="201"/>
        <v/>
      </c>
      <c r="HN38" s="516" t="str">
        <f t="shared" si="202"/>
        <v/>
      </c>
      <c r="HO38" s="516" t="str">
        <f t="shared" si="203"/>
        <v/>
      </c>
      <c r="HP38" s="516" t="str">
        <f t="shared" si="204"/>
        <v/>
      </c>
      <c r="HQ38" s="516" t="str">
        <f t="shared" si="205"/>
        <v/>
      </c>
      <c r="HR38" s="516" t="str">
        <f t="shared" si="206"/>
        <v/>
      </c>
      <c r="HS38" s="516" t="str">
        <f t="shared" si="207"/>
        <v/>
      </c>
      <c r="HT38" s="516" t="str">
        <f t="shared" si="208"/>
        <v/>
      </c>
      <c r="HU38" s="516" t="str">
        <f t="shared" si="209"/>
        <v/>
      </c>
      <c r="HV38" s="516" t="str">
        <f t="shared" si="210"/>
        <v/>
      </c>
      <c r="HW38" s="516" t="str">
        <f t="shared" si="211"/>
        <v/>
      </c>
      <c r="HX38" s="516" t="str">
        <f t="shared" si="212"/>
        <v/>
      </c>
      <c r="HY38" s="516" t="str">
        <f t="shared" si="213"/>
        <v/>
      </c>
      <c r="HZ38" s="516" t="str">
        <f t="shared" si="214"/>
        <v/>
      </c>
      <c r="IA38" s="516" t="str">
        <f t="shared" si="215"/>
        <v/>
      </c>
      <c r="IB38" s="516" t="str">
        <f t="shared" si="216"/>
        <v/>
      </c>
      <c r="IC38" s="516" t="str">
        <f t="shared" si="217"/>
        <v/>
      </c>
      <c r="ID38" s="517" t="str">
        <f t="shared" si="218"/>
        <v/>
      </c>
      <c r="IE38" s="517" t="str">
        <f t="shared" si="219"/>
        <v/>
      </c>
      <c r="IF38" s="517" t="str">
        <f t="shared" si="220"/>
        <v/>
      </c>
      <c r="IG38" s="517" t="str">
        <f t="shared" si="221"/>
        <v/>
      </c>
      <c r="IH38" s="517" t="str">
        <f t="shared" si="222"/>
        <v/>
      </c>
      <c r="II38" s="506" t="str">
        <f t="shared" si="223"/>
        <v/>
      </c>
      <c r="IJ38" s="506" t="str">
        <f t="shared" si="224"/>
        <v/>
      </c>
      <c r="IK38" s="506" t="str">
        <f t="shared" si="225"/>
        <v/>
      </c>
      <c r="IL38" s="506" t="str">
        <f t="shared" si="226"/>
        <v/>
      </c>
      <c r="IM38" s="506" t="str">
        <f t="shared" si="227"/>
        <v/>
      </c>
      <c r="IN38" s="506" t="str">
        <f t="shared" si="228"/>
        <v/>
      </c>
      <c r="IO38" s="506" t="str">
        <f t="shared" si="229"/>
        <v/>
      </c>
      <c r="IP38" s="506" t="str">
        <f t="shared" si="230"/>
        <v/>
      </c>
      <c r="IQ38" s="506" t="str">
        <f t="shared" si="231"/>
        <v/>
      </c>
      <c r="IR38" s="506" t="str">
        <f t="shared" si="232"/>
        <v/>
      </c>
      <c r="IS38" s="506" t="str">
        <f t="shared" si="233"/>
        <v/>
      </c>
      <c r="IT38" s="506" t="str">
        <f t="shared" si="234"/>
        <v/>
      </c>
      <c r="IU38" s="506" t="str">
        <f t="shared" si="235"/>
        <v/>
      </c>
      <c r="IV38" s="506" t="str">
        <f t="shared" si="236"/>
        <v/>
      </c>
      <c r="IW38" s="506" t="str">
        <f t="shared" si="237"/>
        <v/>
      </c>
      <c r="IX38" s="506" t="str">
        <f t="shared" si="238"/>
        <v/>
      </c>
      <c r="IY38" s="506" t="str">
        <f t="shared" si="239"/>
        <v/>
      </c>
      <c r="IZ38" s="506" t="str">
        <f t="shared" si="240"/>
        <v/>
      </c>
      <c r="JA38" s="506" t="str">
        <f t="shared" si="241"/>
        <v/>
      </c>
      <c r="JB38" s="506" t="str">
        <f t="shared" si="242"/>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24" t="s">
        <v>1858</v>
      </c>
      <c r="C39" s="2525"/>
      <c r="D39" s="2526"/>
      <c r="E39" s="2527"/>
      <c r="F39" s="2527"/>
      <c r="G39" s="2527"/>
      <c r="H39" s="2527"/>
      <c r="I39" s="2527"/>
      <c r="J39" s="2528"/>
      <c r="K39" s="825">
        <f t="shared" si="1"/>
        <v>0</v>
      </c>
      <c r="L39" s="825">
        <f t="shared" si="2"/>
        <v>0</v>
      </c>
      <c r="M39" s="1301"/>
      <c r="N39" s="1301"/>
      <c r="O39" s="1301"/>
      <c r="P39" s="2529"/>
      <c r="Q39" s="2530" t="str">
        <f t="shared" si="243"/>
        <v/>
      </c>
      <c r="R39" s="2531" t="str">
        <f>IF(H39="","",IF(C39="Efficiency",Q39/($O$6*VLOOKUP(0,'DCA Underwriting Assumptions'!$J$118:$K$123,2,FALSE)),Q39/($O$6*VLOOKUP(C39,'DCA Underwriting Assumptions'!$J$118:$K$123,2,FALSE))))</f>
        <v/>
      </c>
      <c r="S39" s="2532"/>
      <c r="T39" s="2531"/>
      <c r="U39" s="2533"/>
      <c r="V39" s="2458"/>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53"/>
        <v/>
      </c>
      <c r="BV39" s="506" t="str">
        <f t="shared" si="54"/>
        <v/>
      </c>
      <c r="BW39" s="506" t="str">
        <f t="shared" si="55"/>
        <v/>
      </c>
      <c r="BX39" s="506" t="str">
        <f t="shared" si="56"/>
        <v/>
      </c>
      <c r="BY39" s="506" t="str">
        <f t="shared" si="57"/>
        <v/>
      </c>
      <c r="BZ39" s="506" t="str">
        <f t="shared" si="58"/>
        <v/>
      </c>
      <c r="CA39" s="506" t="str">
        <f t="shared" si="59"/>
        <v/>
      </c>
      <c r="CB39" s="506" t="str">
        <f t="shared" si="60"/>
        <v/>
      </c>
      <c r="CC39" s="506" t="str">
        <f t="shared" si="61"/>
        <v/>
      </c>
      <c r="CD39" s="506" t="str">
        <f t="shared" si="62"/>
        <v/>
      </c>
      <c r="CE39" s="506" t="str">
        <f t="shared" si="63"/>
        <v/>
      </c>
      <c r="CF39" s="506" t="str">
        <f t="shared" si="64"/>
        <v/>
      </c>
      <c r="CG39" s="506" t="str">
        <f t="shared" si="65"/>
        <v/>
      </c>
      <c r="CH39" s="506" t="str">
        <f t="shared" si="66"/>
        <v/>
      </c>
      <c r="CI39" s="506" t="str">
        <f t="shared" si="67"/>
        <v/>
      </c>
      <c r="CJ39" s="506" t="str">
        <f t="shared" si="68"/>
        <v/>
      </c>
      <c r="CK39" s="506" t="str">
        <f t="shared" si="69"/>
        <v/>
      </c>
      <c r="CL39" s="506" t="str">
        <f t="shared" si="70"/>
        <v/>
      </c>
      <c r="CM39" s="506" t="str">
        <f t="shared" si="71"/>
        <v/>
      </c>
      <c r="CN39" s="506" t="str">
        <f t="shared" si="72"/>
        <v/>
      </c>
      <c r="CO39" s="506" t="str">
        <f t="shared" si="73"/>
        <v/>
      </c>
      <c r="CP39" s="506" t="str">
        <f t="shared" si="74"/>
        <v/>
      </c>
      <c r="CQ39" s="506" t="str">
        <f t="shared" si="75"/>
        <v/>
      </c>
      <c r="CR39" s="506" t="str">
        <f t="shared" si="76"/>
        <v/>
      </c>
      <c r="CS39" s="506" t="str">
        <f t="shared" si="77"/>
        <v/>
      </c>
      <c r="CT39" s="506" t="str">
        <f t="shared" si="78"/>
        <v/>
      </c>
      <c r="CU39" s="506" t="str">
        <f t="shared" si="79"/>
        <v/>
      </c>
      <c r="CV39" s="506" t="str">
        <f t="shared" si="80"/>
        <v/>
      </c>
      <c r="CW39" s="506" t="str">
        <f t="shared" si="81"/>
        <v/>
      </c>
      <c r="CX39" s="506" t="str">
        <f t="shared" si="82"/>
        <v/>
      </c>
      <c r="CY39" s="506" t="str">
        <f t="shared" si="83"/>
        <v/>
      </c>
      <c r="CZ39" s="506" t="str">
        <f t="shared" si="84"/>
        <v/>
      </c>
      <c r="DA39" s="506" t="str">
        <f t="shared" si="85"/>
        <v/>
      </c>
      <c r="DB39" s="506" t="str">
        <f t="shared" si="86"/>
        <v/>
      </c>
      <c r="DC39" s="506" t="str">
        <f t="shared" si="87"/>
        <v/>
      </c>
      <c r="DD39" s="506" t="str">
        <f t="shared" si="88"/>
        <v/>
      </c>
      <c r="DE39" s="506" t="str">
        <f t="shared" si="89"/>
        <v/>
      </c>
      <c r="DF39" s="506" t="str">
        <f t="shared" si="90"/>
        <v/>
      </c>
      <c r="DG39" s="506" t="str">
        <f t="shared" si="91"/>
        <v/>
      </c>
      <c r="DH39" s="506" t="str">
        <f t="shared" si="92"/>
        <v/>
      </c>
      <c r="DI39" s="506" t="str">
        <f t="shared" si="93"/>
        <v/>
      </c>
      <c r="DJ39" s="506" t="str">
        <f t="shared" si="94"/>
        <v/>
      </c>
      <c r="DK39" s="506" t="str">
        <f t="shared" si="95"/>
        <v/>
      </c>
      <c r="DL39" s="506" t="str">
        <f t="shared" si="96"/>
        <v/>
      </c>
      <c r="DM39" s="506" t="str">
        <f t="shared" si="97"/>
        <v/>
      </c>
      <c r="DN39" s="506" t="str">
        <f t="shared" si="98"/>
        <v/>
      </c>
      <c r="DO39" s="506" t="str">
        <f t="shared" si="99"/>
        <v/>
      </c>
      <c r="DP39" s="506" t="str">
        <f t="shared" si="100"/>
        <v/>
      </c>
      <c r="DQ39" s="506" t="str">
        <f t="shared" si="101"/>
        <v/>
      </c>
      <c r="DR39" s="506" t="str">
        <f t="shared" si="102"/>
        <v/>
      </c>
      <c r="DS39" s="506" t="str">
        <f t="shared" si="103"/>
        <v/>
      </c>
      <c r="DT39" s="506" t="str">
        <f t="shared" si="104"/>
        <v/>
      </c>
      <c r="DU39" s="506" t="str">
        <f t="shared" si="105"/>
        <v/>
      </c>
      <c r="DV39" s="506" t="str">
        <f t="shared" si="106"/>
        <v/>
      </c>
      <c r="DW39" s="506" t="str">
        <f t="shared" si="107"/>
        <v/>
      </c>
      <c r="DX39" s="506" t="str">
        <f t="shared" si="108"/>
        <v/>
      </c>
      <c r="DY39" s="506" t="str">
        <f t="shared" si="109"/>
        <v/>
      </c>
      <c r="DZ39" s="506" t="str">
        <f t="shared" si="110"/>
        <v/>
      </c>
      <c r="EA39" s="506" t="str">
        <f t="shared" si="111"/>
        <v/>
      </c>
      <c r="EB39" s="506" t="str">
        <f t="shared" si="112"/>
        <v/>
      </c>
      <c r="EC39" s="506" t="str">
        <f t="shared" si="113"/>
        <v/>
      </c>
      <c r="ED39" s="506" t="str">
        <f t="shared" si="114"/>
        <v/>
      </c>
      <c r="EE39" s="506" t="str">
        <f t="shared" si="115"/>
        <v/>
      </c>
      <c r="EF39" s="506" t="str">
        <f t="shared" si="116"/>
        <v/>
      </c>
      <c r="EG39" s="506" t="str">
        <f t="shared" si="117"/>
        <v/>
      </c>
      <c r="EH39" s="506" t="str">
        <f t="shared" si="118"/>
        <v/>
      </c>
      <c r="EI39" s="506" t="str">
        <f t="shared" si="119"/>
        <v/>
      </c>
      <c r="EJ39" s="506" t="str">
        <f t="shared" si="120"/>
        <v/>
      </c>
      <c r="EK39" s="506" t="str">
        <f t="shared" si="121"/>
        <v/>
      </c>
      <c r="EL39" s="506" t="str">
        <f t="shared" si="122"/>
        <v/>
      </c>
      <c r="EM39" s="506" t="str">
        <f t="shared" si="123"/>
        <v/>
      </c>
      <c r="EN39" s="506" t="str">
        <f t="shared" si="124"/>
        <v/>
      </c>
      <c r="EO39" s="506" t="str">
        <f t="shared" si="125"/>
        <v/>
      </c>
      <c r="EP39" s="506" t="str">
        <f t="shared" si="126"/>
        <v/>
      </c>
      <c r="EQ39" s="506" t="str">
        <f t="shared" si="127"/>
        <v/>
      </c>
      <c r="ER39" s="506" t="str">
        <f t="shared" si="128"/>
        <v/>
      </c>
      <c r="ES39" s="506" t="str">
        <f t="shared" si="129"/>
        <v/>
      </c>
      <c r="ET39" s="506" t="str">
        <f t="shared" si="130"/>
        <v/>
      </c>
      <c r="EU39" s="506" t="str">
        <f t="shared" si="131"/>
        <v/>
      </c>
      <c r="EV39" s="506" t="str">
        <f t="shared" si="132"/>
        <v/>
      </c>
      <c r="EW39" s="516" t="str">
        <f t="shared" si="133"/>
        <v/>
      </c>
      <c r="EX39" s="516" t="str">
        <f t="shared" si="134"/>
        <v/>
      </c>
      <c r="EY39" s="516" t="str">
        <f t="shared" si="135"/>
        <v/>
      </c>
      <c r="EZ39" s="516" t="str">
        <f t="shared" si="136"/>
        <v/>
      </c>
      <c r="FA39" s="516" t="str">
        <f t="shared" si="137"/>
        <v/>
      </c>
      <c r="FB39" s="516" t="str">
        <f t="shared" si="138"/>
        <v/>
      </c>
      <c r="FC39" s="516" t="str">
        <f t="shared" si="139"/>
        <v/>
      </c>
      <c r="FD39" s="516" t="str">
        <f t="shared" si="140"/>
        <v/>
      </c>
      <c r="FE39" s="516" t="str">
        <f t="shared" si="141"/>
        <v/>
      </c>
      <c r="FF39" s="516" t="str">
        <f t="shared" si="142"/>
        <v/>
      </c>
      <c r="FG39" s="516" t="str">
        <f t="shared" si="143"/>
        <v/>
      </c>
      <c r="FH39" s="516" t="str">
        <f t="shared" si="144"/>
        <v/>
      </c>
      <c r="FI39" s="516" t="str">
        <f t="shared" si="145"/>
        <v/>
      </c>
      <c r="FJ39" s="516" t="str">
        <f t="shared" si="146"/>
        <v/>
      </c>
      <c r="FK39" s="516" t="str">
        <f t="shared" si="147"/>
        <v/>
      </c>
      <c r="FL39" s="516" t="str">
        <f t="shared" si="148"/>
        <v/>
      </c>
      <c r="FM39" s="516" t="str">
        <f t="shared" si="149"/>
        <v/>
      </c>
      <c r="FN39" s="516" t="str">
        <f t="shared" si="150"/>
        <v/>
      </c>
      <c r="FO39" s="516" t="str">
        <f t="shared" si="151"/>
        <v/>
      </c>
      <c r="FP39" s="516" t="str">
        <f t="shared" si="152"/>
        <v/>
      </c>
      <c r="FQ39" s="516" t="str">
        <f t="shared" si="153"/>
        <v/>
      </c>
      <c r="FR39" s="516" t="str">
        <f t="shared" si="154"/>
        <v/>
      </c>
      <c r="FS39" s="516" t="str">
        <f t="shared" si="155"/>
        <v/>
      </c>
      <c r="FT39" s="516" t="str">
        <f t="shared" si="156"/>
        <v/>
      </c>
      <c r="FU39" s="516" t="str">
        <f t="shared" si="157"/>
        <v/>
      </c>
      <c r="FV39" s="516" t="str">
        <f t="shared" si="158"/>
        <v/>
      </c>
      <c r="FW39" s="516" t="str">
        <f t="shared" si="159"/>
        <v/>
      </c>
      <c r="FX39" s="516" t="str">
        <f t="shared" si="160"/>
        <v/>
      </c>
      <c r="FY39" s="516" t="str">
        <f t="shared" si="161"/>
        <v/>
      </c>
      <c r="FZ39" s="516" t="str">
        <f t="shared" si="162"/>
        <v/>
      </c>
      <c r="GA39" s="516" t="str">
        <f t="shared" si="163"/>
        <v/>
      </c>
      <c r="GB39" s="516" t="str">
        <f t="shared" si="164"/>
        <v/>
      </c>
      <c r="GC39" s="516" t="str">
        <f t="shared" si="165"/>
        <v/>
      </c>
      <c r="GD39" s="516" t="str">
        <f t="shared" si="166"/>
        <v/>
      </c>
      <c r="GE39" s="516" t="str">
        <f t="shared" si="167"/>
        <v/>
      </c>
      <c r="GF39" s="516" t="str">
        <f t="shared" si="168"/>
        <v/>
      </c>
      <c r="GG39" s="516" t="str">
        <f t="shared" si="169"/>
        <v/>
      </c>
      <c r="GH39" s="516" t="str">
        <f t="shared" si="170"/>
        <v/>
      </c>
      <c r="GI39" s="516" t="str">
        <f t="shared" si="171"/>
        <v/>
      </c>
      <c r="GJ39" s="516" t="str">
        <f t="shared" si="172"/>
        <v/>
      </c>
      <c r="GK39" s="516" t="str">
        <f t="shared" si="173"/>
        <v/>
      </c>
      <c r="GL39" s="516" t="str">
        <f t="shared" si="174"/>
        <v/>
      </c>
      <c r="GM39" s="516" t="str">
        <f t="shared" si="175"/>
        <v/>
      </c>
      <c r="GN39" s="516" t="str">
        <f t="shared" si="176"/>
        <v/>
      </c>
      <c r="GO39" s="516" t="str">
        <f t="shared" si="177"/>
        <v/>
      </c>
      <c r="GP39" s="516" t="str">
        <f t="shared" si="178"/>
        <v/>
      </c>
      <c r="GQ39" s="516" t="str">
        <f t="shared" si="179"/>
        <v/>
      </c>
      <c r="GR39" s="516" t="str">
        <f t="shared" si="180"/>
        <v/>
      </c>
      <c r="GS39" s="516" t="str">
        <f t="shared" si="181"/>
        <v/>
      </c>
      <c r="GT39" s="516" t="str">
        <f t="shared" si="182"/>
        <v/>
      </c>
      <c r="GU39" s="516" t="str">
        <f t="shared" si="183"/>
        <v/>
      </c>
      <c r="GV39" s="516" t="str">
        <f t="shared" si="184"/>
        <v/>
      </c>
      <c r="GW39" s="516" t="str">
        <f t="shared" si="185"/>
        <v/>
      </c>
      <c r="GX39" s="516" t="str">
        <f t="shared" si="186"/>
        <v/>
      </c>
      <c r="GY39" s="516" t="str">
        <f t="shared" si="187"/>
        <v/>
      </c>
      <c r="GZ39" s="516" t="str">
        <f t="shared" si="188"/>
        <v/>
      </c>
      <c r="HA39" s="516" t="str">
        <f t="shared" si="189"/>
        <v/>
      </c>
      <c r="HB39" s="516" t="str">
        <f t="shared" si="190"/>
        <v/>
      </c>
      <c r="HC39" s="516" t="str">
        <f t="shared" si="191"/>
        <v/>
      </c>
      <c r="HD39" s="516" t="str">
        <f t="shared" si="192"/>
        <v/>
      </c>
      <c r="HE39" s="516" t="str">
        <f t="shared" si="193"/>
        <v/>
      </c>
      <c r="HF39" s="516" t="str">
        <f t="shared" si="194"/>
        <v/>
      </c>
      <c r="HG39" s="516" t="str">
        <f t="shared" si="195"/>
        <v/>
      </c>
      <c r="HH39" s="516" t="str">
        <f t="shared" si="196"/>
        <v/>
      </c>
      <c r="HI39" s="516" t="str">
        <f t="shared" si="197"/>
        <v/>
      </c>
      <c r="HJ39" s="516" t="str">
        <f t="shared" si="198"/>
        <v/>
      </c>
      <c r="HK39" s="516" t="str">
        <f t="shared" si="199"/>
        <v/>
      </c>
      <c r="HL39" s="516" t="str">
        <f t="shared" si="200"/>
        <v/>
      </c>
      <c r="HM39" s="516" t="str">
        <f t="shared" si="201"/>
        <v/>
      </c>
      <c r="HN39" s="516" t="str">
        <f t="shared" si="202"/>
        <v/>
      </c>
      <c r="HO39" s="516" t="str">
        <f t="shared" si="203"/>
        <v/>
      </c>
      <c r="HP39" s="516" t="str">
        <f t="shared" si="204"/>
        <v/>
      </c>
      <c r="HQ39" s="516" t="str">
        <f t="shared" si="205"/>
        <v/>
      </c>
      <c r="HR39" s="516" t="str">
        <f t="shared" si="206"/>
        <v/>
      </c>
      <c r="HS39" s="516" t="str">
        <f t="shared" si="207"/>
        <v/>
      </c>
      <c r="HT39" s="516" t="str">
        <f t="shared" si="208"/>
        <v/>
      </c>
      <c r="HU39" s="516" t="str">
        <f t="shared" si="209"/>
        <v/>
      </c>
      <c r="HV39" s="516" t="str">
        <f t="shared" si="210"/>
        <v/>
      </c>
      <c r="HW39" s="516" t="str">
        <f t="shared" si="211"/>
        <v/>
      </c>
      <c r="HX39" s="516" t="str">
        <f t="shared" si="212"/>
        <v/>
      </c>
      <c r="HY39" s="516" t="str">
        <f t="shared" si="213"/>
        <v/>
      </c>
      <c r="HZ39" s="516" t="str">
        <f t="shared" si="214"/>
        <v/>
      </c>
      <c r="IA39" s="516" t="str">
        <f t="shared" si="215"/>
        <v/>
      </c>
      <c r="IB39" s="516" t="str">
        <f t="shared" si="216"/>
        <v/>
      </c>
      <c r="IC39" s="516" t="str">
        <f t="shared" si="217"/>
        <v/>
      </c>
      <c r="ID39" s="517" t="str">
        <f t="shared" si="218"/>
        <v/>
      </c>
      <c r="IE39" s="517" t="str">
        <f t="shared" si="219"/>
        <v/>
      </c>
      <c r="IF39" s="517" t="str">
        <f t="shared" si="220"/>
        <v/>
      </c>
      <c r="IG39" s="517" t="str">
        <f t="shared" si="221"/>
        <v/>
      </c>
      <c r="IH39" s="517" t="str">
        <f t="shared" si="222"/>
        <v/>
      </c>
      <c r="II39" s="506" t="str">
        <f t="shared" si="223"/>
        <v/>
      </c>
      <c r="IJ39" s="506" t="str">
        <f t="shared" si="224"/>
        <v/>
      </c>
      <c r="IK39" s="506" t="str">
        <f t="shared" si="225"/>
        <v/>
      </c>
      <c r="IL39" s="506" t="str">
        <f t="shared" si="226"/>
        <v/>
      </c>
      <c r="IM39" s="506" t="str">
        <f t="shared" si="227"/>
        <v/>
      </c>
      <c r="IN39" s="506" t="str">
        <f t="shared" si="228"/>
        <v/>
      </c>
      <c r="IO39" s="506" t="str">
        <f t="shared" si="229"/>
        <v/>
      </c>
      <c r="IP39" s="506" t="str">
        <f t="shared" si="230"/>
        <v/>
      </c>
      <c r="IQ39" s="506" t="str">
        <f t="shared" si="231"/>
        <v/>
      </c>
      <c r="IR39" s="506" t="str">
        <f t="shared" si="232"/>
        <v/>
      </c>
      <c r="IS39" s="506" t="str">
        <f t="shared" si="233"/>
        <v/>
      </c>
      <c r="IT39" s="506" t="str">
        <f t="shared" si="234"/>
        <v/>
      </c>
      <c r="IU39" s="506" t="str">
        <f t="shared" si="235"/>
        <v/>
      </c>
      <c r="IV39" s="506" t="str">
        <f t="shared" si="236"/>
        <v/>
      </c>
      <c r="IW39" s="506" t="str">
        <f t="shared" si="237"/>
        <v/>
      </c>
      <c r="IX39" s="506" t="str">
        <f t="shared" si="238"/>
        <v/>
      </c>
      <c r="IY39" s="506" t="str">
        <f t="shared" si="239"/>
        <v/>
      </c>
      <c r="IZ39" s="506" t="str">
        <f t="shared" si="240"/>
        <v/>
      </c>
      <c r="JA39" s="506" t="str">
        <f t="shared" si="241"/>
        <v/>
      </c>
      <c r="JB39" s="506" t="str">
        <f t="shared" si="242"/>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24" t="s">
        <v>1858</v>
      </c>
      <c r="C40" s="2525"/>
      <c r="D40" s="2526"/>
      <c r="E40" s="2527"/>
      <c r="F40" s="2527"/>
      <c r="G40" s="2527"/>
      <c r="H40" s="2527"/>
      <c r="I40" s="2527"/>
      <c r="J40" s="2528"/>
      <c r="K40" s="825">
        <f t="shared" si="1"/>
        <v>0</v>
      </c>
      <c r="L40" s="825">
        <f t="shared" si="2"/>
        <v>0</v>
      </c>
      <c r="M40" s="1301"/>
      <c r="N40" s="1301"/>
      <c r="O40" s="1301"/>
      <c r="P40" s="2529"/>
      <c r="Q40" s="2530" t="str">
        <f t="shared" si="243"/>
        <v/>
      </c>
      <c r="R40" s="2531" t="str">
        <f>IF(H40="","",IF(C40="Efficiency",Q40/($O$6*VLOOKUP(0,'DCA Underwriting Assumptions'!$J$118:$K$123,2,FALSE)),Q40/($O$6*VLOOKUP(C40,'DCA Underwriting Assumptions'!$J$118:$K$123,2,FALSE))))</f>
        <v/>
      </c>
      <c r="S40" s="2532"/>
      <c r="T40" s="2531"/>
      <c r="U40" s="2533"/>
      <c r="V40" s="2458"/>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53"/>
        <v/>
      </c>
      <c r="BV40" s="506" t="str">
        <f t="shared" si="54"/>
        <v/>
      </c>
      <c r="BW40" s="506" t="str">
        <f t="shared" si="55"/>
        <v/>
      </c>
      <c r="BX40" s="506" t="str">
        <f t="shared" si="56"/>
        <v/>
      </c>
      <c r="BY40" s="506" t="str">
        <f t="shared" si="57"/>
        <v/>
      </c>
      <c r="BZ40" s="506" t="str">
        <f t="shared" si="58"/>
        <v/>
      </c>
      <c r="CA40" s="506" t="str">
        <f t="shared" si="59"/>
        <v/>
      </c>
      <c r="CB40" s="506" t="str">
        <f t="shared" si="60"/>
        <v/>
      </c>
      <c r="CC40" s="506" t="str">
        <f t="shared" si="61"/>
        <v/>
      </c>
      <c r="CD40" s="506" t="str">
        <f t="shared" si="62"/>
        <v/>
      </c>
      <c r="CE40" s="506" t="str">
        <f t="shared" si="63"/>
        <v/>
      </c>
      <c r="CF40" s="506" t="str">
        <f t="shared" si="64"/>
        <v/>
      </c>
      <c r="CG40" s="506" t="str">
        <f t="shared" si="65"/>
        <v/>
      </c>
      <c r="CH40" s="506" t="str">
        <f t="shared" si="66"/>
        <v/>
      </c>
      <c r="CI40" s="506" t="str">
        <f t="shared" si="67"/>
        <v/>
      </c>
      <c r="CJ40" s="506" t="str">
        <f t="shared" si="68"/>
        <v/>
      </c>
      <c r="CK40" s="506" t="str">
        <f t="shared" si="69"/>
        <v/>
      </c>
      <c r="CL40" s="506" t="str">
        <f t="shared" si="70"/>
        <v/>
      </c>
      <c r="CM40" s="506" t="str">
        <f t="shared" si="71"/>
        <v/>
      </c>
      <c r="CN40" s="506" t="str">
        <f t="shared" si="72"/>
        <v/>
      </c>
      <c r="CO40" s="506" t="str">
        <f t="shared" si="73"/>
        <v/>
      </c>
      <c r="CP40" s="506" t="str">
        <f t="shared" si="74"/>
        <v/>
      </c>
      <c r="CQ40" s="506" t="str">
        <f t="shared" si="75"/>
        <v/>
      </c>
      <c r="CR40" s="506" t="str">
        <f t="shared" si="76"/>
        <v/>
      </c>
      <c r="CS40" s="506" t="str">
        <f t="shared" si="77"/>
        <v/>
      </c>
      <c r="CT40" s="506" t="str">
        <f t="shared" si="78"/>
        <v/>
      </c>
      <c r="CU40" s="506" t="str">
        <f t="shared" si="79"/>
        <v/>
      </c>
      <c r="CV40" s="506" t="str">
        <f t="shared" si="80"/>
        <v/>
      </c>
      <c r="CW40" s="506" t="str">
        <f t="shared" si="81"/>
        <v/>
      </c>
      <c r="CX40" s="506" t="str">
        <f t="shared" si="82"/>
        <v/>
      </c>
      <c r="CY40" s="506" t="str">
        <f t="shared" si="83"/>
        <v/>
      </c>
      <c r="CZ40" s="506" t="str">
        <f t="shared" si="84"/>
        <v/>
      </c>
      <c r="DA40" s="506" t="str">
        <f t="shared" si="85"/>
        <v/>
      </c>
      <c r="DB40" s="506" t="str">
        <f t="shared" si="86"/>
        <v/>
      </c>
      <c r="DC40" s="506" t="str">
        <f t="shared" si="87"/>
        <v/>
      </c>
      <c r="DD40" s="506" t="str">
        <f t="shared" si="88"/>
        <v/>
      </c>
      <c r="DE40" s="506" t="str">
        <f t="shared" si="89"/>
        <v/>
      </c>
      <c r="DF40" s="506" t="str">
        <f t="shared" si="90"/>
        <v/>
      </c>
      <c r="DG40" s="506" t="str">
        <f t="shared" si="91"/>
        <v/>
      </c>
      <c r="DH40" s="506" t="str">
        <f t="shared" si="92"/>
        <v/>
      </c>
      <c r="DI40" s="506" t="str">
        <f t="shared" si="93"/>
        <v/>
      </c>
      <c r="DJ40" s="506" t="str">
        <f t="shared" si="94"/>
        <v/>
      </c>
      <c r="DK40" s="506" t="str">
        <f t="shared" si="95"/>
        <v/>
      </c>
      <c r="DL40" s="506" t="str">
        <f t="shared" si="96"/>
        <v/>
      </c>
      <c r="DM40" s="506" t="str">
        <f t="shared" si="97"/>
        <v/>
      </c>
      <c r="DN40" s="506" t="str">
        <f t="shared" si="98"/>
        <v/>
      </c>
      <c r="DO40" s="506" t="str">
        <f t="shared" si="99"/>
        <v/>
      </c>
      <c r="DP40" s="506" t="str">
        <f t="shared" si="100"/>
        <v/>
      </c>
      <c r="DQ40" s="506" t="str">
        <f t="shared" si="101"/>
        <v/>
      </c>
      <c r="DR40" s="506" t="str">
        <f t="shared" si="102"/>
        <v/>
      </c>
      <c r="DS40" s="506" t="str">
        <f t="shared" si="103"/>
        <v/>
      </c>
      <c r="DT40" s="506" t="str">
        <f t="shared" si="104"/>
        <v/>
      </c>
      <c r="DU40" s="506" t="str">
        <f t="shared" si="105"/>
        <v/>
      </c>
      <c r="DV40" s="506" t="str">
        <f t="shared" si="106"/>
        <v/>
      </c>
      <c r="DW40" s="506" t="str">
        <f t="shared" si="107"/>
        <v/>
      </c>
      <c r="DX40" s="506" t="str">
        <f t="shared" si="108"/>
        <v/>
      </c>
      <c r="DY40" s="506" t="str">
        <f t="shared" si="109"/>
        <v/>
      </c>
      <c r="DZ40" s="506" t="str">
        <f t="shared" si="110"/>
        <v/>
      </c>
      <c r="EA40" s="506" t="str">
        <f t="shared" si="111"/>
        <v/>
      </c>
      <c r="EB40" s="506" t="str">
        <f t="shared" si="112"/>
        <v/>
      </c>
      <c r="EC40" s="506" t="str">
        <f t="shared" si="113"/>
        <v/>
      </c>
      <c r="ED40" s="506" t="str">
        <f t="shared" si="114"/>
        <v/>
      </c>
      <c r="EE40" s="506" t="str">
        <f t="shared" si="115"/>
        <v/>
      </c>
      <c r="EF40" s="506" t="str">
        <f t="shared" si="116"/>
        <v/>
      </c>
      <c r="EG40" s="506" t="str">
        <f t="shared" si="117"/>
        <v/>
      </c>
      <c r="EH40" s="506" t="str">
        <f t="shared" si="118"/>
        <v/>
      </c>
      <c r="EI40" s="506" t="str">
        <f t="shared" si="119"/>
        <v/>
      </c>
      <c r="EJ40" s="506" t="str">
        <f t="shared" si="120"/>
        <v/>
      </c>
      <c r="EK40" s="506" t="str">
        <f t="shared" si="121"/>
        <v/>
      </c>
      <c r="EL40" s="506" t="str">
        <f t="shared" si="122"/>
        <v/>
      </c>
      <c r="EM40" s="506" t="str">
        <f t="shared" si="123"/>
        <v/>
      </c>
      <c r="EN40" s="506" t="str">
        <f t="shared" si="124"/>
        <v/>
      </c>
      <c r="EO40" s="506" t="str">
        <f t="shared" si="125"/>
        <v/>
      </c>
      <c r="EP40" s="506" t="str">
        <f t="shared" si="126"/>
        <v/>
      </c>
      <c r="EQ40" s="506" t="str">
        <f t="shared" si="127"/>
        <v/>
      </c>
      <c r="ER40" s="506" t="str">
        <f t="shared" si="128"/>
        <v/>
      </c>
      <c r="ES40" s="506" t="str">
        <f t="shared" si="129"/>
        <v/>
      </c>
      <c r="ET40" s="506" t="str">
        <f t="shared" si="130"/>
        <v/>
      </c>
      <c r="EU40" s="506" t="str">
        <f t="shared" si="131"/>
        <v/>
      </c>
      <c r="EV40" s="506" t="str">
        <f t="shared" si="132"/>
        <v/>
      </c>
      <c r="EW40" s="516" t="str">
        <f t="shared" si="133"/>
        <v/>
      </c>
      <c r="EX40" s="516" t="str">
        <f t="shared" si="134"/>
        <v/>
      </c>
      <c r="EY40" s="516" t="str">
        <f t="shared" si="135"/>
        <v/>
      </c>
      <c r="EZ40" s="516" t="str">
        <f t="shared" si="136"/>
        <v/>
      </c>
      <c r="FA40" s="516" t="str">
        <f t="shared" si="137"/>
        <v/>
      </c>
      <c r="FB40" s="516" t="str">
        <f t="shared" si="138"/>
        <v/>
      </c>
      <c r="FC40" s="516" t="str">
        <f t="shared" si="139"/>
        <v/>
      </c>
      <c r="FD40" s="516" t="str">
        <f t="shared" si="140"/>
        <v/>
      </c>
      <c r="FE40" s="516" t="str">
        <f t="shared" si="141"/>
        <v/>
      </c>
      <c r="FF40" s="516" t="str">
        <f t="shared" si="142"/>
        <v/>
      </c>
      <c r="FG40" s="516" t="str">
        <f t="shared" si="143"/>
        <v/>
      </c>
      <c r="FH40" s="516" t="str">
        <f t="shared" si="144"/>
        <v/>
      </c>
      <c r="FI40" s="516" t="str">
        <f t="shared" si="145"/>
        <v/>
      </c>
      <c r="FJ40" s="516" t="str">
        <f t="shared" si="146"/>
        <v/>
      </c>
      <c r="FK40" s="516" t="str">
        <f t="shared" si="147"/>
        <v/>
      </c>
      <c r="FL40" s="516" t="str">
        <f t="shared" si="148"/>
        <v/>
      </c>
      <c r="FM40" s="516" t="str">
        <f t="shared" si="149"/>
        <v/>
      </c>
      <c r="FN40" s="516" t="str">
        <f t="shared" si="150"/>
        <v/>
      </c>
      <c r="FO40" s="516" t="str">
        <f t="shared" si="151"/>
        <v/>
      </c>
      <c r="FP40" s="516" t="str">
        <f t="shared" si="152"/>
        <v/>
      </c>
      <c r="FQ40" s="516" t="str">
        <f t="shared" si="153"/>
        <v/>
      </c>
      <c r="FR40" s="516" t="str">
        <f t="shared" si="154"/>
        <v/>
      </c>
      <c r="FS40" s="516" t="str">
        <f t="shared" si="155"/>
        <v/>
      </c>
      <c r="FT40" s="516" t="str">
        <f t="shared" si="156"/>
        <v/>
      </c>
      <c r="FU40" s="516" t="str">
        <f t="shared" si="157"/>
        <v/>
      </c>
      <c r="FV40" s="516" t="str">
        <f t="shared" si="158"/>
        <v/>
      </c>
      <c r="FW40" s="516" t="str">
        <f t="shared" si="159"/>
        <v/>
      </c>
      <c r="FX40" s="516" t="str">
        <f t="shared" si="160"/>
        <v/>
      </c>
      <c r="FY40" s="516" t="str">
        <f t="shared" si="161"/>
        <v/>
      </c>
      <c r="FZ40" s="516" t="str">
        <f t="shared" si="162"/>
        <v/>
      </c>
      <c r="GA40" s="516" t="str">
        <f t="shared" si="163"/>
        <v/>
      </c>
      <c r="GB40" s="516" t="str">
        <f t="shared" si="164"/>
        <v/>
      </c>
      <c r="GC40" s="516" t="str">
        <f t="shared" si="165"/>
        <v/>
      </c>
      <c r="GD40" s="516" t="str">
        <f t="shared" si="166"/>
        <v/>
      </c>
      <c r="GE40" s="516" t="str">
        <f t="shared" si="167"/>
        <v/>
      </c>
      <c r="GF40" s="516" t="str">
        <f t="shared" si="168"/>
        <v/>
      </c>
      <c r="GG40" s="516" t="str">
        <f t="shared" si="169"/>
        <v/>
      </c>
      <c r="GH40" s="516" t="str">
        <f t="shared" si="170"/>
        <v/>
      </c>
      <c r="GI40" s="516" t="str">
        <f t="shared" si="171"/>
        <v/>
      </c>
      <c r="GJ40" s="516" t="str">
        <f t="shared" si="172"/>
        <v/>
      </c>
      <c r="GK40" s="516" t="str">
        <f t="shared" si="173"/>
        <v/>
      </c>
      <c r="GL40" s="516" t="str">
        <f t="shared" si="174"/>
        <v/>
      </c>
      <c r="GM40" s="516" t="str">
        <f t="shared" si="175"/>
        <v/>
      </c>
      <c r="GN40" s="516" t="str">
        <f t="shared" si="176"/>
        <v/>
      </c>
      <c r="GO40" s="516" t="str">
        <f t="shared" si="177"/>
        <v/>
      </c>
      <c r="GP40" s="516" t="str">
        <f t="shared" si="178"/>
        <v/>
      </c>
      <c r="GQ40" s="516" t="str">
        <f t="shared" si="179"/>
        <v/>
      </c>
      <c r="GR40" s="516" t="str">
        <f t="shared" si="180"/>
        <v/>
      </c>
      <c r="GS40" s="516" t="str">
        <f t="shared" si="181"/>
        <v/>
      </c>
      <c r="GT40" s="516" t="str">
        <f t="shared" si="182"/>
        <v/>
      </c>
      <c r="GU40" s="516" t="str">
        <f t="shared" si="183"/>
        <v/>
      </c>
      <c r="GV40" s="516" t="str">
        <f t="shared" si="184"/>
        <v/>
      </c>
      <c r="GW40" s="516" t="str">
        <f t="shared" si="185"/>
        <v/>
      </c>
      <c r="GX40" s="516" t="str">
        <f t="shared" si="186"/>
        <v/>
      </c>
      <c r="GY40" s="516" t="str">
        <f t="shared" si="187"/>
        <v/>
      </c>
      <c r="GZ40" s="516" t="str">
        <f t="shared" si="188"/>
        <v/>
      </c>
      <c r="HA40" s="516" t="str">
        <f t="shared" si="189"/>
        <v/>
      </c>
      <c r="HB40" s="516" t="str">
        <f t="shared" si="190"/>
        <v/>
      </c>
      <c r="HC40" s="516" t="str">
        <f t="shared" si="191"/>
        <v/>
      </c>
      <c r="HD40" s="516" t="str">
        <f t="shared" si="192"/>
        <v/>
      </c>
      <c r="HE40" s="516" t="str">
        <f t="shared" si="193"/>
        <v/>
      </c>
      <c r="HF40" s="516" t="str">
        <f t="shared" si="194"/>
        <v/>
      </c>
      <c r="HG40" s="516" t="str">
        <f t="shared" si="195"/>
        <v/>
      </c>
      <c r="HH40" s="516" t="str">
        <f t="shared" si="196"/>
        <v/>
      </c>
      <c r="HI40" s="516" t="str">
        <f t="shared" si="197"/>
        <v/>
      </c>
      <c r="HJ40" s="516" t="str">
        <f t="shared" si="198"/>
        <v/>
      </c>
      <c r="HK40" s="516" t="str">
        <f t="shared" si="199"/>
        <v/>
      </c>
      <c r="HL40" s="516" t="str">
        <f t="shared" si="200"/>
        <v/>
      </c>
      <c r="HM40" s="516" t="str">
        <f t="shared" si="201"/>
        <v/>
      </c>
      <c r="HN40" s="516" t="str">
        <f t="shared" si="202"/>
        <v/>
      </c>
      <c r="HO40" s="516" t="str">
        <f t="shared" si="203"/>
        <v/>
      </c>
      <c r="HP40" s="516" t="str">
        <f t="shared" si="204"/>
        <v/>
      </c>
      <c r="HQ40" s="516" t="str">
        <f t="shared" si="205"/>
        <v/>
      </c>
      <c r="HR40" s="516" t="str">
        <f t="shared" si="206"/>
        <v/>
      </c>
      <c r="HS40" s="516" t="str">
        <f t="shared" si="207"/>
        <v/>
      </c>
      <c r="HT40" s="516" t="str">
        <f t="shared" si="208"/>
        <v/>
      </c>
      <c r="HU40" s="516" t="str">
        <f t="shared" si="209"/>
        <v/>
      </c>
      <c r="HV40" s="516" t="str">
        <f t="shared" si="210"/>
        <v/>
      </c>
      <c r="HW40" s="516" t="str">
        <f t="shared" si="211"/>
        <v/>
      </c>
      <c r="HX40" s="516" t="str">
        <f t="shared" si="212"/>
        <v/>
      </c>
      <c r="HY40" s="516" t="str">
        <f t="shared" si="213"/>
        <v/>
      </c>
      <c r="HZ40" s="516" t="str">
        <f t="shared" si="214"/>
        <v/>
      </c>
      <c r="IA40" s="516" t="str">
        <f t="shared" si="215"/>
        <v/>
      </c>
      <c r="IB40" s="516" t="str">
        <f t="shared" si="216"/>
        <v/>
      </c>
      <c r="IC40" s="516" t="str">
        <f t="shared" si="217"/>
        <v/>
      </c>
      <c r="ID40" s="517" t="str">
        <f t="shared" si="218"/>
        <v/>
      </c>
      <c r="IE40" s="517" t="str">
        <f t="shared" si="219"/>
        <v/>
      </c>
      <c r="IF40" s="517" t="str">
        <f t="shared" si="220"/>
        <v/>
      </c>
      <c r="IG40" s="517" t="str">
        <f t="shared" si="221"/>
        <v/>
      </c>
      <c r="IH40" s="517" t="str">
        <f t="shared" si="222"/>
        <v/>
      </c>
      <c r="II40" s="506" t="str">
        <f t="shared" si="223"/>
        <v/>
      </c>
      <c r="IJ40" s="506" t="str">
        <f t="shared" si="224"/>
        <v/>
      </c>
      <c r="IK40" s="506" t="str">
        <f t="shared" si="225"/>
        <v/>
      </c>
      <c r="IL40" s="506" t="str">
        <f t="shared" si="226"/>
        <v/>
      </c>
      <c r="IM40" s="506" t="str">
        <f t="shared" si="227"/>
        <v/>
      </c>
      <c r="IN40" s="506" t="str">
        <f t="shared" si="228"/>
        <v/>
      </c>
      <c r="IO40" s="506" t="str">
        <f t="shared" si="229"/>
        <v/>
      </c>
      <c r="IP40" s="506" t="str">
        <f t="shared" si="230"/>
        <v/>
      </c>
      <c r="IQ40" s="506" t="str">
        <f t="shared" si="231"/>
        <v/>
      </c>
      <c r="IR40" s="506" t="str">
        <f t="shared" si="232"/>
        <v/>
      </c>
      <c r="IS40" s="506" t="str">
        <f t="shared" si="233"/>
        <v/>
      </c>
      <c r="IT40" s="506" t="str">
        <f t="shared" si="234"/>
        <v/>
      </c>
      <c r="IU40" s="506" t="str">
        <f t="shared" si="235"/>
        <v/>
      </c>
      <c r="IV40" s="506" t="str">
        <f t="shared" si="236"/>
        <v/>
      </c>
      <c r="IW40" s="506" t="str">
        <f t="shared" si="237"/>
        <v/>
      </c>
      <c r="IX40" s="506" t="str">
        <f t="shared" si="238"/>
        <v/>
      </c>
      <c r="IY40" s="506" t="str">
        <f t="shared" si="239"/>
        <v/>
      </c>
      <c r="IZ40" s="506" t="str">
        <f t="shared" si="240"/>
        <v/>
      </c>
      <c r="JA40" s="506" t="str">
        <f t="shared" si="241"/>
        <v/>
      </c>
      <c r="JB40" s="506" t="str">
        <f t="shared" si="242"/>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24" t="s">
        <v>1858</v>
      </c>
      <c r="C41" s="2525"/>
      <c r="D41" s="2526"/>
      <c r="E41" s="2527"/>
      <c r="F41" s="2527"/>
      <c r="G41" s="2527"/>
      <c r="H41" s="2527"/>
      <c r="I41" s="2527"/>
      <c r="J41" s="2528"/>
      <c r="K41" s="825">
        <f t="shared" si="1"/>
        <v>0</v>
      </c>
      <c r="L41" s="825">
        <f t="shared" si="2"/>
        <v>0</v>
      </c>
      <c r="M41" s="1301"/>
      <c r="N41" s="1301"/>
      <c r="O41" s="1301"/>
      <c r="P41" s="2529"/>
      <c r="Q41" s="2530" t="str">
        <f t="shared" si="243"/>
        <v/>
      </c>
      <c r="R41" s="2531" t="str">
        <f>IF(H41="","",IF(C41="Efficiency",Q41/($O$6*VLOOKUP(0,'DCA Underwriting Assumptions'!$J$118:$K$123,2,FALSE)),Q41/($O$6*VLOOKUP(C41,'DCA Underwriting Assumptions'!$J$118:$K$123,2,FALSE))))</f>
        <v/>
      </c>
      <c r="S41" s="2532"/>
      <c r="T41" s="2531"/>
      <c r="U41" s="2533"/>
      <c r="V41" s="2458"/>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53"/>
        <v/>
      </c>
      <c r="BV41" s="506" t="str">
        <f t="shared" si="54"/>
        <v/>
      </c>
      <c r="BW41" s="506" t="str">
        <f t="shared" si="55"/>
        <v/>
      </c>
      <c r="BX41" s="506" t="str">
        <f t="shared" si="56"/>
        <v/>
      </c>
      <c r="BY41" s="506" t="str">
        <f t="shared" si="57"/>
        <v/>
      </c>
      <c r="BZ41" s="506" t="str">
        <f t="shared" si="58"/>
        <v/>
      </c>
      <c r="CA41" s="506" t="str">
        <f t="shared" si="59"/>
        <v/>
      </c>
      <c r="CB41" s="506" t="str">
        <f t="shared" si="60"/>
        <v/>
      </c>
      <c r="CC41" s="506" t="str">
        <f t="shared" si="61"/>
        <v/>
      </c>
      <c r="CD41" s="506" t="str">
        <f t="shared" si="62"/>
        <v/>
      </c>
      <c r="CE41" s="506" t="str">
        <f t="shared" si="63"/>
        <v/>
      </c>
      <c r="CF41" s="506" t="str">
        <f t="shared" si="64"/>
        <v/>
      </c>
      <c r="CG41" s="506" t="str">
        <f t="shared" si="65"/>
        <v/>
      </c>
      <c r="CH41" s="506" t="str">
        <f t="shared" si="66"/>
        <v/>
      </c>
      <c r="CI41" s="506" t="str">
        <f t="shared" si="67"/>
        <v/>
      </c>
      <c r="CJ41" s="506" t="str">
        <f t="shared" si="68"/>
        <v/>
      </c>
      <c r="CK41" s="506" t="str">
        <f t="shared" si="69"/>
        <v/>
      </c>
      <c r="CL41" s="506" t="str">
        <f t="shared" si="70"/>
        <v/>
      </c>
      <c r="CM41" s="506" t="str">
        <f t="shared" si="71"/>
        <v/>
      </c>
      <c r="CN41" s="506" t="str">
        <f t="shared" si="72"/>
        <v/>
      </c>
      <c r="CO41" s="506" t="str">
        <f t="shared" si="73"/>
        <v/>
      </c>
      <c r="CP41" s="506" t="str">
        <f t="shared" si="74"/>
        <v/>
      </c>
      <c r="CQ41" s="506" t="str">
        <f t="shared" si="75"/>
        <v/>
      </c>
      <c r="CR41" s="506" t="str">
        <f t="shared" si="76"/>
        <v/>
      </c>
      <c r="CS41" s="506" t="str">
        <f t="shared" si="77"/>
        <v/>
      </c>
      <c r="CT41" s="506" t="str">
        <f t="shared" si="78"/>
        <v/>
      </c>
      <c r="CU41" s="506" t="str">
        <f t="shared" si="79"/>
        <v/>
      </c>
      <c r="CV41" s="506" t="str">
        <f t="shared" si="80"/>
        <v/>
      </c>
      <c r="CW41" s="506" t="str">
        <f t="shared" si="81"/>
        <v/>
      </c>
      <c r="CX41" s="506" t="str">
        <f t="shared" si="82"/>
        <v/>
      </c>
      <c r="CY41" s="506" t="str">
        <f t="shared" si="83"/>
        <v/>
      </c>
      <c r="CZ41" s="506" t="str">
        <f t="shared" si="84"/>
        <v/>
      </c>
      <c r="DA41" s="506" t="str">
        <f t="shared" si="85"/>
        <v/>
      </c>
      <c r="DB41" s="506" t="str">
        <f t="shared" si="86"/>
        <v/>
      </c>
      <c r="DC41" s="506" t="str">
        <f t="shared" si="87"/>
        <v/>
      </c>
      <c r="DD41" s="506" t="str">
        <f t="shared" si="88"/>
        <v/>
      </c>
      <c r="DE41" s="506" t="str">
        <f t="shared" si="89"/>
        <v/>
      </c>
      <c r="DF41" s="506" t="str">
        <f t="shared" si="90"/>
        <v/>
      </c>
      <c r="DG41" s="506" t="str">
        <f t="shared" si="91"/>
        <v/>
      </c>
      <c r="DH41" s="506" t="str">
        <f t="shared" si="92"/>
        <v/>
      </c>
      <c r="DI41" s="506" t="str">
        <f t="shared" si="93"/>
        <v/>
      </c>
      <c r="DJ41" s="506" t="str">
        <f t="shared" si="94"/>
        <v/>
      </c>
      <c r="DK41" s="506" t="str">
        <f t="shared" si="95"/>
        <v/>
      </c>
      <c r="DL41" s="506" t="str">
        <f t="shared" si="96"/>
        <v/>
      </c>
      <c r="DM41" s="506" t="str">
        <f t="shared" si="97"/>
        <v/>
      </c>
      <c r="DN41" s="506" t="str">
        <f t="shared" si="98"/>
        <v/>
      </c>
      <c r="DO41" s="506" t="str">
        <f t="shared" si="99"/>
        <v/>
      </c>
      <c r="DP41" s="506" t="str">
        <f t="shared" si="100"/>
        <v/>
      </c>
      <c r="DQ41" s="506" t="str">
        <f t="shared" si="101"/>
        <v/>
      </c>
      <c r="DR41" s="506" t="str">
        <f t="shared" si="102"/>
        <v/>
      </c>
      <c r="DS41" s="506" t="str">
        <f t="shared" si="103"/>
        <v/>
      </c>
      <c r="DT41" s="506" t="str">
        <f t="shared" si="104"/>
        <v/>
      </c>
      <c r="DU41" s="506" t="str">
        <f t="shared" si="105"/>
        <v/>
      </c>
      <c r="DV41" s="506" t="str">
        <f t="shared" si="106"/>
        <v/>
      </c>
      <c r="DW41" s="506" t="str">
        <f t="shared" si="107"/>
        <v/>
      </c>
      <c r="DX41" s="506" t="str">
        <f t="shared" si="108"/>
        <v/>
      </c>
      <c r="DY41" s="506" t="str">
        <f t="shared" si="109"/>
        <v/>
      </c>
      <c r="DZ41" s="506" t="str">
        <f t="shared" si="110"/>
        <v/>
      </c>
      <c r="EA41" s="506" t="str">
        <f t="shared" si="111"/>
        <v/>
      </c>
      <c r="EB41" s="506" t="str">
        <f t="shared" si="112"/>
        <v/>
      </c>
      <c r="EC41" s="506" t="str">
        <f t="shared" si="113"/>
        <v/>
      </c>
      <c r="ED41" s="506" t="str">
        <f t="shared" si="114"/>
        <v/>
      </c>
      <c r="EE41" s="506" t="str">
        <f t="shared" si="115"/>
        <v/>
      </c>
      <c r="EF41" s="506" t="str">
        <f t="shared" si="116"/>
        <v/>
      </c>
      <c r="EG41" s="506" t="str">
        <f t="shared" si="117"/>
        <v/>
      </c>
      <c r="EH41" s="506" t="str">
        <f t="shared" si="118"/>
        <v/>
      </c>
      <c r="EI41" s="506" t="str">
        <f t="shared" si="119"/>
        <v/>
      </c>
      <c r="EJ41" s="506" t="str">
        <f t="shared" si="120"/>
        <v/>
      </c>
      <c r="EK41" s="506" t="str">
        <f t="shared" si="121"/>
        <v/>
      </c>
      <c r="EL41" s="506" t="str">
        <f t="shared" si="122"/>
        <v/>
      </c>
      <c r="EM41" s="506" t="str">
        <f t="shared" si="123"/>
        <v/>
      </c>
      <c r="EN41" s="506" t="str">
        <f t="shared" si="124"/>
        <v/>
      </c>
      <c r="EO41" s="506" t="str">
        <f t="shared" si="125"/>
        <v/>
      </c>
      <c r="EP41" s="506" t="str">
        <f t="shared" si="126"/>
        <v/>
      </c>
      <c r="EQ41" s="506" t="str">
        <f t="shared" si="127"/>
        <v/>
      </c>
      <c r="ER41" s="506" t="str">
        <f t="shared" si="128"/>
        <v/>
      </c>
      <c r="ES41" s="506" t="str">
        <f t="shared" si="129"/>
        <v/>
      </c>
      <c r="ET41" s="506" t="str">
        <f t="shared" si="130"/>
        <v/>
      </c>
      <c r="EU41" s="506" t="str">
        <f t="shared" si="131"/>
        <v/>
      </c>
      <c r="EV41" s="506" t="str">
        <f t="shared" si="132"/>
        <v/>
      </c>
      <c r="EW41" s="516" t="str">
        <f t="shared" si="133"/>
        <v/>
      </c>
      <c r="EX41" s="516" t="str">
        <f t="shared" si="134"/>
        <v/>
      </c>
      <c r="EY41" s="516" t="str">
        <f t="shared" si="135"/>
        <v/>
      </c>
      <c r="EZ41" s="516" t="str">
        <f t="shared" si="136"/>
        <v/>
      </c>
      <c r="FA41" s="516" t="str">
        <f t="shared" si="137"/>
        <v/>
      </c>
      <c r="FB41" s="516" t="str">
        <f t="shared" si="138"/>
        <v/>
      </c>
      <c r="FC41" s="516" t="str">
        <f t="shared" si="139"/>
        <v/>
      </c>
      <c r="FD41" s="516" t="str">
        <f t="shared" si="140"/>
        <v/>
      </c>
      <c r="FE41" s="516" t="str">
        <f t="shared" si="141"/>
        <v/>
      </c>
      <c r="FF41" s="516" t="str">
        <f t="shared" si="142"/>
        <v/>
      </c>
      <c r="FG41" s="516" t="str">
        <f t="shared" si="143"/>
        <v/>
      </c>
      <c r="FH41" s="516" t="str">
        <f t="shared" si="144"/>
        <v/>
      </c>
      <c r="FI41" s="516" t="str">
        <f t="shared" si="145"/>
        <v/>
      </c>
      <c r="FJ41" s="516" t="str">
        <f t="shared" si="146"/>
        <v/>
      </c>
      <c r="FK41" s="516" t="str">
        <f t="shared" si="147"/>
        <v/>
      </c>
      <c r="FL41" s="516" t="str">
        <f t="shared" si="148"/>
        <v/>
      </c>
      <c r="FM41" s="516" t="str">
        <f t="shared" si="149"/>
        <v/>
      </c>
      <c r="FN41" s="516" t="str">
        <f t="shared" si="150"/>
        <v/>
      </c>
      <c r="FO41" s="516" t="str">
        <f t="shared" si="151"/>
        <v/>
      </c>
      <c r="FP41" s="516" t="str">
        <f t="shared" si="152"/>
        <v/>
      </c>
      <c r="FQ41" s="516" t="str">
        <f t="shared" si="153"/>
        <v/>
      </c>
      <c r="FR41" s="516" t="str">
        <f t="shared" si="154"/>
        <v/>
      </c>
      <c r="FS41" s="516" t="str">
        <f t="shared" si="155"/>
        <v/>
      </c>
      <c r="FT41" s="516" t="str">
        <f t="shared" si="156"/>
        <v/>
      </c>
      <c r="FU41" s="516" t="str">
        <f t="shared" si="157"/>
        <v/>
      </c>
      <c r="FV41" s="516" t="str">
        <f t="shared" si="158"/>
        <v/>
      </c>
      <c r="FW41" s="516" t="str">
        <f t="shared" si="159"/>
        <v/>
      </c>
      <c r="FX41" s="516" t="str">
        <f t="shared" si="160"/>
        <v/>
      </c>
      <c r="FY41" s="516" t="str">
        <f t="shared" si="161"/>
        <v/>
      </c>
      <c r="FZ41" s="516" t="str">
        <f t="shared" si="162"/>
        <v/>
      </c>
      <c r="GA41" s="516" t="str">
        <f t="shared" si="163"/>
        <v/>
      </c>
      <c r="GB41" s="516" t="str">
        <f t="shared" si="164"/>
        <v/>
      </c>
      <c r="GC41" s="516" t="str">
        <f t="shared" si="165"/>
        <v/>
      </c>
      <c r="GD41" s="516" t="str">
        <f t="shared" si="166"/>
        <v/>
      </c>
      <c r="GE41" s="516" t="str">
        <f t="shared" si="167"/>
        <v/>
      </c>
      <c r="GF41" s="516" t="str">
        <f t="shared" si="168"/>
        <v/>
      </c>
      <c r="GG41" s="516" t="str">
        <f t="shared" si="169"/>
        <v/>
      </c>
      <c r="GH41" s="516" t="str">
        <f t="shared" si="170"/>
        <v/>
      </c>
      <c r="GI41" s="516" t="str">
        <f t="shared" si="171"/>
        <v/>
      </c>
      <c r="GJ41" s="516" t="str">
        <f t="shared" si="172"/>
        <v/>
      </c>
      <c r="GK41" s="516" t="str">
        <f t="shared" si="173"/>
        <v/>
      </c>
      <c r="GL41" s="516" t="str">
        <f t="shared" si="174"/>
        <v/>
      </c>
      <c r="GM41" s="516" t="str">
        <f t="shared" si="175"/>
        <v/>
      </c>
      <c r="GN41" s="516" t="str">
        <f t="shared" si="176"/>
        <v/>
      </c>
      <c r="GO41" s="516" t="str">
        <f t="shared" si="177"/>
        <v/>
      </c>
      <c r="GP41" s="516" t="str">
        <f t="shared" si="178"/>
        <v/>
      </c>
      <c r="GQ41" s="516" t="str">
        <f t="shared" si="179"/>
        <v/>
      </c>
      <c r="GR41" s="516" t="str">
        <f t="shared" si="180"/>
        <v/>
      </c>
      <c r="GS41" s="516" t="str">
        <f t="shared" si="181"/>
        <v/>
      </c>
      <c r="GT41" s="516" t="str">
        <f t="shared" si="182"/>
        <v/>
      </c>
      <c r="GU41" s="516" t="str">
        <f t="shared" si="183"/>
        <v/>
      </c>
      <c r="GV41" s="516" t="str">
        <f t="shared" si="184"/>
        <v/>
      </c>
      <c r="GW41" s="516" t="str">
        <f t="shared" si="185"/>
        <v/>
      </c>
      <c r="GX41" s="516" t="str">
        <f t="shared" si="186"/>
        <v/>
      </c>
      <c r="GY41" s="516" t="str">
        <f t="shared" si="187"/>
        <v/>
      </c>
      <c r="GZ41" s="516" t="str">
        <f t="shared" si="188"/>
        <v/>
      </c>
      <c r="HA41" s="516" t="str">
        <f t="shared" si="189"/>
        <v/>
      </c>
      <c r="HB41" s="516" t="str">
        <f t="shared" si="190"/>
        <v/>
      </c>
      <c r="HC41" s="516" t="str">
        <f t="shared" si="191"/>
        <v/>
      </c>
      <c r="HD41" s="516" t="str">
        <f t="shared" si="192"/>
        <v/>
      </c>
      <c r="HE41" s="516" t="str">
        <f t="shared" si="193"/>
        <v/>
      </c>
      <c r="HF41" s="516" t="str">
        <f t="shared" si="194"/>
        <v/>
      </c>
      <c r="HG41" s="516" t="str">
        <f t="shared" si="195"/>
        <v/>
      </c>
      <c r="HH41" s="516" t="str">
        <f t="shared" si="196"/>
        <v/>
      </c>
      <c r="HI41" s="516" t="str">
        <f t="shared" si="197"/>
        <v/>
      </c>
      <c r="HJ41" s="516" t="str">
        <f t="shared" si="198"/>
        <v/>
      </c>
      <c r="HK41" s="516" t="str">
        <f t="shared" si="199"/>
        <v/>
      </c>
      <c r="HL41" s="516" t="str">
        <f t="shared" si="200"/>
        <v/>
      </c>
      <c r="HM41" s="516" t="str">
        <f t="shared" si="201"/>
        <v/>
      </c>
      <c r="HN41" s="516" t="str">
        <f t="shared" si="202"/>
        <v/>
      </c>
      <c r="HO41" s="516" t="str">
        <f t="shared" si="203"/>
        <v/>
      </c>
      <c r="HP41" s="516" t="str">
        <f t="shared" si="204"/>
        <v/>
      </c>
      <c r="HQ41" s="516" t="str">
        <f t="shared" si="205"/>
        <v/>
      </c>
      <c r="HR41" s="516" t="str">
        <f t="shared" si="206"/>
        <v/>
      </c>
      <c r="HS41" s="516" t="str">
        <f t="shared" si="207"/>
        <v/>
      </c>
      <c r="HT41" s="516" t="str">
        <f t="shared" si="208"/>
        <v/>
      </c>
      <c r="HU41" s="516" t="str">
        <f t="shared" si="209"/>
        <v/>
      </c>
      <c r="HV41" s="516" t="str">
        <f t="shared" si="210"/>
        <v/>
      </c>
      <c r="HW41" s="516" t="str">
        <f t="shared" si="211"/>
        <v/>
      </c>
      <c r="HX41" s="516" t="str">
        <f t="shared" si="212"/>
        <v/>
      </c>
      <c r="HY41" s="516" t="str">
        <f t="shared" si="213"/>
        <v/>
      </c>
      <c r="HZ41" s="516" t="str">
        <f t="shared" si="214"/>
        <v/>
      </c>
      <c r="IA41" s="516" t="str">
        <f t="shared" si="215"/>
        <v/>
      </c>
      <c r="IB41" s="516" t="str">
        <f t="shared" si="216"/>
        <v/>
      </c>
      <c r="IC41" s="516" t="str">
        <f t="shared" si="217"/>
        <v/>
      </c>
      <c r="ID41" s="517" t="str">
        <f t="shared" si="218"/>
        <v/>
      </c>
      <c r="IE41" s="517" t="str">
        <f t="shared" si="219"/>
        <v/>
      </c>
      <c r="IF41" s="517" t="str">
        <f t="shared" si="220"/>
        <v/>
      </c>
      <c r="IG41" s="517" t="str">
        <f t="shared" si="221"/>
        <v/>
      </c>
      <c r="IH41" s="517" t="str">
        <f t="shared" si="222"/>
        <v/>
      </c>
      <c r="II41" s="506" t="str">
        <f t="shared" si="223"/>
        <v/>
      </c>
      <c r="IJ41" s="506" t="str">
        <f t="shared" si="224"/>
        <v/>
      </c>
      <c r="IK41" s="506" t="str">
        <f t="shared" si="225"/>
        <v/>
      </c>
      <c r="IL41" s="506" t="str">
        <f t="shared" si="226"/>
        <v/>
      </c>
      <c r="IM41" s="506" t="str">
        <f t="shared" si="227"/>
        <v/>
      </c>
      <c r="IN41" s="506" t="str">
        <f t="shared" si="228"/>
        <v/>
      </c>
      <c r="IO41" s="506" t="str">
        <f t="shared" si="229"/>
        <v/>
      </c>
      <c r="IP41" s="506" t="str">
        <f t="shared" si="230"/>
        <v/>
      </c>
      <c r="IQ41" s="506" t="str">
        <f t="shared" si="231"/>
        <v/>
      </c>
      <c r="IR41" s="506" t="str">
        <f t="shared" si="232"/>
        <v/>
      </c>
      <c r="IS41" s="506" t="str">
        <f t="shared" si="233"/>
        <v/>
      </c>
      <c r="IT41" s="506" t="str">
        <f t="shared" si="234"/>
        <v/>
      </c>
      <c r="IU41" s="506" t="str">
        <f t="shared" si="235"/>
        <v/>
      </c>
      <c r="IV41" s="506" t="str">
        <f t="shared" si="236"/>
        <v/>
      </c>
      <c r="IW41" s="506" t="str">
        <f t="shared" si="237"/>
        <v/>
      </c>
      <c r="IX41" s="506" t="str">
        <f t="shared" si="238"/>
        <v/>
      </c>
      <c r="IY41" s="506" t="str">
        <f t="shared" si="239"/>
        <v/>
      </c>
      <c r="IZ41" s="506" t="str">
        <f t="shared" si="240"/>
        <v/>
      </c>
      <c r="JA41" s="506" t="str">
        <f t="shared" si="241"/>
        <v/>
      </c>
      <c r="JB41" s="506" t="str">
        <f t="shared" si="242"/>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24" t="s">
        <v>1858</v>
      </c>
      <c r="C42" s="2525"/>
      <c r="D42" s="2526"/>
      <c r="E42" s="2527"/>
      <c r="F42" s="2527"/>
      <c r="G42" s="2527"/>
      <c r="H42" s="2527"/>
      <c r="I42" s="2527"/>
      <c r="J42" s="2528"/>
      <c r="K42" s="825">
        <f t="shared" si="1"/>
        <v>0</v>
      </c>
      <c r="L42" s="825">
        <f t="shared" si="2"/>
        <v>0</v>
      </c>
      <c r="M42" s="1301"/>
      <c r="N42" s="1301"/>
      <c r="O42" s="1301"/>
      <c r="P42" s="2529"/>
      <c r="Q42" s="2530" t="str">
        <f t="shared" si="243"/>
        <v/>
      </c>
      <c r="R42" s="2531" t="str">
        <f>IF(H42="","",IF(C42="Efficiency",Q42/($O$6*VLOOKUP(0,'DCA Underwriting Assumptions'!$J$118:$K$123,2,FALSE)),Q42/($O$6*VLOOKUP(C42,'DCA Underwriting Assumptions'!$J$118:$K$123,2,FALSE))))</f>
        <v/>
      </c>
      <c r="S42" s="2532"/>
      <c r="T42" s="2531"/>
      <c r="U42" s="2533"/>
      <c r="V42" s="2458"/>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53"/>
        <v/>
      </c>
      <c r="BV42" s="506" t="str">
        <f t="shared" si="54"/>
        <v/>
      </c>
      <c r="BW42" s="506" t="str">
        <f t="shared" si="55"/>
        <v/>
      </c>
      <c r="BX42" s="506" t="str">
        <f t="shared" si="56"/>
        <v/>
      </c>
      <c r="BY42" s="506" t="str">
        <f t="shared" si="57"/>
        <v/>
      </c>
      <c r="BZ42" s="506" t="str">
        <f t="shared" si="58"/>
        <v/>
      </c>
      <c r="CA42" s="506" t="str">
        <f t="shared" si="59"/>
        <v/>
      </c>
      <c r="CB42" s="506" t="str">
        <f t="shared" si="60"/>
        <v/>
      </c>
      <c r="CC42" s="506" t="str">
        <f t="shared" si="61"/>
        <v/>
      </c>
      <c r="CD42" s="506" t="str">
        <f t="shared" si="62"/>
        <v/>
      </c>
      <c r="CE42" s="506" t="str">
        <f t="shared" si="63"/>
        <v/>
      </c>
      <c r="CF42" s="506" t="str">
        <f t="shared" si="64"/>
        <v/>
      </c>
      <c r="CG42" s="506" t="str">
        <f t="shared" si="65"/>
        <v/>
      </c>
      <c r="CH42" s="506" t="str">
        <f t="shared" si="66"/>
        <v/>
      </c>
      <c r="CI42" s="506" t="str">
        <f t="shared" si="67"/>
        <v/>
      </c>
      <c r="CJ42" s="506" t="str">
        <f t="shared" si="68"/>
        <v/>
      </c>
      <c r="CK42" s="506" t="str">
        <f t="shared" si="69"/>
        <v/>
      </c>
      <c r="CL42" s="506" t="str">
        <f t="shared" si="70"/>
        <v/>
      </c>
      <c r="CM42" s="506" t="str">
        <f t="shared" si="71"/>
        <v/>
      </c>
      <c r="CN42" s="506" t="str">
        <f t="shared" si="72"/>
        <v/>
      </c>
      <c r="CO42" s="506" t="str">
        <f t="shared" si="73"/>
        <v/>
      </c>
      <c r="CP42" s="506" t="str">
        <f t="shared" si="74"/>
        <v/>
      </c>
      <c r="CQ42" s="506" t="str">
        <f t="shared" si="75"/>
        <v/>
      </c>
      <c r="CR42" s="506" t="str">
        <f t="shared" si="76"/>
        <v/>
      </c>
      <c r="CS42" s="506" t="str">
        <f t="shared" si="77"/>
        <v/>
      </c>
      <c r="CT42" s="506" t="str">
        <f t="shared" si="78"/>
        <v/>
      </c>
      <c r="CU42" s="506" t="str">
        <f t="shared" si="79"/>
        <v/>
      </c>
      <c r="CV42" s="506" t="str">
        <f t="shared" si="80"/>
        <v/>
      </c>
      <c r="CW42" s="506" t="str">
        <f t="shared" si="81"/>
        <v/>
      </c>
      <c r="CX42" s="506" t="str">
        <f t="shared" si="82"/>
        <v/>
      </c>
      <c r="CY42" s="506" t="str">
        <f t="shared" si="83"/>
        <v/>
      </c>
      <c r="CZ42" s="506" t="str">
        <f t="shared" si="84"/>
        <v/>
      </c>
      <c r="DA42" s="506" t="str">
        <f t="shared" si="85"/>
        <v/>
      </c>
      <c r="DB42" s="506" t="str">
        <f t="shared" si="86"/>
        <v/>
      </c>
      <c r="DC42" s="506" t="str">
        <f t="shared" si="87"/>
        <v/>
      </c>
      <c r="DD42" s="506" t="str">
        <f t="shared" si="88"/>
        <v/>
      </c>
      <c r="DE42" s="506" t="str">
        <f t="shared" si="89"/>
        <v/>
      </c>
      <c r="DF42" s="506" t="str">
        <f t="shared" si="90"/>
        <v/>
      </c>
      <c r="DG42" s="506" t="str">
        <f t="shared" si="91"/>
        <v/>
      </c>
      <c r="DH42" s="506" t="str">
        <f t="shared" si="92"/>
        <v/>
      </c>
      <c r="DI42" s="506" t="str">
        <f t="shared" si="93"/>
        <v/>
      </c>
      <c r="DJ42" s="506" t="str">
        <f t="shared" si="94"/>
        <v/>
      </c>
      <c r="DK42" s="506" t="str">
        <f t="shared" si="95"/>
        <v/>
      </c>
      <c r="DL42" s="506" t="str">
        <f t="shared" si="96"/>
        <v/>
      </c>
      <c r="DM42" s="506" t="str">
        <f t="shared" si="97"/>
        <v/>
      </c>
      <c r="DN42" s="506" t="str">
        <f t="shared" si="98"/>
        <v/>
      </c>
      <c r="DO42" s="506" t="str">
        <f t="shared" si="99"/>
        <v/>
      </c>
      <c r="DP42" s="506" t="str">
        <f t="shared" si="100"/>
        <v/>
      </c>
      <c r="DQ42" s="506" t="str">
        <f t="shared" si="101"/>
        <v/>
      </c>
      <c r="DR42" s="506" t="str">
        <f t="shared" si="102"/>
        <v/>
      </c>
      <c r="DS42" s="506" t="str">
        <f t="shared" si="103"/>
        <v/>
      </c>
      <c r="DT42" s="506" t="str">
        <f t="shared" si="104"/>
        <v/>
      </c>
      <c r="DU42" s="506" t="str">
        <f t="shared" si="105"/>
        <v/>
      </c>
      <c r="DV42" s="506" t="str">
        <f t="shared" si="106"/>
        <v/>
      </c>
      <c r="DW42" s="506" t="str">
        <f t="shared" si="107"/>
        <v/>
      </c>
      <c r="DX42" s="506" t="str">
        <f t="shared" si="108"/>
        <v/>
      </c>
      <c r="DY42" s="506" t="str">
        <f t="shared" si="109"/>
        <v/>
      </c>
      <c r="DZ42" s="506" t="str">
        <f t="shared" si="110"/>
        <v/>
      </c>
      <c r="EA42" s="506" t="str">
        <f t="shared" si="111"/>
        <v/>
      </c>
      <c r="EB42" s="506" t="str">
        <f t="shared" si="112"/>
        <v/>
      </c>
      <c r="EC42" s="506" t="str">
        <f t="shared" si="113"/>
        <v/>
      </c>
      <c r="ED42" s="506" t="str">
        <f t="shared" si="114"/>
        <v/>
      </c>
      <c r="EE42" s="506" t="str">
        <f t="shared" si="115"/>
        <v/>
      </c>
      <c r="EF42" s="506" t="str">
        <f t="shared" si="116"/>
        <v/>
      </c>
      <c r="EG42" s="506" t="str">
        <f t="shared" si="117"/>
        <v/>
      </c>
      <c r="EH42" s="506" t="str">
        <f t="shared" si="118"/>
        <v/>
      </c>
      <c r="EI42" s="506" t="str">
        <f t="shared" si="119"/>
        <v/>
      </c>
      <c r="EJ42" s="506" t="str">
        <f t="shared" si="120"/>
        <v/>
      </c>
      <c r="EK42" s="506" t="str">
        <f t="shared" si="121"/>
        <v/>
      </c>
      <c r="EL42" s="506" t="str">
        <f t="shared" si="122"/>
        <v/>
      </c>
      <c r="EM42" s="506" t="str">
        <f t="shared" si="123"/>
        <v/>
      </c>
      <c r="EN42" s="506" t="str">
        <f t="shared" si="124"/>
        <v/>
      </c>
      <c r="EO42" s="506" t="str">
        <f t="shared" si="125"/>
        <v/>
      </c>
      <c r="EP42" s="506" t="str">
        <f t="shared" si="126"/>
        <v/>
      </c>
      <c r="EQ42" s="506" t="str">
        <f t="shared" si="127"/>
        <v/>
      </c>
      <c r="ER42" s="506" t="str">
        <f t="shared" si="128"/>
        <v/>
      </c>
      <c r="ES42" s="506" t="str">
        <f t="shared" si="129"/>
        <v/>
      </c>
      <c r="ET42" s="506" t="str">
        <f t="shared" si="130"/>
        <v/>
      </c>
      <c r="EU42" s="506" t="str">
        <f t="shared" si="131"/>
        <v/>
      </c>
      <c r="EV42" s="506" t="str">
        <f t="shared" si="132"/>
        <v/>
      </c>
      <c r="EW42" s="516" t="str">
        <f t="shared" si="133"/>
        <v/>
      </c>
      <c r="EX42" s="516" t="str">
        <f t="shared" si="134"/>
        <v/>
      </c>
      <c r="EY42" s="516" t="str">
        <f t="shared" si="135"/>
        <v/>
      </c>
      <c r="EZ42" s="516" t="str">
        <f t="shared" si="136"/>
        <v/>
      </c>
      <c r="FA42" s="516" t="str">
        <f t="shared" si="137"/>
        <v/>
      </c>
      <c r="FB42" s="516" t="str">
        <f t="shared" si="138"/>
        <v/>
      </c>
      <c r="FC42" s="516" t="str">
        <f t="shared" si="139"/>
        <v/>
      </c>
      <c r="FD42" s="516" t="str">
        <f t="shared" si="140"/>
        <v/>
      </c>
      <c r="FE42" s="516" t="str">
        <f t="shared" si="141"/>
        <v/>
      </c>
      <c r="FF42" s="516" t="str">
        <f t="shared" si="142"/>
        <v/>
      </c>
      <c r="FG42" s="516" t="str">
        <f t="shared" si="143"/>
        <v/>
      </c>
      <c r="FH42" s="516" t="str">
        <f t="shared" si="144"/>
        <v/>
      </c>
      <c r="FI42" s="516" t="str">
        <f t="shared" si="145"/>
        <v/>
      </c>
      <c r="FJ42" s="516" t="str">
        <f t="shared" si="146"/>
        <v/>
      </c>
      <c r="FK42" s="516" t="str">
        <f t="shared" si="147"/>
        <v/>
      </c>
      <c r="FL42" s="516" t="str">
        <f t="shared" si="148"/>
        <v/>
      </c>
      <c r="FM42" s="516" t="str">
        <f t="shared" si="149"/>
        <v/>
      </c>
      <c r="FN42" s="516" t="str">
        <f t="shared" si="150"/>
        <v/>
      </c>
      <c r="FO42" s="516" t="str">
        <f t="shared" si="151"/>
        <v/>
      </c>
      <c r="FP42" s="516" t="str">
        <f t="shared" si="152"/>
        <v/>
      </c>
      <c r="FQ42" s="516" t="str">
        <f t="shared" si="153"/>
        <v/>
      </c>
      <c r="FR42" s="516" t="str">
        <f t="shared" si="154"/>
        <v/>
      </c>
      <c r="FS42" s="516" t="str">
        <f t="shared" si="155"/>
        <v/>
      </c>
      <c r="FT42" s="516" t="str">
        <f t="shared" si="156"/>
        <v/>
      </c>
      <c r="FU42" s="516" t="str">
        <f t="shared" si="157"/>
        <v/>
      </c>
      <c r="FV42" s="516" t="str">
        <f t="shared" si="158"/>
        <v/>
      </c>
      <c r="FW42" s="516" t="str">
        <f t="shared" si="159"/>
        <v/>
      </c>
      <c r="FX42" s="516" t="str">
        <f t="shared" si="160"/>
        <v/>
      </c>
      <c r="FY42" s="516" t="str">
        <f t="shared" si="161"/>
        <v/>
      </c>
      <c r="FZ42" s="516" t="str">
        <f t="shared" si="162"/>
        <v/>
      </c>
      <c r="GA42" s="516" t="str">
        <f t="shared" si="163"/>
        <v/>
      </c>
      <c r="GB42" s="516" t="str">
        <f t="shared" si="164"/>
        <v/>
      </c>
      <c r="GC42" s="516" t="str">
        <f t="shared" si="165"/>
        <v/>
      </c>
      <c r="GD42" s="516" t="str">
        <f t="shared" si="166"/>
        <v/>
      </c>
      <c r="GE42" s="516" t="str">
        <f t="shared" si="167"/>
        <v/>
      </c>
      <c r="GF42" s="516" t="str">
        <f t="shared" si="168"/>
        <v/>
      </c>
      <c r="GG42" s="516" t="str">
        <f t="shared" si="169"/>
        <v/>
      </c>
      <c r="GH42" s="516" t="str">
        <f t="shared" si="170"/>
        <v/>
      </c>
      <c r="GI42" s="516" t="str">
        <f t="shared" si="171"/>
        <v/>
      </c>
      <c r="GJ42" s="516" t="str">
        <f t="shared" si="172"/>
        <v/>
      </c>
      <c r="GK42" s="516" t="str">
        <f t="shared" si="173"/>
        <v/>
      </c>
      <c r="GL42" s="516" t="str">
        <f t="shared" si="174"/>
        <v/>
      </c>
      <c r="GM42" s="516" t="str">
        <f t="shared" si="175"/>
        <v/>
      </c>
      <c r="GN42" s="516" t="str">
        <f t="shared" si="176"/>
        <v/>
      </c>
      <c r="GO42" s="516" t="str">
        <f t="shared" si="177"/>
        <v/>
      </c>
      <c r="GP42" s="516" t="str">
        <f t="shared" si="178"/>
        <v/>
      </c>
      <c r="GQ42" s="516" t="str">
        <f t="shared" si="179"/>
        <v/>
      </c>
      <c r="GR42" s="516" t="str">
        <f t="shared" si="180"/>
        <v/>
      </c>
      <c r="GS42" s="516" t="str">
        <f t="shared" si="181"/>
        <v/>
      </c>
      <c r="GT42" s="516" t="str">
        <f t="shared" si="182"/>
        <v/>
      </c>
      <c r="GU42" s="516" t="str">
        <f t="shared" si="183"/>
        <v/>
      </c>
      <c r="GV42" s="516" t="str">
        <f t="shared" si="184"/>
        <v/>
      </c>
      <c r="GW42" s="516" t="str">
        <f t="shared" si="185"/>
        <v/>
      </c>
      <c r="GX42" s="516" t="str">
        <f t="shared" si="186"/>
        <v/>
      </c>
      <c r="GY42" s="516" t="str">
        <f t="shared" si="187"/>
        <v/>
      </c>
      <c r="GZ42" s="516" t="str">
        <f t="shared" si="188"/>
        <v/>
      </c>
      <c r="HA42" s="516" t="str">
        <f t="shared" si="189"/>
        <v/>
      </c>
      <c r="HB42" s="516" t="str">
        <f t="shared" si="190"/>
        <v/>
      </c>
      <c r="HC42" s="516" t="str">
        <f t="shared" si="191"/>
        <v/>
      </c>
      <c r="HD42" s="516" t="str">
        <f t="shared" si="192"/>
        <v/>
      </c>
      <c r="HE42" s="516" t="str">
        <f t="shared" si="193"/>
        <v/>
      </c>
      <c r="HF42" s="516" t="str">
        <f t="shared" si="194"/>
        <v/>
      </c>
      <c r="HG42" s="516" t="str">
        <f t="shared" si="195"/>
        <v/>
      </c>
      <c r="HH42" s="516" t="str">
        <f t="shared" si="196"/>
        <v/>
      </c>
      <c r="HI42" s="516" t="str">
        <f t="shared" si="197"/>
        <v/>
      </c>
      <c r="HJ42" s="516" t="str">
        <f t="shared" si="198"/>
        <v/>
      </c>
      <c r="HK42" s="516" t="str">
        <f t="shared" si="199"/>
        <v/>
      </c>
      <c r="HL42" s="516" t="str">
        <f t="shared" si="200"/>
        <v/>
      </c>
      <c r="HM42" s="516" t="str">
        <f t="shared" si="201"/>
        <v/>
      </c>
      <c r="HN42" s="516" t="str">
        <f t="shared" si="202"/>
        <v/>
      </c>
      <c r="HO42" s="516" t="str">
        <f t="shared" si="203"/>
        <v/>
      </c>
      <c r="HP42" s="516" t="str">
        <f t="shared" si="204"/>
        <v/>
      </c>
      <c r="HQ42" s="516" t="str">
        <f t="shared" si="205"/>
        <v/>
      </c>
      <c r="HR42" s="516" t="str">
        <f t="shared" si="206"/>
        <v/>
      </c>
      <c r="HS42" s="516" t="str">
        <f t="shared" si="207"/>
        <v/>
      </c>
      <c r="HT42" s="516" t="str">
        <f t="shared" si="208"/>
        <v/>
      </c>
      <c r="HU42" s="516" t="str">
        <f t="shared" si="209"/>
        <v/>
      </c>
      <c r="HV42" s="516" t="str">
        <f t="shared" si="210"/>
        <v/>
      </c>
      <c r="HW42" s="516" t="str">
        <f t="shared" si="211"/>
        <v/>
      </c>
      <c r="HX42" s="516" t="str">
        <f t="shared" si="212"/>
        <v/>
      </c>
      <c r="HY42" s="516" t="str">
        <f t="shared" si="213"/>
        <v/>
      </c>
      <c r="HZ42" s="516" t="str">
        <f t="shared" si="214"/>
        <v/>
      </c>
      <c r="IA42" s="516" t="str">
        <f t="shared" si="215"/>
        <v/>
      </c>
      <c r="IB42" s="516" t="str">
        <f t="shared" si="216"/>
        <v/>
      </c>
      <c r="IC42" s="516" t="str">
        <f t="shared" si="217"/>
        <v/>
      </c>
      <c r="ID42" s="517" t="str">
        <f t="shared" si="218"/>
        <v/>
      </c>
      <c r="IE42" s="517" t="str">
        <f t="shared" si="219"/>
        <v/>
      </c>
      <c r="IF42" s="517" t="str">
        <f t="shared" si="220"/>
        <v/>
      </c>
      <c r="IG42" s="517" t="str">
        <f t="shared" si="221"/>
        <v/>
      </c>
      <c r="IH42" s="517" t="str">
        <f t="shared" si="222"/>
        <v/>
      </c>
      <c r="II42" s="506" t="str">
        <f t="shared" si="223"/>
        <v/>
      </c>
      <c r="IJ42" s="506" t="str">
        <f t="shared" si="224"/>
        <v/>
      </c>
      <c r="IK42" s="506" t="str">
        <f t="shared" si="225"/>
        <v/>
      </c>
      <c r="IL42" s="506" t="str">
        <f t="shared" si="226"/>
        <v/>
      </c>
      <c r="IM42" s="506" t="str">
        <f t="shared" si="227"/>
        <v/>
      </c>
      <c r="IN42" s="506" t="str">
        <f t="shared" si="228"/>
        <v/>
      </c>
      <c r="IO42" s="506" t="str">
        <f t="shared" si="229"/>
        <v/>
      </c>
      <c r="IP42" s="506" t="str">
        <f t="shared" si="230"/>
        <v/>
      </c>
      <c r="IQ42" s="506" t="str">
        <f t="shared" si="231"/>
        <v/>
      </c>
      <c r="IR42" s="506" t="str">
        <f t="shared" si="232"/>
        <v/>
      </c>
      <c r="IS42" s="506" t="str">
        <f t="shared" si="233"/>
        <v/>
      </c>
      <c r="IT42" s="506" t="str">
        <f t="shared" si="234"/>
        <v/>
      </c>
      <c r="IU42" s="506" t="str">
        <f t="shared" si="235"/>
        <v/>
      </c>
      <c r="IV42" s="506" t="str">
        <f t="shared" si="236"/>
        <v/>
      </c>
      <c r="IW42" s="506" t="str">
        <f t="shared" si="237"/>
        <v/>
      </c>
      <c r="IX42" s="506" t="str">
        <f t="shared" si="238"/>
        <v/>
      </c>
      <c r="IY42" s="506" t="str">
        <f t="shared" si="239"/>
        <v/>
      </c>
      <c r="IZ42" s="506" t="str">
        <f t="shared" si="240"/>
        <v/>
      </c>
      <c r="JA42" s="506" t="str">
        <f t="shared" si="241"/>
        <v/>
      </c>
      <c r="JB42" s="506" t="str">
        <f t="shared" si="242"/>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24" t="s">
        <v>1858</v>
      </c>
      <c r="C43" s="2525"/>
      <c r="D43" s="2526"/>
      <c r="E43" s="2527"/>
      <c r="F43" s="2527"/>
      <c r="G43" s="2527"/>
      <c r="H43" s="2527"/>
      <c r="I43" s="2527"/>
      <c r="J43" s="2528"/>
      <c r="K43" s="825">
        <f t="shared" si="1"/>
        <v>0</v>
      </c>
      <c r="L43" s="825">
        <f t="shared" si="2"/>
        <v>0</v>
      </c>
      <c r="M43" s="1301"/>
      <c r="N43" s="1301"/>
      <c r="O43" s="1301"/>
      <c r="P43" s="2529"/>
      <c r="Q43" s="2530" t="str">
        <f t="shared" si="243"/>
        <v/>
      </c>
      <c r="R43" s="2531" t="str">
        <f>IF(H43="","",IF(C43="Efficiency",Q43/($O$6*VLOOKUP(0,'DCA Underwriting Assumptions'!$J$118:$K$123,2,FALSE)),Q43/($O$6*VLOOKUP(C43,'DCA Underwriting Assumptions'!$J$118:$K$123,2,FALSE))))</f>
        <v/>
      </c>
      <c r="S43" s="2532"/>
      <c r="T43" s="2531"/>
      <c r="U43" s="2533"/>
      <c r="V43" s="2458"/>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53"/>
        <v/>
      </c>
      <c r="BV43" s="506" t="str">
        <f t="shared" si="54"/>
        <v/>
      </c>
      <c r="BW43" s="506" t="str">
        <f t="shared" si="55"/>
        <v/>
      </c>
      <c r="BX43" s="506" t="str">
        <f t="shared" si="56"/>
        <v/>
      </c>
      <c r="BY43" s="506" t="str">
        <f t="shared" si="57"/>
        <v/>
      </c>
      <c r="BZ43" s="506" t="str">
        <f t="shared" si="58"/>
        <v/>
      </c>
      <c r="CA43" s="506" t="str">
        <f t="shared" si="59"/>
        <v/>
      </c>
      <c r="CB43" s="506" t="str">
        <f t="shared" si="60"/>
        <v/>
      </c>
      <c r="CC43" s="506" t="str">
        <f t="shared" si="61"/>
        <v/>
      </c>
      <c r="CD43" s="506" t="str">
        <f t="shared" si="62"/>
        <v/>
      </c>
      <c r="CE43" s="506" t="str">
        <f t="shared" si="63"/>
        <v/>
      </c>
      <c r="CF43" s="506" t="str">
        <f t="shared" si="64"/>
        <v/>
      </c>
      <c r="CG43" s="506" t="str">
        <f t="shared" si="65"/>
        <v/>
      </c>
      <c r="CH43" s="506" t="str">
        <f t="shared" si="66"/>
        <v/>
      </c>
      <c r="CI43" s="506" t="str">
        <f t="shared" si="67"/>
        <v/>
      </c>
      <c r="CJ43" s="506" t="str">
        <f t="shared" si="68"/>
        <v/>
      </c>
      <c r="CK43" s="506" t="str">
        <f t="shared" si="69"/>
        <v/>
      </c>
      <c r="CL43" s="506" t="str">
        <f t="shared" si="70"/>
        <v/>
      </c>
      <c r="CM43" s="506" t="str">
        <f t="shared" si="71"/>
        <v/>
      </c>
      <c r="CN43" s="506" t="str">
        <f t="shared" si="72"/>
        <v/>
      </c>
      <c r="CO43" s="506" t="str">
        <f t="shared" si="73"/>
        <v/>
      </c>
      <c r="CP43" s="506" t="str">
        <f t="shared" si="74"/>
        <v/>
      </c>
      <c r="CQ43" s="506" t="str">
        <f t="shared" si="75"/>
        <v/>
      </c>
      <c r="CR43" s="506" t="str">
        <f t="shared" si="76"/>
        <v/>
      </c>
      <c r="CS43" s="506" t="str">
        <f t="shared" si="77"/>
        <v/>
      </c>
      <c r="CT43" s="506" t="str">
        <f t="shared" si="78"/>
        <v/>
      </c>
      <c r="CU43" s="506" t="str">
        <f t="shared" si="79"/>
        <v/>
      </c>
      <c r="CV43" s="506" t="str">
        <f t="shared" si="80"/>
        <v/>
      </c>
      <c r="CW43" s="506" t="str">
        <f t="shared" si="81"/>
        <v/>
      </c>
      <c r="CX43" s="506" t="str">
        <f t="shared" si="82"/>
        <v/>
      </c>
      <c r="CY43" s="506" t="str">
        <f t="shared" si="83"/>
        <v/>
      </c>
      <c r="CZ43" s="506" t="str">
        <f t="shared" si="84"/>
        <v/>
      </c>
      <c r="DA43" s="506" t="str">
        <f t="shared" si="85"/>
        <v/>
      </c>
      <c r="DB43" s="506" t="str">
        <f t="shared" si="86"/>
        <v/>
      </c>
      <c r="DC43" s="506" t="str">
        <f t="shared" si="87"/>
        <v/>
      </c>
      <c r="DD43" s="506" t="str">
        <f t="shared" si="88"/>
        <v/>
      </c>
      <c r="DE43" s="506" t="str">
        <f t="shared" si="89"/>
        <v/>
      </c>
      <c r="DF43" s="506" t="str">
        <f t="shared" si="90"/>
        <v/>
      </c>
      <c r="DG43" s="506" t="str">
        <f t="shared" si="91"/>
        <v/>
      </c>
      <c r="DH43" s="506" t="str">
        <f t="shared" si="92"/>
        <v/>
      </c>
      <c r="DI43" s="506" t="str">
        <f t="shared" si="93"/>
        <v/>
      </c>
      <c r="DJ43" s="506" t="str">
        <f t="shared" si="94"/>
        <v/>
      </c>
      <c r="DK43" s="506" t="str">
        <f t="shared" si="95"/>
        <v/>
      </c>
      <c r="DL43" s="506" t="str">
        <f t="shared" si="96"/>
        <v/>
      </c>
      <c r="DM43" s="506" t="str">
        <f t="shared" si="97"/>
        <v/>
      </c>
      <c r="DN43" s="506" t="str">
        <f t="shared" si="98"/>
        <v/>
      </c>
      <c r="DO43" s="506" t="str">
        <f t="shared" si="99"/>
        <v/>
      </c>
      <c r="DP43" s="506" t="str">
        <f t="shared" si="100"/>
        <v/>
      </c>
      <c r="DQ43" s="506" t="str">
        <f t="shared" si="101"/>
        <v/>
      </c>
      <c r="DR43" s="506" t="str">
        <f t="shared" si="102"/>
        <v/>
      </c>
      <c r="DS43" s="506" t="str">
        <f t="shared" si="103"/>
        <v/>
      </c>
      <c r="DT43" s="506" t="str">
        <f t="shared" si="104"/>
        <v/>
      </c>
      <c r="DU43" s="506" t="str">
        <f t="shared" si="105"/>
        <v/>
      </c>
      <c r="DV43" s="506" t="str">
        <f t="shared" si="106"/>
        <v/>
      </c>
      <c r="DW43" s="506" t="str">
        <f t="shared" si="107"/>
        <v/>
      </c>
      <c r="DX43" s="506" t="str">
        <f t="shared" si="108"/>
        <v/>
      </c>
      <c r="DY43" s="506" t="str">
        <f t="shared" si="109"/>
        <v/>
      </c>
      <c r="DZ43" s="506" t="str">
        <f t="shared" si="110"/>
        <v/>
      </c>
      <c r="EA43" s="506" t="str">
        <f t="shared" si="111"/>
        <v/>
      </c>
      <c r="EB43" s="506" t="str">
        <f t="shared" si="112"/>
        <v/>
      </c>
      <c r="EC43" s="506" t="str">
        <f t="shared" si="113"/>
        <v/>
      </c>
      <c r="ED43" s="506" t="str">
        <f t="shared" si="114"/>
        <v/>
      </c>
      <c r="EE43" s="506" t="str">
        <f t="shared" si="115"/>
        <v/>
      </c>
      <c r="EF43" s="506" t="str">
        <f t="shared" si="116"/>
        <v/>
      </c>
      <c r="EG43" s="506" t="str">
        <f t="shared" si="117"/>
        <v/>
      </c>
      <c r="EH43" s="506" t="str">
        <f t="shared" si="118"/>
        <v/>
      </c>
      <c r="EI43" s="506" t="str">
        <f t="shared" si="119"/>
        <v/>
      </c>
      <c r="EJ43" s="506" t="str">
        <f t="shared" si="120"/>
        <v/>
      </c>
      <c r="EK43" s="506" t="str">
        <f t="shared" si="121"/>
        <v/>
      </c>
      <c r="EL43" s="506" t="str">
        <f t="shared" si="122"/>
        <v/>
      </c>
      <c r="EM43" s="506" t="str">
        <f t="shared" si="123"/>
        <v/>
      </c>
      <c r="EN43" s="506" t="str">
        <f t="shared" si="124"/>
        <v/>
      </c>
      <c r="EO43" s="506" t="str">
        <f t="shared" si="125"/>
        <v/>
      </c>
      <c r="EP43" s="506" t="str">
        <f t="shared" si="126"/>
        <v/>
      </c>
      <c r="EQ43" s="506" t="str">
        <f t="shared" si="127"/>
        <v/>
      </c>
      <c r="ER43" s="506" t="str">
        <f t="shared" si="128"/>
        <v/>
      </c>
      <c r="ES43" s="506" t="str">
        <f t="shared" si="129"/>
        <v/>
      </c>
      <c r="ET43" s="506" t="str">
        <f t="shared" si="130"/>
        <v/>
      </c>
      <c r="EU43" s="506" t="str">
        <f t="shared" si="131"/>
        <v/>
      </c>
      <c r="EV43" s="506" t="str">
        <f t="shared" si="132"/>
        <v/>
      </c>
      <c r="EW43" s="516" t="str">
        <f t="shared" si="133"/>
        <v/>
      </c>
      <c r="EX43" s="516" t="str">
        <f t="shared" si="134"/>
        <v/>
      </c>
      <c r="EY43" s="516" t="str">
        <f t="shared" si="135"/>
        <v/>
      </c>
      <c r="EZ43" s="516" t="str">
        <f t="shared" si="136"/>
        <v/>
      </c>
      <c r="FA43" s="516" t="str">
        <f t="shared" si="137"/>
        <v/>
      </c>
      <c r="FB43" s="516" t="str">
        <f t="shared" si="138"/>
        <v/>
      </c>
      <c r="FC43" s="516" t="str">
        <f t="shared" si="139"/>
        <v/>
      </c>
      <c r="FD43" s="516" t="str">
        <f t="shared" si="140"/>
        <v/>
      </c>
      <c r="FE43" s="516" t="str">
        <f t="shared" si="141"/>
        <v/>
      </c>
      <c r="FF43" s="516" t="str">
        <f t="shared" si="142"/>
        <v/>
      </c>
      <c r="FG43" s="516" t="str">
        <f t="shared" si="143"/>
        <v/>
      </c>
      <c r="FH43" s="516" t="str">
        <f t="shared" si="144"/>
        <v/>
      </c>
      <c r="FI43" s="516" t="str">
        <f t="shared" si="145"/>
        <v/>
      </c>
      <c r="FJ43" s="516" t="str">
        <f t="shared" si="146"/>
        <v/>
      </c>
      <c r="FK43" s="516" t="str">
        <f t="shared" si="147"/>
        <v/>
      </c>
      <c r="FL43" s="516" t="str">
        <f t="shared" si="148"/>
        <v/>
      </c>
      <c r="FM43" s="516" t="str">
        <f t="shared" si="149"/>
        <v/>
      </c>
      <c r="FN43" s="516" t="str">
        <f t="shared" si="150"/>
        <v/>
      </c>
      <c r="FO43" s="516" t="str">
        <f t="shared" si="151"/>
        <v/>
      </c>
      <c r="FP43" s="516" t="str">
        <f t="shared" si="152"/>
        <v/>
      </c>
      <c r="FQ43" s="516" t="str">
        <f t="shared" si="153"/>
        <v/>
      </c>
      <c r="FR43" s="516" t="str">
        <f t="shared" si="154"/>
        <v/>
      </c>
      <c r="FS43" s="516" t="str">
        <f t="shared" si="155"/>
        <v/>
      </c>
      <c r="FT43" s="516" t="str">
        <f t="shared" si="156"/>
        <v/>
      </c>
      <c r="FU43" s="516" t="str">
        <f t="shared" si="157"/>
        <v/>
      </c>
      <c r="FV43" s="516" t="str">
        <f t="shared" si="158"/>
        <v/>
      </c>
      <c r="FW43" s="516" t="str">
        <f t="shared" si="159"/>
        <v/>
      </c>
      <c r="FX43" s="516" t="str">
        <f t="shared" si="160"/>
        <v/>
      </c>
      <c r="FY43" s="516" t="str">
        <f t="shared" si="161"/>
        <v/>
      </c>
      <c r="FZ43" s="516" t="str">
        <f t="shared" si="162"/>
        <v/>
      </c>
      <c r="GA43" s="516" t="str">
        <f t="shared" si="163"/>
        <v/>
      </c>
      <c r="GB43" s="516" t="str">
        <f t="shared" si="164"/>
        <v/>
      </c>
      <c r="GC43" s="516" t="str">
        <f t="shared" si="165"/>
        <v/>
      </c>
      <c r="GD43" s="516" t="str">
        <f t="shared" si="166"/>
        <v/>
      </c>
      <c r="GE43" s="516" t="str">
        <f t="shared" si="167"/>
        <v/>
      </c>
      <c r="GF43" s="516" t="str">
        <f t="shared" si="168"/>
        <v/>
      </c>
      <c r="GG43" s="516" t="str">
        <f t="shared" si="169"/>
        <v/>
      </c>
      <c r="GH43" s="516" t="str">
        <f t="shared" si="170"/>
        <v/>
      </c>
      <c r="GI43" s="516" t="str">
        <f t="shared" si="171"/>
        <v/>
      </c>
      <c r="GJ43" s="516" t="str">
        <f t="shared" si="172"/>
        <v/>
      </c>
      <c r="GK43" s="516" t="str">
        <f t="shared" si="173"/>
        <v/>
      </c>
      <c r="GL43" s="516" t="str">
        <f t="shared" si="174"/>
        <v/>
      </c>
      <c r="GM43" s="516" t="str">
        <f t="shared" si="175"/>
        <v/>
      </c>
      <c r="GN43" s="516" t="str">
        <f t="shared" si="176"/>
        <v/>
      </c>
      <c r="GO43" s="516" t="str">
        <f t="shared" si="177"/>
        <v/>
      </c>
      <c r="GP43" s="516" t="str">
        <f t="shared" si="178"/>
        <v/>
      </c>
      <c r="GQ43" s="516" t="str">
        <f t="shared" si="179"/>
        <v/>
      </c>
      <c r="GR43" s="516" t="str">
        <f t="shared" si="180"/>
        <v/>
      </c>
      <c r="GS43" s="516" t="str">
        <f t="shared" si="181"/>
        <v/>
      </c>
      <c r="GT43" s="516" t="str">
        <f t="shared" si="182"/>
        <v/>
      </c>
      <c r="GU43" s="516" t="str">
        <f t="shared" si="183"/>
        <v/>
      </c>
      <c r="GV43" s="516" t="str">
        <f t="shared" si="184"/>
        <v/>
      </c>
      <c r="GW43" s="516" t="str">
        <f t="shared" si="185"/>
        <v/>
      </c>
      <c r="GX43" s="516" t="str">
        <f t="shared" si="186"/>
        <v/>
      </c>
      <c r="GY43" s="516" t="str">
        <f t="shared" si="187"/>
        <v/>
      </c>
      <c r="GZ43" s="516" t="str">
        <f t="shared" si="188"/>
        <v/>
      </c>
      <c r="HA43" s="516" t="str">
        <f t="shared" si="189"/>
        <v/>
      </c>
      <c r="HB43" s="516" t="str">
        <f t="shared" si="190"/>
        <v/>
      </c>
      <c r="HC43" s="516" t="str">
        <f t="shared" si="191"/>
        <v/>
      </c>
      <c r="HD43" s="516" t="str">
        <f t="shared" si="192"/>
        <v/>
      </c>
      <c r="HE43" s="516" t="str">
        <f t="shared" si="193"/>
        <v/>
      </c>
      <c r="HF43" s="516" t="str">
        <f t="shared" si="194"/>
        <v/>
      </c>
      <c r="HG43" s="516" t="str">
        <f t="shared" si="195"/>
        <v/>
      </c>
      <c r="HH43" s="516" t="str">
        <f t="shared" si="196"/>
        <v/>
      </c>
      <c r="HI43" s="516" t="str">
        <f t="shared" si="197"/>
        <v/>
      </c>
      <c r="HJ43" s="516" t="str">
        <f t="shared" si="198"/>
        <v/>
      </c>
      <c r="HK43" s="516" t="str">
        <f t="shared" si="199"/>
        <v/>
      </c>
      <c r="HL43" s="516" t="str">
        <f t="shared" si="200"/>
        <v/>
      </c>
      <c r="HM43" s="516" t="str">
        <f t="shared" si="201"/>
        <v/>
      </c>
      <c r="HN43" s="516" t="str">
        <f t="shared" si="202"/>
        <v/>
      </c>
      <c r="HO43" s="516" t="str">
        <f t="shared" si="203"/>
        <v/>
      </c>
      <c r="HP43" s="516" t="str">
        <f t="shared" si="204"/>
        <v/>
      </c>
      <c r="HQ43" s="516" t="str">
        <f t="shared" si="205"/>
        <v/>
      </c>
      <c r="HR43" s="516" t="str">
        <f t="shared" si="206"/>
        <v/>
      </c>
      <c r="HS43" s="516" t="str">
        <f t="shared" si="207"/>
        <v/>
      </c>
      <c r="HT43" s="516" t="str">
        <f t="shared" si="208"/>
        <v/>
      </c>
      <c r="HU43" s="516" t="str">
        <f t="shared" si="209"/>
        <v/>
      </c>
      <c r="HV43" s="516" t="str">
        <f t="shared" si="210"/>
        <v/>
      </c>
      <c r="HW43" s="516" t="str">
        <f t="shared" si="211"/>
        <v/>
      </c>
      <c r="HX43" s="516" t="str">
        <f t="shared" si="212"/>
        <v/>
      </c>
      <c r="HY43" s="516" t="str">
        <f t="shared" si="213"/>
        <v/>
      </c>
      <c r="HZ43" s="516" t="str">
        <f t="shared" si="214"/>
        <v/>
      </c>
      <c r="IA43" s="516" t="str">
        <f t="shared" si="215"/>
        <v/>
      </c>
      <c r="IB43" s="516" t="str">
        <f t="shared" si="216"/>
        <v/>
      </c>
      <c r="IC43" s="516" t="str">
        <f t="shared" si="217"/>
        <v/>
      </c>
      <c r="ID43" s="517" t="str">
        <f t="shared" si="218"/>
        <v/>
      </c>
      <c r="IE43" s="517" t="str">
        <f t="shared" si="219"/>
        <v/>
      </c>
      <c r="IF43" s="517" t="str">
        <f t="shared" si="220"/>
        <v/>
      </c>
      <c r="IG43" s="517" t="str">
        <f t="shared" si="221"/>
        <v/>
      </c>
      <c r="IH43" s="517" t="str">
        <f t="shared" si="222"/>
        <v/>
      </c>
      <c r="II43" s="506" t="str">
        <f t="shared" si="223"/>
        <v/>
      </c>
      <c r="IJ43" s="506" t="str">
        <f t="shared" si="224"/>
        <v/>
      </c>
      <c r="IK43" s="506" t="str">
        <f t="shared" si="225"/>
        <v/>
      </c>
      <c r="IL43" s="506" t="str">
        <f t="shared" si="226"/>
        <v/>
      </c>
      <c r="IM43" s="506" t="str">
        <f t="shared" si="227"/>
        <v/>
      </c>
      <c r="IN43" s="506" t="str">
        <f t="shared" si="228"/>
        <v/>
      </c>
      <c r="IO43" s="506" t="str">
        <f t="shared" si="229"/>
        <v/>
      </c>
      <c r="IP43" s="506" t="str">
        <f t="shared" si="230"/>
        <v/>
      </c>
      <c r="IQ43" s="506" t="str">
        <f t="shared" si="231"/>
        <v/>
      </c>
      <c r="IR43" s="506" t="str">
        <f t="shared" si="232"/>
        <v/>
      </c>
      <c r="IS43" s="506" t="str">
        <f t="shared" si="233"/>
        <v/>
      </c>
      <c r="IT43" s="506" t="str">
        <f t="shared" si="234"/>
        <v/>
      </c>
      <c r="IU43" s="506" t="str">
        <f t="shared" si="235"/>
        <v/>
      </c>
      <c r="IV43" s="506" t="str">
        <f t="shared" si="236"/>
        <v/>
      </c>
      <c r="IW43" s="506" t="str">
        <f t="shared" si="237"/>
        <v/>
      </c>
      <c r="IX43" s="506" t="str">
        <f t="shared" si="238"/>
        <v/>
      </c>
      <c r="IY43" s="506" t="str">
        <f t="shared" si="239"/>
        <v/>
      </c>
      <c r="IZ43" s="506" t="str">
        <f t="shared" si="240"/>
        <v/>
      </c>
      <c r="JA43" s="506" t="str">
        <f t="shared" si="241"/>
        <v/>
      </c>
      <c r="JB43" s="506" t="str">
        <f t="shared" si="242"/>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24" t="s">
        <v>1858</v>
      </c>
      <c r="C44" s="2525"/>
      <c r="D44" s="2526"/>
      <c r="E44" s="2527"/>
      <c r="F44" s="2527"/>
      <c r="G44" s="2527"/>
      <c r="H44" s="2527"/>
      <c r="I44" s="2527"/>
      <c r="J44" s="2528"/>
      <c r="K44" s="825">
        <f t="shared" si="1"/>
        <v>0</v>
      </c>
      <c r="L44" s="825">
        <f t="shared" si="2"/>
        <v>0</v>
      </c>
      <c r="M44" s="1301"/>
      <c r="N44" s="1301"/>
      <c r="O44" s="1301"/>
      <c r="P44" s="2529"/>
      <c r="Q44" s="2530" t="str">
        <f t="shared" si="243"/>
        <v/>
      </c>
      <c r="R44" s="2531" t="str">
        <f>IF(H44="","",IF(C44="Efficiency",Q44/($O$6*VLOOKUP(0,'DCA Underwriting Assumptions'!$J$118:$K$123,2,FALSE)),Q44/($O$6*VLOOKUP(C44,'DCA Underwriting Assumptions'!$J$118:$K$123,2,FALSE))))</f>
        <v/>
      </c>
      <c r="S44" s="2532"/>
      <c r="T44" s="2531"/>
      <c r="U44" s="2533"/>
      <c r="V44" s="2458"/>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53"/>
        <v/>
      </c>
      <c r="BV44" s="506" t="str">
        <f t="shared" si="54"/>
        <v/>
      </c>
      <c r="BW44" s="506" t="str">
        <f t="shared" si="55"/>
        <v/>
      </c>
      <c r="BX44" s="506" t="str">
        <f t="shared" si="56"/>
        <v/>
      </c>
      <c r="BY44" s="506" t="str">
        <f t="shared" si="57"/>
        <v/>
      </c>
      <c r="BZ44" s="506" t="str">
        <f t="shared" si="58"/>
        <v/>
      </c>
      <c r="CA44" s="506" t="str">
        <f t="shared" si="59"/>
        <v/>
      </c>
      <c r="CB44" s="506" t="str">
        <f t="shared" si="60"/>
        <v/>
      </c>
      <c r="CC44" s="506" t="str">
        <f t="shared" si="61"/>
        <v/>
      </c>
      <c r="CD44" s="506" t="str">
        <f t="shared" si="62"/>
        <v/>
      </c>
      <c r="CE44" s="506" t="str">
        <f t="shared" si="63"/>
        <v/>
      </c>
      <c r="CF44" s="506" t="str">
        <f t="shared" si="64"/>
        <v/>
      </c>
      <c r="CG44" s="506" t="str">
        <f t="shared" si="65"/>
        <v/>
      </c>
      <c r="CH44" s="506" t="str">
        <f t="shared" si="66"/>
        <v/>
      </c>
      <c r="CI44" s="506" t="str">
        <f t="shared" si="67"/>
        <v/>
      </c>
      <c r="CJ44" s="506" t="str">
        <f t="shared" si="68"/>
        <v/>
      </c>
      <c r="CK44" s="506" t="str">
        <f t="shared" si="69"/>
        <v/>
      </c>
      <c r="CL44" s="506" t="str">
        <f t="shared" si="70"/>
        <v/>
      </c>
      <c r="CM44" s="506" t="str">
        <f t="shared" si="71"/>
        <v/>
      </c>
      <c r="CN44" s="506" t="str">
        <f t="shared" si="72"/>
        <v/>
      </c>
      <c r="CO44" s="506" t="str">
        <f t="shared" si="73"/>
        <v/>
      </c>
      <c r="CP44" s="506" t="str">
        <f t="shared" si="74"/>
        <v/>
      </c>
      <c r="CQ44" s="506" t="str">
        <f t="shared" si="75"/>
        <v/>
      </c>
      <c r="CR44" s="506" t="str">
        <f t="shared" si="76"/>
        <v/>
      </c>
      <c r="CS44" s="506" t="str">
        <f t="shared" si="77"/>
        <v/>
      </c>
      <c r="CT44" s="506" t="str">
        <f t="shared" si="78"/>
        <v/>
      </c>
      <c r="CU44" s="506" t="str">
        <f t="shared" si="79"/>
        <v/>
      </c>
      <c r="CV44" s="506" t="str">
        <f t="shared" si="80"/>
        <v/>
      </c>
      <c r="CW44" s="506" t="str">
        <f t="shared" si="81"/>
        <v/>
      </c>
      <c r="CX44" s="506" t="str">
        <f t="shared" si="82"/>
        <v/>
      </c>
      <c r="CY44" s="506" t="str">
        <f t="shared" si="83"/>
        <v/>
      </c>
      <c r="CZ44" s="506" t="str">
        <f t="shared" si="84"/>
        <v/>
      </c>
      <c r="DA44" s="506" t="str">
        <f t="shared" si="85"/>
        <v/>
      </c>
      <c r="DB44" s="506" t="str">
        <f t="shared" si="86"/>
        <v/>
      </c>
      <c r="DC44" s="506" t="str">
        <f t="shared" si="87"/>
        <v/>
      </c>
      <c r="DD44" s="506" t="str">
        <f t="shared" si="88"/>
        <v/>
      </c>
      <c r="DE44" s="506" t="str">
        <f t="shared" si="89"/>
        <v/>
      </c>
      <c r="DF44" s="506" t="str">
        <f t="shared" si="90"/>
        <v/>
      </c>
      <c r="DG44" s="506" t="str">
        <f t="shared" si="91"/>
        <v/>
      </c>
      <c r="DH44" s="506" t="str">
        <f t="shared" si="92"/>
        <v/>
      </c>
      <c r="DI44" s="506" t="str">
        <f t="shared" si="93"/>
        <v/>
      </c>
      <c r="DJ44" s="506" t="str">
        <f t="shared" si="94"/>
        <v/>
      </c>
      <c r="DK44" s="506" t="str">
        <f t="shared" si="95"/>
        <v/>
      </c>
      <c r="DL44" s="506" t="str">
        <f t="shared" si="96"/>
        <v/>
      </c>
      <c r="DM44" s="506" t="str">
        <f t="shared" si="97"/>
        <v/>
      </c>
      <c r="DN44" s="506" t="str">
        <f t="shared" si="98"/>
        <v/>
      </c>
      <c r="DO44" s="506" t="str">
        <f t="shared" si="99"/>
        <v/>
      </c>
      <c r="DP44" s="506" t="str">
        <f t="shared" si="100"/>
        <v/>
      </c>
      <c r="DQ44" s="506" t="str">
        <f t="shared" si="101"/>
        <v/>
      </c>
      <c r="DR44" s="506" t="str">
        <f t="shared" si="102"/>
        <v/>
      </c>
      <c r="DS44" s="506" t="str">
        <f t="shared" si="103"/>
        <v/>
      </c>
      <c r="DT44" s="506" t="str">
        <f t="shared" si="104"/>
        <v/>
      </c>
      <c r="DU44" s="506" t="str">
        <f t="shared" si="105"/>
        <v/>
      </c>
      <c r="DV44" s="506" t="str">
        <f t="shared" si="106"/>
        <v/>
      </c>
      <c r="DW44" s="506" t="str">
        <f t="shared" si="107"/>
        <v/>
      </c>
      <c r="DX44" s="506" t="str">
        <f t="shared" si="108"/>
        <v/>
      </c>
      <c r="DY44" s="506" t="str">
        <f t="shared" si="109"/>
        <v/>
      </c>
      <c r="DZ44" s="506" t="str">
        <f t="shared" si="110"/>
        <v/>
      </c>
      <c r="EA44" s="506" t="str">
        <f t="shared" si="111"/>
        <v/>
      </c>
      <c r="EB44" s="506" t="str">
        <f t="shared" si="112"/>
        <v/>
      </c>
      <c r="EC44" s="506" t="str">
        <f t="shared" si="113"/>
        <v/>
      </c>
      <c r="ED44" s="506" t="str">
        <f t="shared" si="114"/>
        <v/>
      </c>
      <c r="EE44" s="506" t="str">
        <f t="shared" si="115"/>
        <v/>
      </c>
      <c r="EF44" s="506" t="str">
        <f t="shared" si="116"/>
        <v/>
      </c>
      <c r="EG44" s="506" t="str">
        <f t="shared" si="117"/>
        <v/>
      </c>
      <c r="EH44" s="506" t="str">
        <f t="shared" si="118"/>
        <v/>
      </c>
      <c r="EI44" s="506" t="str">
        <f t="shared" si="119"/>
        <v/>
      </c>
      <c r="EJ44" s="506" t="str">
        <f t="shared" si="120"/>
        <v/>
      </c>
      <c r="EK44" s="506" t="str">
        <f t="shared" si="121"/>
        <v/>
      </c>
      <c r="EL44" s="506" t="str">
        <f t="shared" si="122"/>
        <v/>
      </c>
      <c r="EM44" s="506" t="str">
        <f t="shared" si="123"/>
        <v/>
      </c>
      <c r="EN44" s="506" t="str">
        <f t="shared" si="124"/>
        <v/>
      </c>
      <c r="EO44" s="506" t="str">
        <f t="shared" si="125"/>
        <v/>
      </c>
      <c r="EP44" s="506" t="str">
        <f t="shared" si="126"/>
        <v/>
      </c>
      <c r="EQ44" s="506" t="str">
        <f t="shared" si="127"/>
        <v/>
      </c>
      <c r="ER44" s="506" t="str">
        <f t="shared" si="128"/>
        <v/>
      </c>
      <c r="ES44" s="506" t="str">
        <f t="shared" si="129"/>
        <v/>
      </c>
      <c r="ET44" s="506" t="str">
        <f t="shared" si="130"/>
        <v/>
      </c>
      <c r="EU44" s="506" t="str">
        <f t="shared" si="131"/>
        <v/>
      </c>
      <c r="EV44" s="506" t="str">
        <f t="shared" si="132"/>
        <v/>
      </c>
      <c r="EW44" s="516" t="str">
        <f t="shared" si="133"/>
        <v/>
      </c>
      <c r="EX44" s="516" t="str">
        <f t="shared" si="134"/>
        <v/>
      </c>
      <c r="EY44" s="516" t="str">
        <f t="shared" si="135"/>
        <v/>
      </c>
      <c r="EZ44" s="516" t="str">
        <f t="shared" si="136"/>
        <v/>
      </c>
      <c r="FA44" s="516" t="str">
        <f t="shared" si="137"/>
        <v/>
      </c>
      <c r="FB44" s="516" t="str">
        <f t="shared" si="138"/>
        <v/>
      </c>
      <c r="FC44" s="516" t="str">
        <f t="shared" si="139"/>
        <v/>
      </c>
      <c r="FD44" s="516" t="str">
        <f t="shared" si="140"/>
        <v/>
      </c>
      <c r="FE44" s="516" t="str">
        <f t="shared" si="141"/>
        <v/>
      </c>
      <c r="FF44" s="516" t="str">
        <f t="shared" si="142"/>
        <v/>
      </c>
      <c r="FG44" s="516" t="str">
        <f t="shared" si="143"/>
        <v/>
      </c>
      <c r="FH44" s="516" t="str">
        <f t="shared" si="144"/>
        <v/>
      </c>
      <c r="FI44" s="516" t="str">
        <f t="shared" si="145"/>
        <v/>
      </c>
      <c r="FJ44" s="516" t="str">
        <f t="shared" si="146"/>
        <v/>
      </c>
      <c r="FK44" s="516" t="str">
        <f t="shared" si="147"/>
        <v/>
      </c>
      <c r="FL44" s="516" t="str">
        <f t="shared" si="148"/>
        <v/>
      </c>
      <c r="FM44" s="516" t="str">
        <f t="shared" si="149"/>
        <v/>
      </c>
      <c r="FN44" s="516" t="str">
        <f t="shared" si="150"/>
        <v/>
      </c>
      <c r="FO44" s="516" t="str">
        <f t="shared" si="151"/>
        <v/>
      </c>
      <c r="FP44" s="516" t="str">
        <f t="shared" si="152"/>
        <v/>
      </c>
      <c r="FQ44" s="516" t="str">
        <f t="shared" si="153"/>
        <v/>
      </c>
      <c r="FR44" s="516" t="str">
        <f t="shared" si="154"/>
        <v/>
      </c>
      <c r="FS44" s="516" t="str">
        <f t="shared" si="155"/>
        <v/>
      </c>
      <c r="FT44" s="516" t="str">
        <f t="shared" si="156"/>
        <v/>
      </c>
      <c r="FU44" s="516" t="str">
        <f t="shared" si="157"/>
        <v/>
      </c>
      <c r="FV44" s="516" t="str">
        <f t="shared" si="158"/>
        <v/>
      </c>
      <c r="FW44" s="516" t="str">
        <f t="shared" si="159"/>
        <v/>
      </c>
      <c r="FX44" s="516" t="str">
        <f t="shared" si="160"/>
        <v/>
      </c>
      <c r="FY44" s="516" t="str">
        <f t="shared" si="161"/>
        <v/>
      </c>
      <c r="FZ44" s="516" t="str">
        <f t="shared" si="162"/>
        <v/>
      </c>
      <c r="GA44" s="516" t="str">
        <f t="shared" si="163"/>
        <v/>
      </c>
      <c r="GB44" s="516" t="str">
        <f t="shared" si="164"/>
        <v/>
      </c>
      <c r="GC44" s="516" t="str">
        <f t="shared" si="165"/>
        <v/>
      </c>
      <c r="GD44" s="516" t="str">
        <f t="shared" si="166"/>
        <v/>
      </c>
      <c r="GE44" s="516" t="str">
        <f t="shared" si="167"/>
        <v/>
      </c>
      <c r="GF44" s="516" t="str">
        <f t="shared" si="168"/>
        <v/>
      </c>
      <c r="GG44" s="516" t="str">
        <f t="shared" si="169"/>
        <v/>
      </c>
      <c r="GH44" s="516" t="str">
        <f t="shared" si="170"/>
        <v/>
      </c>
      <c r="GI44" s="516" t="str">
        <f t="shared" si="171"/>
        <v/>
      </c>
      <c r="GJ44" s="516" t="str">
        <f t="shared" si="172"/>
        <v/>
      </c>
      <c r="GK44" s="516" t="str">
        <f t="shared" si="173"/>
        <v/>
      </c>
      <c r="GL44" s="516" t="str">
        <f t="shared" si="174"/>
        <v/>
      </c>
      <c r="GM44" s="516" t="str">
        <f t="shared" si="175"/>
        <v/>
      </c>
      <c r="GN44" s="516" t="str">
        <f t="shared" si="176"/>
        <v/>
      </c>
      <c r="GO44" s="516" t="str">
        <f t="shared" si="177"/>
        <v/>
      </c>
      <c r="GP44" s="516" t="str">
        <f t="shared" si="178"/>
        <v/>
      </c>
      <c r="GQ44" s="516" t="str">
        <f t="shared" si="179"/>
        <v/>
      </c>
      <c r="GR44" s="516" t="str">
        <f t="shared" si="180"/>
        <v/>
      </c>
      <c r="GS44" s="516" t="str">
        <f t="shared" si="181"/>
        <v/>
      </c>
      <c r="GT44" s="516" t="str">
        <f t="shared" si="182"/>
        <v/>
      </c>
      <c r="GU44" s="516" t="str">
        <f t="shared" si="183"/>
        <v/>
      </c>
      <c r="GV44" s="516" t="str">
        <f t="shared" si="184"/>
        <v/>
      </c>
      <c r="GW44" s="516" t="str">
        <f t="shared" si="185"/>
        <v/>
      </c>
      <c r="GX44" s="516" t="str">
        <f t="shared" si="186"/>
        <v/>
      </c>
      <c r="GY44" s="516" t="str">
        <f t="shared" si="187"/>
        <v/>
      </c>
      <c r="GZ44" s="516" t="str">
        <f t="shared" si="188"/>
        <v/>
      </c>
      <c r="HA44" s="516" t="str">
        <f t="shared" si="189"/>
        <v/>
      </c>
      <c r="HB44" s="516" t="str">
        <f t="shared" si="190"/>
        <v/>
      </c>
      <c r="HC44" s="516" t="str">
        <f t="shared" si="191"/>
        <v/>
      </c>
      <c r="HD44" s="516" t="str">
        <f t="shared" si="192"/>
        <v/>
      </c>
      <c r="HE44" s="516" t="str">
        <f t="shared" si="193"/>
        <v/>
      </c>
      <c r="HF44" s="516" t="str">
        <f t="shared" si="194"/>
        <v/>
      </c>
      <c r="HG44" s="516" t="str">
        <f t="shared" si="195"/>
        <v/>
      </c>
      <c r="HH44" s="516" t="str">
        <f t="shared" si="196"/>
        <v/>
      </c>
      <c r="HI44" s="516" t="str">
        <f t="shared" si="197"/>
        <v/>
      </c>
      <c r="HJ44" s="516" t="str">
        <f t="shared" si="198"/>
        <v/>
      </c>
      <c r="HK44" s="516" t="str">
        <f t="shared" si="199"/>
        <v/>
      </c>
      <c r="HL44" s="516" t="str">
        <f t="shared" si="200"/>
        <v/>
      </c>
      <c r="HM44" s="516" t="str">
        <f t="shared" si="201"/>
        <v/>
      </c>
      <c r="HN44" s="516" t="str">
        <f t="shared" si="202"/>
        <v/>
      </c>
      <c r="HO44" s="516" t="str">
        <f t="shared" si="203"/>
        <v/>
      </c>
      <c r="HP44" s="516" t="str">
        <f t="shared" si="204"/>
        <v/>
      </c>
      <c r="HQ44" s="516" t="str">
        <f t="shared" si="205"/>
        <v/>
      </c>
      <c r="HR44" s="516" t="str">
        <f t="shared" si="206"/>
        <v/>
      </c>
      <c r="HS44" s="516" t="str">
        <f t="shared" si="207"/>
        <v/>
      </c>
      <c r="HT44" s="516" t="str">
        <f t="shared" si="208"/>
        <v/>
      </c>
      <c r="HU44" s="516" t="str">
        <f t="shared" si="209"/>
        <v/>
      </c>
      <c r="HV44" s="516" t="str">
        <f t="shared" si="210"/>
        <v/>
      </c>
      <c r="HW44" s="516" t="str">
        <f t="shared" si="211"/>
        <v/>
      </c>
      <c r="HX44" s="516" t="str">
        <f t="shared" si="212"/>
        <v/>
      </c>
      <c r="HY44" s="516" t="str">
        <f t="shared" si="213"/>
        <v/>
      </c>
      <c r="HZ44" s="516" t="str">
        <f t="shared" si="214"/>
        <v/>
      </c>
      <c r="IA44" s="516" t="str">
        <f t="shared" si="215"/>
        <v/>
      </c>
      <c r="IB44" s="516" t="str">
        <f t="shared" si="216"/>
        <v/>
      </c>
      <c r="IC44" s="516" t="str">
        <f t="shared" si="217"/>
        <v/>
      </c>
      <c r="ID44" s="517" t="str">
        <f t="shared" si="218"/>
        <v/>
      </c>
      <c r="IE44" s="517" t="str">
        <f t="shared" si="219"/>
        <v/>
      </c>
      <c r="IF44" s="517" t="str">
        <f t="shared" si="220"/>
        <v/>
      </c>
      <c r="IG44" s="517" t="str">
        <f t="shared" si="221"/>
        <v/>
      </c>
      <c r="IH44" s="517" t="str">
        <f t="shared" si="222"/>
        <v/>
      </c>
      <c r="II44" s="506" t="str">
        <f t="shared" si="223"/>
        <v/>
      </c>
      <c r="IJ44" s="506" t="str">
        <f t="shared" si="224"/>
        <v/>
      </c>
      <c r="IK44" s="506" t="str">
        <f t="shared" si="225"/>
        <v/>
      </c>
      <c r="IL44" s="506" t="str">
        <f t="shared" si="226"/>
        <v/>
      </c>
      <c r="IM44" s="506" t="str">
        <f t="shared" si="227"/>
        <v/>
      </c>
      <c r="IN44" s="506" t="str">
        <f t="shared" si="228"/>
        <v/>
      </c>
      <c r="IO44" s="506" t="str">
        <f t="shared" si="229"/>
        <v/>
      </c>
      <c r="IP44" s="506" t="str">
        <f t="shared" si="230"/>
        <v/>
      </c>
      <c r="IQ44" s="506" t="str">
        <f t="shared" si="231"/>
        <v/>
      </c>
      <c r="IR44" s="506" t="str">
        <f t="shared" si="232"/>
        <v/>
      </c>
      <c r="IS44" s="506" t="str">
        <f t="shared" si="233"/>
        <v/>
      </c>
      <c r="IT44" s="506" t="str">
        <f t="shared" si="234"/>
        <v/>
      </c>
      <c r="IU44" s="506" t="str">
        <f t="shared" si="235"/>
        <v/>
      </c>
      <c r="IV44" s="506" t="str">
        <f t="shared" si="236"/>
        <v/>
      </c>
      <c r="IW44" s="506" t="str">
        <f t="shared" si="237"/>
        <v/>
      </c>
      <c r="IX44" s="506" t="str">
        <f t="shared" si="238"/>
        <v/>
      </c>
      <c r="IY44" s="506" t="str">
        <f t="shared" si="239"/>
        <v/>
      </c>
      <c r="IZ44" s="506" t="str">
        <f t="shared" si="240"/>
        <v/>
      </c>
      <c r="JA44" s="506" t="str">
        <f t="shared" si="241"/>
        <v/>
      </c>
      <c r="JB44" s="506" t="str">
        <f t="shared" si="242"/>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24" t="s">
        <v>1858</v>
      </c>
      <c r="C45" s="2525"/>
      <c r="D45" s="2526"/>
      <c r="E45" s="2527"/>
      <c r="F45" s="2527"/>
      <c r="G45" s="2527"/>
      <c r="H45" s="2527"/>
      <c r="I45" s="2527"/>
      <c r="J45" s="2528"/>
      <c r="K45" s="825">
        <f t="shared" si="1"/>
        <v>0</v>
      </c>
      <c r="L45" s="825">
        <f t="shared" si="2"/>
        <v>0</v>
      </c>
      <c r="M45" s="1301"/>
      <c r="N45" s="1301"/>
      <c r="O45" s="1301"/>
      <c r="P45" s="2529"/>
      <c r="Q45" s="2530" t="str">
        <f t="shared" si="243"/>
        <v/>
      </c>
      <c r="R45" s="2531" t="str">
        <f>IF(H45="","",IF(C45="Efficiency",Q45/($O$6*VLOOKUP(0,'DCA Underwriting Assumptions'!$J$118:$K$123,2,FALSE)),Q45/($O$6*VLOOKUP(C45,'DCA Underwriting Assumptions'!$J$118:$K$123,2,FALSE))))</f>
        <v/>
      </c>
      <c r="S45" s="2532"/>
      <c r="T45" s="2531"/>
      <c r="U45" s="2533"/>
      <c r="V45" s="2458"/>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53"/>
        <v/>
      </c>
      <c r="BV45" s="506" t="str">
        <f t="shared" si="54"/>
        <v/>
      </c>
      <c r="BW45" s="506" t="str">
        <f t="shared" si="55"/>
        <v/>
      </c>
      <c r="BX45" s="506" t="str">
        <f t="shared" si="56"/>
        <v/>
      </c>
      <c r="BY45" s="506" t="str">
        <f t="shared" si="57"/>
        <v/>
      </c>
      <c r="BZ45" s="506" t="str">
        <f t="shared" si="58"/>
        <v/>
      </c>
      <c r="CA45" s="506" t="str">
        <f t="shared" si="59"/>
        <v/>
      </c>
      <c r="CB45" s="506" t="str">
        <f t="shared" si="60"/>
        <v/>
      </c>
      <c r="CC45" s="506" t="str">
        <f t="shared" si="61"/>
        <v/>
      </c>
      <c r="CD45" s="506" t="str">
        <f t="shared" si="62"/>
        <v/>
      </c>
      <c r="CE45" s="506" t="str">
        <f t="shared" si="63"/>
        <v/>
      </c>
      <c r="CF45" s="506" t="str">
        <f t="shared" si="64"/>
        <v/>
      </c>
      <c r="CG45" s="506" t="str">
        <f t="shared" si="65"/>
        <v/>
      </c>
      <c r="CH45" s="506" t="str">
        <f t="shared" si="66"/>
        <v/>
      </c>
      <c r="CI45" s="506" t="str">
        <f t="shared" si="67"/>
        <v/>
      </c>
      <c r="CJ45" s="506" t="str">
        <f t="shared" si="68"/>
        <v/>
      </c>
      <c r="CK45" s="506" t="str">
        <f t="shared" si="69"/>
        <v/>
      </c>
      <c r="CL45" s="506" t="str">
        <f t="shared" si="70"/>
        <v/>
      </c>
      <c r="CM45" s="506" t="str">
        <f t="shared" si="71"/>
        <v/>
      </c>
      <c r="CN45" s="506" t="str">
        <f t="shared" si="72"/>
        <v/>
      </c>
      <c r="CO45" s="506" t="str">
        <f t="shared" si="73"/>
        <v/>
      </c>
      <c r="CP45" s="506" t="str">
        <f t="shared" si="74"/>
        <v/>
      </c>
      <c r="CQ45" s="506" t="str">
        <f t="shared" si="75"/>
        <v/>
      </c>
      <c r="CR45" s="506" t="str">
        <f t="shared" si="76"/>
        <v/>
      </c>
      <c r="CS45" s="506" t="str">
        <f t="shared" si="77"/>
        <v/>
      </c>
      <c r="CT45" s="506" t="str">
        <f t="shared" si="78"/>
        <v/>
      </c>
      <c r="CU45" s="506" t="str">
        <f t="shared" si="79"/>
        <v/>
      </c>
      <c r="CV45" s="506" t="str">
        <f t="shared" si="80"/>
        <v/>
      </c>
      <c r="CW45" s="506" t="str">
        <f t="shared" si="81"/>
        <v/>
      </c>
      <c r="CX45" s="506" t="str">
        <f t="shared" si="82"/>
        <v/>
      </c>
      <c r="CY45" s="506" t="str">
        <f t="shared" si="83"/>
        <v/>
      </c>
      <c r="CZ45" s="506" t="str">
        <f t="shared" si="84"/>
        <v/>
      </c>
      <c r="DA45" s="506" t="str">
        <f t="shared" si="85"/>
        <v/>
      </c>
      <c r="DB45" s="506" t="str">
        <f t="shared" si="86"/>
        <v/>
      </c>
      <c r="DC45" s="506" t="str">
        <f t="shared" si="87"/>
        <v/>
      </c>
      <c r="DD45" s="506" t="str">
        <f t="shared" si="88"/>
        <v/>
      </c>
      <c r="DE45" s="506" t="str">
        <f t="shared" si="89"/>
        <v/>
      </c>
      <c r="DF45" s="506" t="str">
        <f t="shared" si="90"/>
        <v/>
      </c>
      <c r="DG45" s="506" t="str">
        <f t="shared" si="91"/>
        <v/>
      </c>
      <c r="DH45" s="506" t="str">
        <f t="shared" si="92"/>
        <v/>
      </c>
      <c r="DI45" s="506" t="str">
        <f t="shared" si="93"/>
        <v/>
      </c>
      <c r="DJ45" s="506" t="str">
        <f t="shared" si="94"/>
        <v/>
      </c>
      <c r="DK45" s="506" t="str">
        <f t="shared" si="95"/>
        <v/>
      </c>
      <c r="DL45" s="506" t="str">
        <f t="shared" si="96"/>
        <v/>
      </c>
      <c r="DM45" s="506" t="str">
        <f t="shared" si="97"/>
        <v/>
      </c>
      <c r="DN45" s="506" t="str">
        <f t="shared" si="98"/>
        <v/>
      </c>
      <c r="DO45" s="506" t="str">
        <f t="shared" si="99"/>
        <v/>
      </c>
      <c r="DP45" s="506" t="str">
        <f t="shared" si="100"/>
        <v/>
      </c>
      <c r="DQ45" s="506" t="str">
        <f t="shared" si="101"/>
        <v/>
      </c>
      <c r="DR45" s="506" t="str">
        <f t="shared" si="102"/>
        <v/>
      </c>
      <c r="DS45" s="506" t="str">
        <f t="shared" si="103"/>
        <v/>
      </c>
      <c r="DT45" s="506" t="str">
        <f t="shared" si="104"/>
        <v/>
      </c>
      <c r="DU45" s="506" t="str">
        <f t="shared" si="105"/>
        <v/>
      </c>
      <c r="DV45" s="506" t="str">
        <f t="shared" si="106"/>
        <v/>
      </c>
      <c r="DW45" s="506" t="str">
        <f t="shared" si="107"/>
        <v/>
      </c>
      <c r="DX45" s="506" t="str">
        <f t="shared" si="108"/>
        <v/>
      </c>
      <c r="DY45" s="506" t="str">
        <f t="shared" si="109"/>
        <v/>
      </c>
      <c r="DZ45" s="506" t="str">
        <f t="shared" si="110"/>
        <v/>
      </c>
      <c r="EA45" s="506" t="str">
        <f t="shared" si="111"/>
        <v/>
      </c>
      <c r="EB45" s="506" t="str">
        <f t="shared" si="112"/>
        <v/>
      </c>
      <c r="EC45" s="506" t="str">
        <f t="shared" si="113"/>
        <v/>
      </c>
      <c r="ED45" s="506" t="str">
        <f t="shared" si="114"/>
        <v/>
      </c>
      <c r="EE45" s="506" t="str">
        <f t="shared" si="115"/>
        <v/>
      </c>
      <c r="EF45" s="506" t="str">
        <f t="shared" si="116"/>
        <v/>
      </c>
      <c r="EG45" s="506" t="str">
        <f t="shared" si="117"/>
        <v/>
      </c>
      <c r="EH45" s="506" t="str">
        <f t="shared" si="118"/>
        <v/>
      </c>
      <c r="EI45" s="506" t="str">
        <f t="shared" si="119"/>
        <v/>
      </c>
      <c r="EJ45" s="506" t="str">
        <f t="shared" si="120"/>
        <v/>
      </c>
      <c r="EK45" s="506" t="str">
        <f t="shared" si="121"/>
        <v/>
      </c>
      <c r="EL45" s="506" t="str">
        <f t="shared" si="122"/>
        <v/>
      </c>
      <c r="EM45" s="506" t="str">
        <f t="shared" si="123"/>
        <v/>
      </c>
      <c r="EN45" s="506" t="str">
        <f t="shared" si="124"/>
        <v/>
      </c>
      <c r="EO45" s="506" t="str">
        <f t="shared" si="125"/>
        <v/>
      </c>
      <c r="EP45" s="506" t="str">
        <f t="shared" si="126"/>
        <v/>
      </c>
      <c r="EQ45" s="506" t="str">
        <f t="shared" si="127"/>
        <v/>
      </c>
      <c r="ER45" s="506" t="str">
        <f t="shared" si="128"/>
        <v/>
      </c>
      <c r="ES45" s="506" t="str">
        <f t="shared" si="129"/>
        <v/>
      </c>
      <c r="ET45" s="506" t="str">
        <f t="shared" si="130"/>
        <v/>
      </c>
      <c r="EU45" s="506" t="str">
        <f t="shared" si="131"/>
        <v/>
      </c>
      <c r="EV45" s="506" t="str">
        <f t="shared" si="132"/>
        <v/>
      </c>
      <c r="EW45" s="516" t="str">
        <f t="shared" si="133"/>
        <v/>
      </c>
      <c r="EX45" s="516" t="str">
        <f t="shared" si="134"/>
        <v/>
      </c>
      <c r="EY45" s="516" t="str">
        <f t="shared" si="135"/>
        <v/>
      </c>
      <c r="EZ45" s="516" t="str">
        <f t="shared" si="136"/>
        <v/>
      </c>
      <c r="FA45" s="516" t="str">
        <f t="shared" si="137"/>
        <v/>
      </c>
      <c r="FB45" s="516" t="str">
        <f t="shared" si="138"/>
        <v/>
      </c>
      <c r="FC45" s="516" t="str">
        <f t="shared" si="139"/>
        <v/>
      </c>
      <c r="FD45" s="516" t="str">
        <f t="shared" si="140"/>
        <v/>
      </c>
      <c r="FE45" s="516" t="str">
        <f t="shared" si="141"/>
        <v/>
      </c>
      <c r="FF45" s="516" t="str">
        <f t="shared" si="142"/>
        <v/>
      </c>
      <c r="FG45" s="516" t="str">
        <f t="shared" si="143"/>
        <v/>
      </c>
      <c r="FH45" s="516" t="str">
        <f t="shared" si="144"/>
        <v/>
      </c>
      <c r="FI45" s="516" t="str">
        <f t="shared" si="145"/>
        <v/>
      </c>
      <c r="FJ45" s="516" t="str">
        <f t="shared" si="146"/>
        <v/>
      </c>
      <c r="FK45" s="516" t="str">
        <f t="shared" si="147"/>
        <v/>
      </c>
      <c r="FL45" s="516" t="str">
        <f t="shared" si="148"/>
        <v/>
      </c>
      <c r="FM45" s="516" t="str">
        <f t="shared" si="149"/>
        <v/>
      </c>
      <c r="FN45" s="516" t="str">
        <f t="shared" si="150"/>
        <v/>
      </c>
      <c r="FO45" s="516" t="str">
        <f t="shared" si="151"/>
        <v/>
      </c>
      <c r="FP45" s="516" t="str">
        <f t="shared" si="152"/>
        <v/>
      </c>
      <c r="FQ45" s="516" t="str">
        <f t="shared" si="153"/>
        <v/>
      </c>
      <c r="FR45" s="516" t="str">
        <f t="shared" si="154"/>
        <v/>
      </c>
      <c r="FS45" s="516" t="str">
        <f t="shared" si="155"/>
        <v/>
      </c>
      <c r="FT45" s="516" t="str">
        <f t="shared" si="156"/>
        <v/>
      </c>
      <c r="FU45" s="516" t="str">
        <f t="shared" si="157"/>
        <v/>
      </c>
      <c r="FV45" s="516" t="str">
        <f t="shared" si="158"/>
        <v/>
      </c>
      <c r="FW45" s="516" t="str">
        <f t="shared" si="159"/>
        <v/>
      </c>
      <c r="FX45" s="516" t="str">
        <f t="shared" si="160"/>
        <v/>
      </c>
      <c r="FY45" s="516" t="str">
        <f t="shared" si="161"/>
        <v/>
      </c>
      <c r="FZ45" s="516" t="str">
        <f t="shared" si="162"/>
        <v/>
      </c>
      <c r="GA45" s="516" t="str">
        <f t="shared" si="163"/>
        <v/>
      </c>
      <c r="GB45" s="516" t="str">
        <f t="shared" si="164"/>
        <v/>
      </c>
      <c r="GC45" s="516" t="str">
        <f t="shared" si="165"/>
        <v/>
      </c>
      <c r="GD45" s="516" t="str">
        <f t="shared" si="166"/>
        <v/>
      </c>
      <c r="GE45" s="516" t="str">
        <f t="shared" si="167"/>
        <v/>
      </c>
      <c r="GF45" s="516" t="str">
        <f t="shared" si="168"/>
        <v/>
      </c>
      <c r="GG45" s="516" t="str">
        <f t="shared" si="169"/>
        <v/>
      </c>
      <c r="GH45" s="516" t="str">
        <f t="shared" si="170"/>
        <v/>
      </c>
      <c r="GI45" s="516" t="str">
        <f t="shared" si="171"/>
        <v/>
      </c>
      <c r="GJ45" s="516" t="str">
        <f t="shared" si="172"/>
        <v/>
      </c>
      <c r="GK45" s="516" t="str">
        <f t="shared" si="173"/>
        <v/>
      </c>
      <c r="GL45" s="516" t="str">
        <f t="shared" si="174"/>
        <v/>
      </c>
      <c r="GM45" s="516" t="str">
        <f t="shared" si="175"/>
        <v/>
      </c>
      <c r="GN45" s="516" t="str">
        <f t="shared" si="176"/>
        <v/>
      </c>
      <c r="GO45" s="516" t="str">
        <f t="shared" si="177"/>
        <v/>
      </c>
      <c r="GP45" s="516" t="str">
        <f t="shared" si="178"/>
        <v/>
      </c>
      <c r="GQ45" s="516" t="str">
        <f t="shared" si="179"/>
        <v/>
      </c>
      <c r="GR45" s="516" t="str">
        <f t="shared" si="180"/>
        <v/>
      </c>
      <c r="GS45" s="516" t="str">
        <f t="shared" si="181"/>
        <v/>
      </c>
      <c r="GT45" s="516" t="str">
        <f t="shared" si="182"/>
        <v/>
      </c>
      <c r="GU45" s="516" t="str">
        <f t="shared" si="183"/>
        <v/>
      </c>
      <c r="GV45" s="516" t="str">
        <f t="shared" si="184"/>
        <v/>
      </c>
      <c r="GW45" s="516" t="str">
        <f t="shared" si="185"/>
        <v/>
      </c>
      <c r="GX45" s="516" t="str">
        <f t="shared" si="186"/>
        <v/>
      </c>
      <c r="GY45" s="516" t="str">
        <f t="shared" si="187"/>
        <v/>
      </c>
      <c r="GZ45" s="516" t="str">
        <f t="shared" si="188"/>
        <v/>
      </c>
      <c r="HA45" s="516" t="str">
        <f t="shared" si="189"/>
        <v/>
      </c>
      <c r="HB45" s="516" t="str">
        <f t="shared" si="190"/>
        <v/>
      </c>
      <c r="HC45" s="516" t="str">
        <f t="shared" si="191"/>
        <v/>
      </c>
      <c r="HD45" s="516" t="str">
        <f t="shared" si="192"/>
        <v/>
      </c>
      <c r="HE45" s="516" t="str">
        <f t="shared" si="193"/>
        <v/>
      </c>
      <c r="HF45" s="516" t="str">
        <f t="shared" si="194"/>
        <v/>
      </c>
      <c r="HG45" s="516" t="str">
        <f t="shared" si="195"/>
        <v/>
      </c>
      <c r="HH45" s="516" t="str">
        <f t="shared" si="196"/>
        <v/>
      </c>
      <c r="HI45" s="516" t="str">
        <f t="shared" si="197"/>
        <v/>
      </c>
      <c r="HJ45" s="516" t="str">
        <f t="shared" si="198"/>
        <v/>
      </c>
      <c r="HK45" s="516" t="str">
        <f t="shared" si="199"/>
        <v/>
      </c>
      <c r="HL45" s="516" t="str">
        <f t="shared" si="200"/>
        <v/>
      </c>
      <c r="HM45" s="516" t="str">
        <f t="shared" si="201"/>
        <v/>
      </c>
      <c r="HN45" s="516" t="str">
        <f t="shared" si="202"/>
        <v/>
      </c>
      <c r="HO45" s="516" t="str">
        <f t="shared" si="203"/>
        <v/>
      </c>
      <c r="HP45" s="516" t="str">
        <f t="shared" si="204"/>
        <v/>
      </c>
      <c r="HQ45" s="516" t="str">
        <f t="shared" si="205"/>
        <v/>
      </c>
      <c r="HR45" s="516" t="str">
        <f t="shared" si="206"/>
        <v/>
      </c>
      <c r="HS45" s="516" t="str">
        <f t="shared" si="207"/>
        <v/>
      </c>
      <c r="HT45" s="516" t="str">
        <f t="shared" si="208"/>
        <v/>
      </c>
      <c r="HU45" s="516" t="str">
        <f t="shared" si="209"/>
        <v/>
      </c>
      <c r="HV45" s="516" t="str">
        <f t="shared" si="210"/>
        <v/>
      </c>
      <c r="HW45" s="516" t="str">
        <f t="shared" si="211"/>
        <v/>
      </c>
      <c r="HX45" s="516" t="str">
        <f t="shared" si="212"/>
        <v/>
      </c>
      <c r="HY45" s="516" t="str">
        <f t="shared" si="213"/>
        <v/>
      </c>
      <c r="HZ45" s="516" t="str">
        <f t="shared" si="214"/>
        <v/>
      </c>
      <c r="IA45" s="516" t="str">
        <f t="shared" si="215"/>
        <v/>
      </c>
      <c r="IB45" s="516" t="str">
        <f t="shared" si="216"/>
        <v/>
      </c>
      <c r="IC45" s="516" t="str">
        <f t="shared" si="217"/>
        <v/>
      </c>
      <c r="ID45" s="517" t="str">
        <f t="shared" si="218"/>
        <v/>
      </c>
      <c r="IE45" s="517" t="str">
        <f t="shared" si="219"/>
        <v/>
      </c>
      <c r="IF45" s="517" t="str">
        <f t="shared" si="220"/>
        <v/>
      </c>
      <c r="IG45" s="517" t="str">
        <f t="shared" si="221"/>
        <v/>
      </c>
      <c r="IH45" s="517" t="str">
        <f t="shared" si="222"/>
        <v/>
      </c>
      <c r="II45" s="506" t="str">
        <f t="shared" si="223"/>
        <v/>
      </c>
      <c r="IJ45" s="506" t="str">
        <f t="shared" si="224"/>
        <v/>
      </c>
      <c r="IK45" s="506" t="str">
        <f t="shared" si="225"/>
        <v/>
      </c>
      <c r="IL45" s="506" t="str">
        <f t="shared" si="226"/>
        <v/>
      </c>
      <c r="IM45" s="506" t="str">
        <f t="shared" si="227"/>
        <v/>
      </c>
      <c r="IN45" s="506" t="str">
        <f t="shared" si="228"/>
        <v/>
      </c>
      <c r="IO45" s="506" t="str">
        <f t="shared" si="229"/>
        <v/>
      </c>
      <c r="IP45" s="506" t="str">
        <f t="shared" si="230"/>
        <v/>
      </c>
      <c r="IQ45" s="506" t="str">
        <f t="shared" si="231"/>
        <v/>
      </c>
      <c r="IR45" s="506" t="str">
        <f t="shared" si="232"/>
        <v/>
      </c>
      <c r="IS45" s="506" t="str">
        <f t="shared" si="233"/>
        <v/>
      </c>
      <c r="IT45" s="506" t="str">
        <f t="shared" si="234"/>
        <v/>
      </c>
      <c r="IU45" s="506" t="str">
        <f t="shared" si="235"/>
        <v/>
      </c>
      <c r="IV45" s="506" t="str">
        <f t="shared" si="236"/>
        <v/>
      </c>
      <c r="IW45" s="506" t="str">
        <f t="shared" si="237"/>
        <v/>
      </c>
      <c r="IX45" s="506" t="str">
        <f t="shared" si="238"/>
        <v/>
      </c>
      <c r="IY45" s="506" t="str">
        <f t="shared" si="239"/>
        <v/>
      </c>
      <c r="IZ45" s="506" t="str">
        <f t="shared" si="240"/>
        <v/>
      </c>
      <c r="JA45" s="506" t="str">
        <f t="shared" si="241"/>
        <v/>
      </c>
      <c r="JB45" s="506" t="str">
        <f t="shared" si="242"/>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24" t="s">
        <v>1858</v>
      </c>
      <c r="C46" s="2525"/>
      <c r="D46" s="2526"/>
      <c r="E46" s="2527"/>
      <c r="F46" s="2527"/>
      <c r="G46" s="2527"/>
      <c r="H46" s="2527"/>
      <c r="I46" s="2527"/>
      <c r="J46" s="2528"/>
      <c r="K46" s="825">
        <f t="shared" si="1"/>
        <v>0</v>
      </c>
      <c r="L46" s="825">
        <f t="shared" si="2"/>
        <v>0</v>
      </c>
      <c r="M46" s="1301"/>
      <c r="N46" s="1301"/>
      <c r="O46" s="1301"/>
      <c r="P46" s="2529"/>
      <c r="Q46" s="2530" t="str">
        <f t="shared" si="243"/>
        <v/>
      </c>
      <c r="R46" s="2531" t="str">
        <f>IF(H46="","",IF(C46="Efficiency",Q46/($O$6*VLOOKUP(0,'DCA Underwriting Assumptions'!$J$118:$K$123,2,FALSE)),Q46/($O$6*VLOOKUP(C46,'DCA Underwriting Assumptions'!$J$118:$K$123,2,FALSE))))</f>
        <v/>
      </c>
      <c r="S46" s="2532"/>
      <c r="T46" s="2531"/>
      <c r="U46" s="2533"/>
      <c r="V46" s="2458"/>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53"/>
        <v/>
      </c>
      <c r="BV46" s="506" t="str">
        <f t="shared" si="54"/>
        <v/>
      </c>
      <c r="BW46" s="506" t="str">
        <f t="shared" si="55"/>
        <v/>
      </c>
      <c r="BX46" s="506" t="str">
        <f t="shared" si="56"/>
        <v/>
      </c>
      <c r="BY46" s="506" t="str">
        <f t="shared" si="57"/>
        <v/>
      </c>
      <c r="BZ46" s="506" t="str">
        <f t="shared" si="58"/>
        <v/>
      </c>
      <c r="CA46" s="506" t="str">
        <f t="shared" si="59"/>
        <v/>
      </c>
      <c r="CB46" s="506" t="str">
        <f t="shared" si="60"/>
        <v/>
      </c>
      <c r="CC46" s="506" t="str">
        <f t="shared" si="61"/>
        <v/>
      </c>
      <c r="CD46" s="506" t="str">
        <f t="shared" si="62"/>
        <v/>
      </c>
      <c r="CE46" s="506" t="str">
        <f t="shared" si="63"/>
        <v/>
      </c>
      <c r="CF46" s="506" t="str">
        <f t="shared" si="64"/>
        <v/>
      </c>
      <c r="CG46" s="506" t="str">
        <f t="shared" si="65"/>
        <v/>
      </c>
      <c r="CH46" s="506" t="str">
        <f t="shared" si="66"/>
        <v/>
      </c>
      <c r="CI46" s="506" t="str">
        <f t="shared" si="67"/>
        <v/>
      </c>
      <c r="CJ46" s="506" t="str">
        <f t="shared" si="68"/>
        <v/>
      </c>
      <c r="CK46" s="506" t="str">
        <f t="shared" si="69"/>
        <v/>
      </c>
      <c r="CL46" s="506" t="str">
        <f t="shared" si="70"/>
        <v/>
      </c>
      <c r="CM46" s="506" t="str">
        <f t="shared" si="71"/>
        <v/>
      </c>
      <c r="CN46" s="506" t="str">
        <f t="shared" si="72"/>
        <v/>
      </c>
      <c r="CO46" s="506" t="str">
        <f t="shared" si="73"/>
        <v/>
      </c>
      <c r="CP46" s="506" t="str">
        <f t="shared" si="74"/>
        <v/>
      </c>
      <c r="CQ46" s="506" t="str">
        <f t="shared" si="75"/>
        <v/>
      </c>
      <c r="CR46" s="506" t="str">
        <f t="shared" si="76"/>
        <v/>
      </c>
      <c r="CS46" s="506" t="str">
        <f t="shared" si="77"/>
        <v/>
      </c>
      <c r="CT46" s="506" t="str">
        <f t="shared" si="78"/>
        <v/>
      </c>
      <c r="CU46" s="506" t="str">
        <f t="shared" si="79"/>
        <v/>
      </c>
      <c r="CV46" s="506" t="str">
        <f t="shared" si="80"/>
        <v/>
      </c>
      <c r="CW46" s="506" t="str">
        <f t="shared" si="81"/>
        <v/>
      </c>
      <c r="CX46" s="506" t="str">
        <f t="shared" si="82"/>
        <v/>
      </c>
      <c r="CY46" s="506" t="str">
        <f t="shared" si="83"/>
        <v/>
      </c>
      <c r="CZ46" s="506" t="str">
        <f t="shared" si="84"/>
        <v/>
      </c>
      <c r="DA46" s="506" t="str">
        <f t="shared" si="85"/>
        <v/>
      </c>
      <c r="DB46" s="506" t="str">
        <f t="shared" si="86"/>
        <v/>
      </c>
      <c r="DC46" s="506" t="str">
        <f t="shared" si="87"/>
        <v/>
      </c>
      <c r="DD46" s="506" t="str">
        <f t="shared" si="88"/>
        <v/>
      </c>
      <c r="DE46" s="506" t="str">
        <f t="shared" si="89"/>
        <v/>
      </c>
      <c r="DF46" s="506" t="str">
        <f t="shared" si="90"/>
        <v/>
      </c>
      <c r="DG46" s="506" t="str">
        <f t="shared" si="91"/>
        <v/>
      </c>
      <c r="DH46" s="506" t="str">
        <f t="shared" si="92"/>
        <v/>
      </c>
      <c r="DI46" s="506" t="str">
        <f t="shared" si="93"/>
        <v/>
      </c>
      <c r="DJ46" s="506" t="str">
        <f t="shared" si="94"/>
        <v/>
      </c>
      <c r="DK46" s="506" t="str">
        <f t="shared" si="95"/>
        <v/>
      </c>
      <c r="DL46" s="506" t="str">
        <f t="shared" si="96"/>
        <v/>
      </c>
      <c r="DM46" s="506" t="str">
        <f t="shared" si="97"/>
        <v/>
      </c>
      <c r="DN46" s="506" t="str">
        <f t="shared" si="98"/>
        <v/>
      </c>
      <c r="DO46" s="506" t="str">
        <f t="shared" si="99"/>
        <v/>
      </c>
      <c r="DP46" s="506" t="str">
        <f t="shared" si="100"/>
        <v/>
      </c>
      <c r="DQ46" s="506" t="str">
        <f t="shared" si="101"/>
        <v/>
      </c>
      <c r="DR46" s="506" t="str">
        <f t="shared" si="102"/>
        <v/>
      </c>
      <c r="DS46" s="506" t="str">
        <f t="shared" si="103"/>
        <v/>
      </c>
      <c r="DT46" s="506" t="str">
        <f t="shared" si="104"/>
        <v/>
      </c>
      <c r="DU46" s="506" t="str">
        <f t="shared" si="105"/>
        <v/>
      </c>
      <c r="DV46" s="506" t="str">
        <f t="shared" si="106"/>
        <v/>
      </c>
      <c r="DW46" s="506" t="str">
        <f t="shared" si="107"/>
        <v/>
      </c>
      <c r="DX46" s="506" t="str">
        <f t="shared" si="108"/>
        <v/>
      </c>
      <c r="DY46" s="506" t="str">
        <f t="shared" si="109"/>
        <v/>
      </c>
      <c r="DZ46" s="506" t="str">
        <f t="shared" si="110"/>
        <v/>
      </c>
      <c r="EA46" s="506" t="str">
        <f t="shared" si="111"/>
        <v/>
      </c>
      <c r="EB46" s="506" t="str">
        <f t="shared" si="112"/>
        <v/>
      </c>
      <c r="EC46" s="506" t="str">
        <f t="shared" si="113"/>
        <v/>
      </c>
      <c r="ED46" s="506" t="str">
        <f t="shared" si="114"/>
        <v/>
      </c>
      <c r="EE46" s="506" t="str">
        <f t="shared" si="115"/>
        <v/>
      </c>
      <c r="EF46" s="506" t="str">
        <f t="shared" si="116"/>
        <v/>
      </c>
      <c r="EG46" s="506" t="str">
        <f t="shared" si="117"/>
        <v/>
      </c>
      <c r="EH46" s="506" t="str">
        <f t="shared" si="118"/>
        <v/>
      </c>
      <c r="EI46" s="506" t="str">
        <f t="shared" si="119"/>
        <v/>
      </c>
      <c r="EJ46" s="506" t="str">
        <f t="shared" si="120"/>
        <v/>
      </c>
      <c r="EK46" s="506" t="str">
        <f t="shared" si="121"/>
        <v/>
      </c>
      <c r="EL46" s="506" t="str">
        <f t="shared" si="122"/>
        <v/>
      </c>
      <c r="EM46" s="506" t="str">
        <f t="shared" si="123"/>
        <v/>
      </c>
      <c r="EN46" s="506" t="str">
        <f t="shared" si="124"/>
        <v/>
      </c>
      <c r="EO46" s="506" t="str">
        <f t="shared" si="125"/>
        <v/>
      </c>
      <c r="EP46" s="506" t="str">
        <f t="shared" si="126"/>
        <v/>
      </c>
      <c r="EQ46" s="506" t="str">
        <f t="shared" si="127"/>
        <v/>
      </c>
      <c r="ER46" s="506" t="str">
        <f t="shared" si="128"/>
        <v/>
      </c>
      <c r="ES46" s="506" t="str">
        <f t="shared" si="129"/>
        <v/>
      </c>
      <c r="ET46" s="506" t="str">
        <f t="shared" si="130"/>
        <v/>
      </c>
      <c r="EU46" s="506" t="str">
        <f t="shared" si="131"/>
        <v/>
      </c>
      <c r="EV46" s="506" t="str">
        <f t="shared" si="132"/>
        <v/>
      </c>
      <c r="EW46" s="516" t="str">
        <f t="shared" si="133"/>
        <v/>
      </c>
      <c r="EX46" s="516" t="str">
        <f t="shared" si="134"/>
        <v/>
      </c>
      <c r="EY46" s="516" t="str">
        <f t="shared" si="135"/>
        <v/>
      </c>
      <c r="EZ46" s="516" t="str">
        <f t="shared" si="136"/>
        <v/>
      </c>
      <c r="FA46" s="516" t="str">
        <f t="shared" si="137"/>
        <v/>
      </c>
      <c r="FB46" s="516" t="str">
        <f t="shared" si="138"/>
        <v/>
      </c>
      <c r="FC46" s="516" t="str">
        <f t="shared" si="139"/>
        <v/>
      </c>
      <c r="FD46" s="516" t="str">
        <f t="shared" si="140"/>
        <v/>
      </c>
      <c r="FE46" s="516" t="str">
        <f t="shared" si="141"/>
        <v/>
      </c>
      <c r="FF46" s="516" t="str">
        <f t="shared" si="142"/>
        <v/>
      </c>
      <c r="FG46" s="516" t="str">
        <f t="shared" si="143"/>
        <v/>
      </c>
      <c r="FH46" s="516" t="str">
        <f t="shared" si="144"/>
        <v/>
      </c>
      <c r="FI46" s="516" t="str">
        <f t="shared" si="145"/>
        <v/>
      </c>
      <c r="FJ46" s="516" t="str">
        <f t="shared" si="146"/>
        <v/>
      </c>
      <c r="FK46" s="516" t="str">
        <f t="shared" si="147"/>
        <v/>
      </c>
      <c r="FL46" s="516" t="str">
        <f t="shared" si="148"/>
        <v/>
      </c>
      <c r="FM46" s="516" t="str">
        <f t="shared" si="149"/>
        <v/>
      </c>
      <c r="FN46" s="516" t="str">
        <f t="shared" si="150"/>
        <v/>
      </c>
      <c r="FO46" s="516" t="str">
        <f t="shared" si="151"/>
        <v/>
      </c>
      <c r="FP46" s="516" t="str">
        <f t="shared" si="152"/>
        <v/>
      </c>
      <c r="FQ46" s="516" t="str">
        <f t="shared" si="153"/>
        <v/>
      </c>
      <c r="FR46" s="516" t="str">
        <f t="shared" si="154"/>
        <v/>
      </c>
      <c r="FS46" s="516" t="str">
        <f t="shared" si="155"/>
        <v/>
      </c>
      <c r="FT46" s="516" t="str">
        <f t="shared" si="156"/>
        <v/>
      </c>
      <c r="FU46" s="516" t="str">
        <f t="shared" si="157"/>
        <v/>
      </c>
      <c r="FV46" s="516" t="str">
        <f t="shared" si="158"/>
        <v/>
      </c>
      <c r="FW46" s="516" t="str">
        <f t="shared" si="159"/>
        <v/>
      </c>
      <c r="FX46" s="516" t="str">
        <f t="shared" si="160"/>
        <v/>
      </c>
      <c r="FY46" s="516" t="str">
        <f t="shared" si="161"/>
        <v/>
      </c>
      <c r="FZ46" s="516" t="str">
        <f t="shared" si="162"/>
        <v/>
      </c>
      <c r="GA46" s="516" t="str">
        <f t="shared" si="163"/>
        <v/>
      </c>
      <c r="GB46" s="516" t="str">
        <f t="shared" si="164"/>
        <v/>
      </c>
      <c r="GC46" s="516" t="str">
        <f t="shared" si="165"/>
        <v/>
      </c>
      <c r="GD46" s="516" t="str">
        <f t="shared" si="166"/>
        <v/>
      </c>
      <c r="GE46" s="516" t="str">
        <f t="shared" si="167"/>
        <v/>
      </c>
      <c r="GF46" s="516" t="str">
        <f t="shared" si="168"/>
        <v/>
      </c>
      <c r="GG46" s="516" t="str">
        <f t="shared" si="169"/>
        <v/>
      </c>
      <c r="GH46" s="516" t="str">
        <f t="shared" si="170"/>
        <v/>
      </c>
      <c r="GI46" s="516" t="str">
        <f t="shared" si="171"/>
        <v/>
      </c>
      <c r="GJ46" s="516" t="str">
        <f t="shared" si="172"/>
        <v/>
      </c>
      <c r="GK46" s="516" t="str">
        <f t="shared" si="173"/>
        <v/>
      </c>
      <c r="GL46" s="516" t="str">
        <f t="shared" si="174"/>
        <v/>
      </c>
      <c r="GM46" s="516" t="str">
        <f t="shared" si="175"/>
        <v/>
      </c>
      <c r="GN46" s="516" t="str">
        <f t="shared" si="176"/>
        <v/>
      </c>
      <c r="GO46" s="516" t="str">
        <f t="shared" si="177"/>
        <v/>
      </c>
      <c r="GP46" s="516" t="str">
        <f t="shared" si="178"/>
        <v/>
      </c>
      <c r="GQ46" s="516" t="str">
        <f t="shared" si="179"/>
        <v/>
      </c>
      <c r="GR46" s="516" t="str">
        <f t="shared" si="180"/>
        <v/>
      </c>
      <c r="GS46" s="516" t="str">
        <f t="shared" si="181"/>
        <v/>
      </c>
      <c r="GT46" s="516" t="str">
        <f t="shared" si="182"/>
        <v/>
      </c>
      <c r="GU46" s="516" t="str">
        <f t="shared" si="183"/>
        <v/>
      </c>
      <c r="GV46" s="516" t="str">
        <f t="shared" si="184"/>
        <v/>
      </c>
      <c r="GW46" s="516" t="str">
        <f t="shared" si="185"/>
        <v/>
      </c>
      <c r="GX46" s="516" t="str">
        <f t="shared" si="186"/>
        <v/>
      </c>
      <c r="GY46" s="516" t="str">
        <f t="shared" si="187"/>
        <v/>
      </c>
      <c r="GZ46" s="516" t="str">
        <f t="shared" si="188"/>
        <v/>
      </c>
      <c r="HA46" s="516" t="str">
        <f t="shared" si="189"/>
        <v/>
      </c>
      <c r="HB46" s="516" t="str">
        <f t="shared" si="190"/>
        <v/>
      </c>
      <c r="HC46" s="516" t="str">
        <f t="shared" si="191"/>
        <v/>
      </c>
      <c r="HD46" s="516" t="str">
        <f t="shared" si="192"/>
        <v/>
      </c>
      <c r="HE46" s="516" t="str">
        <f t="shared" si="193"/>
        <v/>
      </c>
      <c r="HF46" s="516" t="str">
        <f t="shared" si="194"/>
        <v/>
      </c>
      <c r="HG46" s="516" t="str">
        <f t="shared" si="195"/>
        <v/>
      </c>
      <c r="HH46" s="516" t="str">
        <f t="shared" si="196"/>
        <v/>
      </c>
      <c r="HI46" s="516" t="str">
        <f t="shared" si="197"/>
        <v/>
      </c>
      <c r="HJ46" s="516" t="str">
        <f t="shared" si="198"/>
        <v/>
      </c>
      <c r="HK46" s="516" t="str">
        <f t="shared" si="199"/>
        <v/>
      </c>
      <c r="HL46" s="516" t="str">
        <f t="shared" si="200"/>
        <v/>
      </c>
      <c r="HM46" s="516" t="str">
        <f t="shared" si="201"/>
        <v/>
      </c>
      <c r="HN46" s="516" t="str">
        <f t="shared" si="202"/>
        <v/>
      </c>
      <c r="HO46" s="516" t="str">
        <f t="shared" si="203"/>
        <v/>
      </c>
      <c r="HP46" s="516" t="str">
        <f t="shared" si="204"/>
        <v/>
      </c>
      <c r="HQ46" s="516" t="str">
        <f t="shared" si="205"/>
        <v/>
      </c>
      <c r="HR46" s="516" t="str">
        <f t="shared" si="206"/>
        <v/>
      </c>
      <c r="HS46" s="516" t="str">
        <f t="shared" si="207"/>
        <v/>
      </c>
      <c r="HT46" s="516" t="str">
        <f t="shared" si="208"/>
        <v/>
      </c>
      <c r="HU46" s="516" t="str">
        <f t="shared" si="209"/>
        <v/>
      </c>
      <c r="HV46" s="516" t="str">
        <f t="shared" si="210"/>
        <v/>
      </c>
      <c r="HW46" s="516" t="str">
        <f t="shared" si="211"/>
        <v/>
      </c>
      <c r="HX46" s="516" t="str">
        <f t="shared" si="212"/>
        <v/>
      </c>
      <c r="HY46" s="516" t="str">
        <f t="shared" si="213"/>
        <v/>
      </c>
      <c r="HZ46" s="516" t="str">
        <f t="shared" si="214"/>
        <v/>
      </c>
      <c r="IA46" s="516" t="str">
        <f t="shared" si="215"/>
        <v/>
      </c>
      <c r="IB46" s="516" t="str">
        <f t="shared" si="216"/>
        <v/>
      </c>
      <c r="IC46" s="516" t="str">
        <f t="shared" si="217"/>
        <v/>
      </c>
      <c r="ID46" s="517" t="str">
        <f t="shared" si="218"/>
        <v/>
      </c>
      <c r="IE46" s="517" t="str">
        <f t="shared" si="219"/>
        <v/>
      </c>
      <c r="IF46" s="517" t="str">
        <f t="shared" si="220"/>
        <v/>
      </c>
      <c r="IG46" s="517" t="str">
        <f t="shared" si="221"/>
        <v/>
      </c>
      <c r="IH46" s="517" t="str">
        <f t="shared" si="222"/>
        <v/>
      </c>
      <c r="II46" s="506" t="str">
        <f t="shared" si="223"/>
        <v/>
      </c>
      <c r="IJ46" s="506" t="str">
        <f t="shared" si="224"/>
        <v/>
      </c>
      <c r="IK46" s="506" t="str">
        <f t="shared" si="225"/>
        <v/>
      </c>
      <c r="IL46" s="506" t="str">
        <f t="shared" si="226"/>
        <v/>
      </c>
      <c r="IM46" s="506" t="str">
        <f t="shared" si="227"/>
        <v/>
      </c>
      <c r="IN46" s="506" t="str">
        <f t="shared" si="228"/>
        <v/>
      </c>
      <c r="IO46" s="506" t="str">
        <f t="shared" si="229"/>
        <v/>
      </c>
      <c r="IP46" s="506" t="str">
        <f t="shared" si="230"/>
        <v/>
      </c>
      <c r="IQ46" s="506" t="str">
        <f t="shared" si="231"/>
        <v/>
      </c>
      <c r="IR46" s="506" t="str">
        <f t="shared" si="232"/>
        <v/>
      </c>
      <c r="IS46" s="506" t="str">
        <f t="shared" si="233"/>
        <v/>
      </c>
      <c r="IT46" s="506" t="str">
        <f t="shared" si="234"/>
        <v/>
      </c>
      <c r="IU46" s="506" t="str">
        <f t="shared" si="235"/>
        <v/>
      </c>
      <c r="IV46" s="506" t="str">
        <f t="shared" si="236"/>
        <v/>
      </c>
      <c r="IW46" s="506" t="str">
        <f t="shared" si="237"/>
        <v/>
      </c>
      <c r="IX46" s="506" t="str">
        <f t="shared" si="238"/>
        <v/>
      </c>
      <c r="IY46" s="506" t="str">
        <f t="shared" si="239"/>
        <v/>
      </c>
      <c r="IZ46" s="506" t="str">
        <f t="shared" si="240"/>
        <v/>
      </c>
      <c r="JA46" s="506" t="str">
        <f t="shared" si="241"/>
        <v/>
      </c>
      <c r="JB46" s="506" t="str">
        <f t="shared" si="242"/>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34" t="s">
        <v>1858</v>
      </c>
      <c r="C47" s="2535"/>
      <c r="D47" s="2536"/>
      <c r="E47" s="2537"/>
      <c r="F47" s="2537"/>
      <c r="G47" s="2537"/>
      <c r="H47" s="2537"/>
      <c r="I47" s="2537"/>
      <c r="J47" s="2538"/>
      <c r="K47" s="826">
        <f t="shared" si="1"/>
        <v>0</v>
      </c>
      <c r="L47" s="826">
        <f t="shared" si="2"/>
        <v>0</v>
      </c>
      <c r="M47" s="1302"/>
      <c r="N47" s="1302"/>
      <c r="O47" s="1302"/>
      <c r="P47" s="2539"/>
      <c r="Q47" s="2540" t="str">
        <f t="shared" si="243"/>
        <v/>
      </c>
      <c r="R47" s="2541" t="str">
        <f>IF(H47="","",IF(C47="Efficiency",Q47/($O$6*VLOOKUP(0,'DCA Underwriting Assumptions'!$J$118:$K$123,2,FALSE)),Q47/($O$6*VLOOKUP(C47,'DCA Underwriting Assumptions'!$J$118:$K$123,2,FALSE))))</f>
        <v/>
      </c>
      <c r="S47" s="2542"/>
      <c r="T47" s="2541"/>
      <c r="U47" s="2465"/>
      <c r="V47" s="2461"/>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53"/>
        <v/>
      </c>
      <c r="BV47" s="506" t="str">
        <f t="shared" si="54"/>
        <v/>
      </c>
      <c r="BW47" s="506" t="str">
        <f t="shared" si="55"/>
        <v/>
      </c>
      <c r="BX47" s="506" t="str">
        <f t="shared" si="56"/>
        <v/>
      </c>
      <c r="BY47" s="506" t="str">
        <f t="shared" si="57"/>
        <v/>
      </c>
      <c r="BZ47" s="506" t="str">
        <f t="shared" si="58"/>
        <v/>
      </c>
      <c r="CA47" s="506" t="str">
        <f t="shared" si="59"/>
        <v/>
      </c>
      <c r="CB47" s="506" t="str">
        <f t="shared" si="60"/>
        <v/>
      </c>
      <c r="CC47" s="506" t="str">
        <f t="shared" si="61"/>
        <v/>
      </c>
      <c r="CD47" s="506" t="str">
        <f t="shared" si="62"/>
        <v/>
      </c>
      <c r="CE47" s="506" t="str">
        <f t="shared" si="63"/>
        <v/>
      </c>
      <c r="CF47" s="506" t="str">
        <f t="shared" si="64"/>
        <v/>
      </c>
      <c r="CG47" s="506" t="str">
        <f t="shared" si="65"/>
        <v/>
      </c>
      <c r="CH47" s="506" t="str">
        <f t="shared" si="66"/>
        <v/>
      </c>
      <c r="CI47" s="506" t="str">
        <f t="shared" si="67"/>
        <v/>
      </c>
      <c r="CJ47" s="506" t="str">
        <f t="shared" si="68"/>
        <v/>
      </c>
      <c r="CK47" s="506" t="str">
        <f t="shared" si="69"/>
        <v/>
      </c>
      <c r="CL47" s="506" t="str">
        <f t="shared" si="70"/>
        <v/>
      </c>
      <c r="CM47" s="506" t="str">
        <f t="shared" si="71"/>
        <v/>
      </c>
      <c r="CN47" s="506" t="str">
        <f t="shared" si="72"/>
        <v/>
      </c>
      <c r="CO47" s="506" t="str">
        <f t="shared" si="73"/>
        <v/>
      </c>
      <c r="CP47" s="506" t="str">
        <f t="shared" si="74"/>
        <v/>
      </c>
      <c r="CQ47" s="506" t="str">
        <f t="shared" si="75"/>
        <v/>
      </c>
      <c r="CR47" s="506" t="str">
        <f t="shared" si="76"/>
        <v/>
      </c>
      <c r="CS47" s="506" t="str">
        <f t="shared" si="77"/>
        <v/>
      </c>
      <c r="CT47" s="506" t="str">
        <f t="shared" si="78"/>
        <v/>
      </c>
      <c r="CU47" s="506" t="str">
        <f t="shared" si="79"/>
        <v/>
      </c>
      <c r="CV47" s="506" t="str">
        <f t="shared" si="80"/>
        <v/>
      </c>
      <c r="CW47" s="506" t="str">
        <f t="shared" si="81"/>
        <v/>
      </c>
      <c r="CX47" s="506" t="str">
        <f t="shared" si="82"/>
        <v/>
      </c>
      <c r="CY47" s="506" t="str">
        <f t="shared" si="83"/>
        <v/>
      </c>
      <c r="CZ47" s="506" t="str">
        <f t="shared" si="84"/>
        <v/>
      </c>
      <c r="DA47" s="506" t="str">
        <f t="shared" si="85"/>
        <v/>
      </c>
      <c r="DB47" s="506" t="str">
        <f t="shared" si="86"/>
        <v/>
      </c>
      <c r="DC47" s="506" t="str">
        <f t="shared" si="87"/>
        <v/>
      </c>
      <c r="DD47" s="506" t="str">
        <f t="shared" si="88"/>
        <v/>
      </c>
      <c r="DE47" s="506" t="str">
        <f t="shared" si="89"/>
        <v/>
      </c>
      <c r="DF47" s="506" t="str">
        <f t="shared" si="90"/>
        <v/>
      </c>
      <c r="DG47" s="506" t="str">
        <f t="shared" si="91"/>
        <v/>
      </c>
      <c r="DH47" s="506" t="str">
        <f t="shared" si="92"/>
        <v/>
      </c>
      <c r="DI47" s="506" t="str">
        <f t="shared" si="93"/>
        <v/>
      </c>
      <c r="DJ47" s="506" t="str">
        <f t="shared" si="94"/>
        <v/>
      </c>
      <c r="DK47" s="506" t="str">
        <f t="shared" si="95"/>
        <v/>
      </c>
      <c r="DL47" s="506" t="str">
        <f t="shared" si="96"/>
        <v/>
      </c>
      <c r="DM47" s="506" t="str">
        <f t="shared" si="97"/>
        <v/>
      </c>
      <c r="DN47" s="506" t="str">
        <f t="shared" si="98"/>
        <v/>
      </c>
      <c r="DO47" s="506" t="str">
        <f t="shared" si="99"/>
        <v/>
      </c>
      <c r="DP47" s="506" t="str">
        <f t="shared" si="100"/>
        <v/>
      </c>
      <c r="DQ47" s="506" t="str">
        <f t="shared" si="101"/>
        <v/>
      </c>
      <c r="DR47" s="506" t="str">
        <f t="shared" si="102"/>
        <v/>
      </c>
      <c r="DS47" s="506" t="str">
        <f t="shared" si="103"/>
        <v/>
      </c>
      <c r="DT47" s="506" t="str">
        <f t="shared" si="104"/>
        <v/>
      </c>
      <c r="DU47" s="506" t="str">
        <f t="shared" si="105"/>
        <v/>
      </c>
      <c r="DV47" s="506" t="str">
        <f t="shared" si="106"/>
        <v/>
      </c>
      <c r="DW47" s="506" t="str">
        <f t="shared" si="107"/>
        <v/>
      </c>
      <c r="DX47" s="506" t="str">
        <f t="shared" si="108"/>
        <v/>
      </c>
      <c r="DY47" s="506" t="str">
        <f t="shared" si="109"/>
        <v/>
      </c>
      <c r="DZ47" s="506" t="str">
        <f t="shared" si="110"/>
        <v/>
      </c>
      <c r="EA47" s="506" t="str">
        <f t="shared" si="111"/>
        <v/>
      </c>
      <c r="EB47" s="506" t="str">
        <f t="shared" si="112"/>
        <v/>
      </c>
      <c r="EC47" s="506" t="str">
        <f t="shared" si="113"/>
        <v/>
      </c>
      <c r="ED47" s="506" t="str">
        <f t="shared" si="114"/>
        <v/>
      </c>
      <c r="EE47" s="506" t="str">
        <f t="shared" si="115"/>
        <v/>
      </c>
      <c r="EF47" s="506" t="str">
        <f t="shared" si="116"/>
        <v/>
      </c>
      <c r="EG47" s="506" t="str">
        <f t="shared" si="117"/>
        <v/>
      </c>
      <c r="EH47" s="506" t="str">
        <f t="shared" si="118"/>
        <v/>
      </c>
      <c r="EI47" s="506" t="str">
        <f t="shared" si="119"/>
        <v/>
      </c>
      <c r="EJ47" s="506" t="str">
        <f t="shared" si="120"/>
        <v/>
      </c>
      <c r="EK47" s="506" t="str">
        <f t="shared" si="121"/>
        <v/>
      </c>
      <c r="EL47" s="506" t="str">
        <f t="shared" si="122"/>
        <v/>
      </c>
      <c r="EM47" s="506" t="str">
        <f t="shared" si="123"/>
        <v/>
      </c>
      <c r="EN47" s="506" t="str">
        <f t="shared" si="124"/>
        <v/>
      </c>
      <c r="EO47" s="506" t="str">
        <f t="shared" si="125"/>
        <v/>
      </c>
      <c r="EP47" s="506" t="str">
        <f t="shared" si="126"/>
        <v/>
      </c>
      <c r="EQ47" s="506" t="str">
        <f t="shared" si="127"/>
        <v/>
      </c>
      <c r="ER47" s="506" t="str">
        <f t="shared" si="128"/>
        <v/>
      </c>
      <c r="ES47" s="506" t="str">
        <f t="shared" si="129"/>
        <v/>
      </c>
      <c r="ET47" s="506" t="str">
        <f t="shared" si="130"/>
        <v/>
      </c>
      <c r="EU47" s="506" t="str">
        <f t="shared" si="131"/>
        <v/>
      </c>
      <c r="EV47" s="506" t="str">
        <f t="shared" si="132"/>
        <v/>
      </c>
      <c r="EW47" s="516" t="str">
        <f t="shared" si="133"/>
        <v/>
      </c>
      <c r="EX47" s="516" t="str">
        <f t="shared" si="134"/>
        <v/>
      </c>
      <c r="EY47" s="516" t="str">
        <f t="shared" si="135"/>
        <v/>
      </c>
      <c r="EZ47" s="516" t="str">
        <f t="shared" si="136"/>
        <v/>
      </c>
      <c r="FA47" s="516" t="str">
        <f t="shared" si="137"/>
        <v/>
      </c>
      <c r="FB47" s="516" t="str">
        <f t="shared" si="138"/>
        <v/>
      </c>
      <c r="FC47" s="516" t="str">
        <f t="shared" si="139"/>
        <v/>
      </c>
      <c r="FD47" s="516" t="str">
        <f t="shared" si="140"/>
        <v/>
      </c>
      <c r="FE47" s="516" t="str">
        <f t="shared" si="141"/>
        <v/>
      </c>
      <c r="FF47" s="516" t="str">
        <f t="shared" si="142"/>
        <v/>
      </c>
      <c r="FG47" s="516" t="str">
        <f t="shared" si="143"/>
        <v/>
      </c>
      <c r="FH47" s="516" t="str">
        <f t="shared" si="144"/>
        <v/>
      </c>
      <c r="FI47" s="516" t="str">
        <f t="shared" si="145"/>
        <v/>
      </c>
      <c r="FJ47" s="516" t="str">
        <f t="shared" si="146"/>
        <v/>
      </c>
      <c r="FK47" s="516" t="str">
        <f t="shared" si="147"/>
        <v/>
      </c>
      <c r="FL47" s="516" t="str">
        <f t="shared" si="148"/>
        <v/>
      </c>
      <c r="FM47" s="516" t="str">
        <f t="shared" si="149"/>
        <v/>
      </c>
      <c r="FN47" s="516" t="str">
        <f t="shared" si="150"/>
        <v/>
      </c>
      <c r="FO47" s="516" t="str">
        <f t="shared" si="151"/>
        <v/>
      </c>
      <c r="FP47" s="516" t="str">
        <f t="shared" si="152"/>
        <v/>
      </c>
      <c r="FQ47" s="516" t="str">
        <f t="shared" si="153"/>
        <v/>
      </c>
      <c r="FR47" s="516" t="str">
        <f t="shared" si="154"/>
        <v/>
      </c>
      <c r="FS47" s="516" t="str">
        <f t="shared" si="155"/>
        <v/>
      </c>
      <c r="FT47" s="516" t="str">
        <f t="shared" si="156"/>
        <v/>
      </c>
      <c r="FU47" s="516" t="str">
        <f t="shared" si="157"/>
        <v/>
      </c>
      <c r="FV47" s="516" t="str">
        <f t="shared" si="158"/>
        <v/>
      </c>
      <c r="FW47" s="516" t="str">
        <f t="shared" si="159"/>
        <v/>
      </c>
      <c r="FX47" s="516" t="str">
        <f t="shared" si="160"/>
        <v/>
      </c>
      <c r="FY47" s="516" t="str">
        <f t="shared" si="161"/>
        <v/>
      </c>
      <c r="FZ47" s="516" t="str">
        <f t="shared" si="162"/>
        <v/>
      </c>
      <c r="GA47" s="516" t="str">
        <f t="shared" si="163"/>
        <v/>
      </c>
      <c r="GB47" s="516" t="str">
        <f t="shared" si="164"/>
        <v/>
      </c>
      <c r="GC47" s="516" t="str">
        <f t="shared" si="165"/>
        <v/>
      </c>
      <c r="GD47" s="516" t="str">
        <f t="shared" si="166"/>
        <v/>
      </c>
      <c r="GE47" s="516" t="str">
        <f t="shared" si="167"/>
        <v/>
      </c>
      <c r="GF47" s="516" t="str">
        <f t="shared" si="168"/>
        <v/>
      </c>
      <c r="GG47" s="516" t="str">
        <f t="shared" si="169"/>
        <v/>
      </c>
      <c r="GH47" s="516" t="str">
        <f t="shared" si="170"/>
        <v/>
      </c>
      <c r="GI47" s="516" t="str">
        <f t="shared" si="171"/>
        <v/>
      </c>
      <c r="GJ47" s="516" t="str">
        <f t="shared" si="172"/>
        <v/>
      </c>
      <c r="GK47" s="516" t="str">
        <f t="shared" si="173"/>
        <v/>
      </c>
      <c r="GL47" s="516" t="str">
        <f t="shared" si="174"/>
        <v/>
      </c>
      <c r="GM47" s="516" t="str">
        <f t="shared" si="175"/>
        <v/>
      </c>
      <c r="GN47" s="516" t="str">
        <f t="shared" si="176"/>
        <v/>
      </c>
      <c r="GO47" s="516" t="str">
        <f t="shared" si="177"/>
        <v/>
      </c>
      <c r="GP47" s="516" t="str">
        <f t="shared" si="178"/>
        <v/>
      </c>
      <c r="GQ47" s="516" t="str">
        <f t="shared" si="179"/>
        <v/>
      </c>
      <c r="GR47" s="516" t="str">
        <f t="shared" si="180"/>
        <v/>
      </c>
      <c r="GS47" s="516" t="str">
        <f t="shared" si="181"/>
        <v/>
      </c>
      <c r="GT47" s="516" t="str">
        <f t="shared" si="182"/>
        <v/>
      </c>
      <c r="GU47" s="516" t="str">
        <f t="shared" si="183"/>
        <v/>
      </c>
      <c r="GV47" s="516" t="str">
        <f t="shared" si="184"/>
        <v/>
      </c>
      <c r="GW47" s="516" t="str">
        <f t="shared" si="185"/>
        <v/>
      </c>
      <c r="GX47" s="516" t="str">
        <f t="shared" si="186"/>
        <v/>
      </c>
      <c r="GY47" s="516" t="str">
        <f t="shared" si="187"/>
        <v/>
      </c>
      <c r="GZ47" s="516" t="str">
        <f t="shared" si="188"/>
        <v/>
      </c>
      <c r="HA47" s="516" t="str">
        <f t="shared" si="189"/>
        <v/>
      </c>
      <c r="HB47" s="516" t="str">
        <f t="shared" si="190"/>
        <v/>
      </c>
      <c r="HC47" s="516" t="str">
        <f t="shared" si="191"/>
        <v/>
      </c>
      <c r="HD47" s="516" t="str">
        <f t="shared" si="192"/>
        <v/>
      </c>
      <c r="HE47" s="516" t="str">
        <f t="shared" si="193"/>
        <v/>
      </c>
      <c r="HF47" s="516" t="str">
        <f t="shared" si="194"/>
        <v/>
      </c>
      <c r="HG47" s="516" t="str">
        <f t="shared" si="195"/>
        <v/>
      </c>
      <c r="HH47" s="516" t="str">
        <f t="shared" si="196"/>
        <v/>
      </c>
      <c r="HI47" s="516" t="str">
        <f t="shared" si="197"/>
        <v/>
      </c>
      <c r="HJ47" s="516" t="str">
        <f t="shared" si="198"/>
        <v/>
      </c>
      <c r="HK47" s="516" t="str">
        <f t="shared" si="199"/>
        <v/>
      </c>
      <c r="HL47" s="516" t="str">
        <f t="shared" si="200"/>
        <v/>
      </c>
      <c r="HM47" s="516" t="str">
        <f t="shared" si="201"/>
        <v/>
      </c>
      <c r="HN47" s="516" t="str">
        <f t="shared" si="202"/>
        <v/>
      </c>
      <c r="HO47" s="516" t="str">
        <f t="shared" si="203"/>
        <v/>
      </c>
      <c r="HP47" s="516" t="str">
        <f t="shared" si="204"/>
        <v/>
      </c>
      <c r="HQ47" s="516" t="str">
        <f t="shared" si="205"/>
        <v/>
      </c>
      <c r="HR47" s="516" t="str">
        <f t="shared" si="206"/>
        <v/>
      </c>
      <c r="HS47" s="516" t="str">
        <f t="shared" si="207"/>
        <v/>
      </c>
      <c r="HT47" s="516" t="str">
        <f t="shared" si="208"/>
        <v/>
      </c>
      <c r="HU47" s="516" t="str">
        <f t="shared" si="209"/>
        <v/>
      </c>
      <c r="HV47" s="516" t="str">
        <f t="shared" si="210"/>
        <v/>
      </c>
      <c r="HW47" s="516" t="str">
        <f t="shared" si="211"/>
        <v/>
      </c>
      <c r="HX47" s="516" t="str">
        <f t="shared" si="212"/>
        <v/>
      </c>
      <c r="HY47" s="516" t="str">
        <f t="shared" si="213"/>
        <v/>
      </c>
      <c r="HZ47" s="516" t="str">
        <f t="shared" si="214"/>
        <v/>
      </c>
      <c r="IA47" s="516" t="str">
        <f t="shared" si="215"/>
        <v/>
      </c>
      <c r="IB47" s="516" t="str">
        <f t="shared" si="216"/>
        <v/>
      </c>
      <c r="IC47" s="516" t="str">
        <f t="shared" si="217"/>
        <v/>
      </c>
      <c r="ID47" s="517" t="str">
        <f t="shared" si="218"/>
        <v/>
      </c>
      <c r="IE47" s="517" t="str">
        <f t="shared" si="219"/>
        <v/>
      </c>
      <c r="IF47" s="517" t="str">
        <f t="shared" si="220"/>
        <v/>
      </c>
      <c r="IG47" s="517" t="str">
        <f t="shared" si="221"/>
        <v/>
      </c>
      <c r="IH47" s="517" t="str">
        <f t="shared" si="222"/>
        <v/>
      </c>
      <c r="II47" s="506" t="str">
        <f t="shared" si="223"/>
        <v/>
      </c>
      <c r="IJ47" s="506" t="str">
        <f t="shared" si="224"/>
        <v/>
      </c>
      <c r="IK47" s="506" t="str">
        <f t="shared" si="225"/>
        <v/>
      </c>
      <c r="IL47" s="506" t="str">
        <f t="shared" si="226"/>
        <v/>
      </c>
      <c r="IM47" s="506" t="str">
        <f t="shared" si="227"/>
        <v/>
      </c>
      <c r="IN47" s="506" t="str">
        <f t="shared" si="228"/>
        <v/>
      </c>
      <c r="IO47" s="506" t="str">
        <f t="shared" si="229"/>
        <v/>
      </c>
      <c r="IP47" s="506" t="str">
        <f t="shared" si="230"/>
        <v/>
      </c>
      <c r="IQ47" s="506" t="str">
        <f t="shared" si="231"/>
        <v/>
      </c>
      <c r="IR47" s="506" t="str">
        <f t="shared" si="232"/>
        <v/>
      </c>
      <c r="IS47" s="506" t="str">
        <f t="shared" si="233"/>
        <v/>
      </c>
      <c r="IT47" s="506" t="str">
        <f t="shared" si="234"/>
        <v/>
      </c>
      <c r="IU47" s="506" t="str">
        <f t="shared" si="235"/>
        <v/>
      </c>
      <c r="IV47" s="506" t="str">
        <f t="shared" si="236"/>
        <v/>
      </c>
      <c r="IW47" s="506" t="str">
        <f t="shared" si="237"/>
        <v/>
      </c>
      <c r="IX47" s="506" t="str">
        <f t="shared" si="238"/>
        <v/>
      </c>
      <c r="IY47" s="506" t="str">
        <f t="shared" si="239"/>
        <v/>
      </c>
      <c r="IZ47" s="506" t="str">
        <f t="shared" si="240"/>
        <v/>
      </c>
      <c r="JA47" s="506" t="str">
        <f t="shared" si="241"/>
        <v/>
      </c>
      <c r="JB47" s="506" t="str">
        <f t="shared" si="242"/>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73">
        <f>COUNT(A10,A11,A12,A13,A14,A15,A16,A17,A18,A19,A20,A21,A22,A23,A24,A25,A26,A27,A28,A29,A30,A31,A32,A33,A34,A35,A36,A37,A38,A39)</f>
        <v>6</v>
      </c>
      <c r="B48" s="747"/>
      <c r="C48" s="100"/>
      <c r="D48" s="15" t="s">
        <v>1067</v>
      </c>
      <c r="E48" s="134">
        <f>SUM(E10:E47)</f>
        <v>42</v>
      </c>
      <c r="F48" s="135">
        <f>(E10*F10+E11*F11+E12*F12+E13*F13+E14*F14+E15*F15+E16*F16+E17*F17+E18*F18+E19*F19+E20*F20+E21*F21+E22*F22+E23*F23+E24*F24+E25*F25+E26*F26+E27*F27+E28*F28+E29*F29+E30*F30+E31*F31+E32*F32+E33*F33+E34*F34+E35*F35+E36*F36+E37*F37+E38*F38+E39*F39+E40*F40+E41*F41+E42*F42+E43*F43+E44*F44+E45*F45+E46*F46+E47*F47)</f>
        <v>36371</v>
      </c>
      <c r="G48" s="748"/>
      <c r="H48" s="749"/>
      <c r="I48" s="749"/>
      <c r="J48" s="749"/>
      <c r="K48" s="197" t="s">
        <v>1366</v>
      </c>
      <c r="L48" s="133">
        <f>SUM(L10:L47)</f>
        <v>16900</v>
      </c>
      <c r="M48" s="100"/>
      <c r="N48" s="750"/>
      <c r="O48" s="100"/>
      <c r="P48" s="535"/>
      <c r="Q48" s="535"/>
      <c r="R48" s="535"/>
      <c r="S48" s="535"/>
      <c r="T48" s="535"/>
      <c r="U48" s="1274"/>
      <c r="V48" s="751"/>
      <c r="W48" s="518">
        <f t="shared" ref="W48:CH48" si="259">SUM(W10:W47)</f>
        <v>0</v>
      </c>
      <c r="X48" s="518">
        <f t="shared" si="259"/>
        <v>3</v>
      </c>
      <c r="Y48" s="518">
        <f t="shared" si="259"/>
        <v>24</v>
      </c>
      <c r="Z48" s="518">
        <f t="shared" si="259"/>
        <v>6</v>
      </c>
      <c r="AA48" s="518">
        <f t="shared" si="259"/>
        <v>0</v>
      </c>
      <c r="AB48" s="518">
        <f t="shared" si="259"/>
        <v>0</v>
      </c>
      <c r="AC48" s="518">
        <f t="shared" si="259"/>
        <v>1</v>
      </c>
      <c r="AD48" s="518">
        <f t="shared" si="259"/>
        <v>6</v>
      </c>
      <c r="AE48" s="518">
        <f t="shared" si="259"/>
        <v>2</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1</v>
      </c>
      <c r="AX48" s="518">
        <f t="shared" si="259"/>
        <v>6</v>
      </c>
      <c r="AY48" s="518">
        <f t="shared" si="259"/>
        <v>0</v>
      </c>
      <c r="AZ48" s="518">
        <f t="shared" si="259"/>
        <v>0</v>
      </c>
      <c r="BA48" s="518">
        <f t="shared" si="259"/>
        <v>0</v>
      </c>
      <c r="BB48" s="518">
        <f t="shared" si="259"/>
        <v>0</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1824</v>
      </c>
      <c r="CB48" s="518">
        <f t="shared" si="259"/>
        <v>20088</v>
      </c>
      <c r="CC48" s="518">
        <f t="shared" si="259"/>
        <v>6600</v>
      </c>
      <c r="CD48" s="518">
        <f t="shared" si="259"/>
        <v>0</v>
      </c>
      <c r="CE48" s="518">
        <f t="shared" si="259"/>
        <v>0</v>
      </c>
      <c r="CF48" s="518">
        <f t="shared" si="259"/>
        <v>637</v>
      </c>
      <c r="CG48" s="518">
        <f t="shared" si="259"/>
        <v>5022</v>
      </c>
      <c r="CH48" s="518">
        <f t="shared" si="259"/>
        <v>2200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0</v>
      </c>
      <c r="CU48" s="518">
        <f t="shared" si="260"/>
        <v>637</v>
      </c>
      <c r="CV48" s="518">
        <f t="shared" si="260"/>
        <v>5022</v>
      </c>
      <c r="CW48" s="518">
        <f t="shared" si="260"/>
        <v>0</v>
      </c>
      <c r="CX48" s="518">
        <f t="shared" si="260"/>
        <v>0</v>
      </c>
      <c r="CY48" s="518">
        <f t="shared" si="260"/>
        <v>0</v>
      </c>
      <c r="CZ48" s="518">
        <f t="shared" si="260"/>
        <v>0</v>
      </c>
      <c r="DA48" s="518">
        <f t="shared" si="260"/>
        <v>0</v>
      </c>
      <c r="DB48" s="518">
        <f t="shared" si="260"/>
        <v>0</v>
      </c>
      <c r="DC48" s="518">
        <f t="shared" si="260"/>
        <v>0</v>
      </c>
      <c r="DD48" s="518">
        <f t="shared" si="260"/>
        <v>0</v>
      </c>
      <c r="DE48" s="518">
        <f t="shared" si="260"/>
        <v>0</v>
      </c>
      <c r="DF48" s="518">
        <f t="shared" si="260"/>
        <v>0</v>
      </c>
      <c r="DG48" s="518">
        <f t="shared" si="260"/>
        <v>0</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4</v>
      </c>
      <c r="DU48" s="518">
        <f t="shared" si="260"/>
        <v>30</v>
      </c>
      <c r="DV48" s="518">
        <f t="shared" si="260"/>
        <v>8</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4</v>
      </c>
      <c r="EY48" s="518">
        <f t="shared" si="261"/>
        <v>0</v>
      </c>
      <c r="EZ48" s="518">
        <f t="shared" si="261"/>
        <v>8</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30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4</v>
      </c>
      <c r="GR48" s="518">
        <f t="shared" si="261"/>
        <v>0</v>
      </c>
      <c r="GS48" s="518">
        <f t="shared" si="261"/>
        <v>8</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0</v>
      </c>
      <c r="HV48" s="518">
        <f t="shared" si="262"/>
        <v>0</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4</v>
      </c>
      <c r="JE48" s="518">
        <f t="shared" si="262"/>
        <v>30</v>
      </c>
      <c r="JF48" s="518">
        <f t="shared" si="262"/>
        <v>8</v>
      </c>
      <c r="JG48" s="518">
        <f t="shared" si="262"/>
        <v>0</v>
      </c>
      <c r="JH48" s="518">
        <f t="shared" si="262"/>
        <v>0</v>
      </c>
      <c r="JI48" s="518">
        <f t="shared" si="262"/>
        <v>0</v>
      </c>
      <c r="JJ48" s="518">
        <f t="shared" si="262"/>
        <v>0</v>
      </c>
      <c r="JK48" s="518">
        <f t="shared" si="262"/>
        <v>0</v>
      </c>
      <c r="JL48" s="518">
        <f t="shared" si="262"/>
        <v>0</v>
      </c>
      <c r="JM48" s="518">
        <f t="shared" si="262"/>
        <v>0</v>
      </c>
      <c r="JN48" s="518">
        <f t="shared" si="262"/>
        <v>0</v>
      </c>
      <c r="JO48" s="518">
        <f t="shared" si="262"/>
        <v>0</v>
      </c>
      <c r="JP48" s="518">
        <f t="shared" si="262"/>
        <v>0</v>
      </c>
      <c r="JQ48" s="518">
        <f t="shared" si="262"/>
        <v>0</v>
      </c>
      <c r="JR48" s="518">
        <f t="shared" si="262"/>
        <v>0</v>
      </c>
      <c r="JS48" s="506"/>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855</v>
      </c>
      <c r="L49" s="133">
        <f>L48*12</f>
        <v>202800</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R49" s="506"/>
      <c r="JS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77" t="s">
        <v>2748</v>
      </c>
      <c r="B51" s="2543"/>
      <c r="C51" s="2543"/>
      <c r="D51" s="2543"/>
      <c r="E51" s="2543"/>
      <c r="F51" s="2543"/>
      <c r="G51" s="2543"/>
      <c r="H51" s="2543"/>
      <c r="I51" s="2543"/>
      <c r="J51" s="2543"/>
      <c r="K51" s="2543"/>
      <c r="L51" s="2543"/>
      <c r="M51" s="2543"/>
      <c r="N51" s="2543"/>
      <c r="O51" s="2543"/>
      <c r="P51" s="2543"/>
      <c r="Q51" s="2544"/>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43"/>
      <c r="B52" s="2543"/>
      <c r="C52" s="2543"/>
      <c r="D52" s="2543"/>
      <c r="E52" s="2543"/>
      <c r="F52" s="2543"/>
      <c r="G52" s="2543"/>
      <c r="H52" s="2543"/>
      <c r="I52" s="2543"/>
      <c r="J52" s="2543"/>
      <c r="K52" s="2543"/>
      <c r="L52" s="2543"/>
      <c r="M52" s="2543"/>
      <c r="N52" s="2543"/>
      <c r="O52" s="2543"/>
      <c r="P52" s="2543"/>
      <c r="Q52" s="2544"/>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779</v>
      </c>
      <c r="B53" s="14" t="s">
        <v>557</v>
      </c>
      <c r="O53" s="86"/>
      <c r="R53" s="1567"/>
      <c r="S53" s="539"/>
      <c r="T53" s="539"/>
      <c r="U53" s="4" t="str">
        <f>B53</f>
        <v>UNIT SUMMARY</v>
      </c>
      <c r="V53" s="455" t="s">
        <v>557</v>
      </c>
      <c r="W53" s="926"/>
      <c r="X53" s="926"/>
      <c r="Y53" s="926"/>
      <c r="Z53" s="926"/>
      <c r="AA53" s="926"/>
      <c r="AB53" s="926"/>
      <c r="AC53" s="926"/>
      <c r="AD53" s="926"/>
      <c r="AE53" s="926"/>
      <c r="AF53" s="926"/>
      <c r="AG53" s="926"/>
      <c r="AH53" s="926"/>
      <c r="AI53" s="508"/>
      <c r="IL53" s="519"/>
      <c r="JA53" s="506"/>
    </row>
    <row r="54" spans="1:296" ht="3" customHeight="1">
      <c r="A54" s="14"/>
      <c r="B54" s="14"/>
      <c r="O54" s="86"/>
      <c r="R54" s="1568"/>
      <c r="S54" s="540"/>
      <c r="T54" s="540"/>
      <c r="U54" s="136"/>
      <c r="V54" s="455"/>
      <c r="W54" s="926"/>
      <c r="X54" s="926"/>
      <c r="Y54" s="926"/>
      <c r="Z54" s="926"/>
      <c r="AA54" s="926"/>
      <c r="AB54" s="926"/>
      <c r="AC54" s="926"/>
      <c r="AD54" s="926"/>
      <c r="AE54" s="926"/>
      <c r="AF54" s="926"/>
      <c r="AG54" s="926"/>
      <c r="AH54" s="926"/>
      <c r="AI54" s="508"/>
      <c r="IL54" s="519"/>
      <c r="JA54" s="506"/>
    </row>
    <row r="55" spans="1:296" ht="14.45" customHeight="1">
      <c r="A55" s="14"/>
      <c r="B55" s="14" t="s">
        <v>1189</v>
      </c>
      <c r="H55" s="129" t="s">
        <v>591</v>
      </c>
      <c r="I55" s="129" t="s">
        <v>558</v>
      </c>
      <c r="J55" s="129" t="s">
        <v>559</v>
      </c>
      <c r="K55" s="129" t="s">
        <v>560</v>
      </c>
      <c r="L55" s="129" t="s">
        <v>561</v>
      </c>
      <c r="M55" s="129" t="s">
        <v>562</v>
      </c>
      <c r="O55" s="86"/>
      <c r="R55" s="1568"/>
      <c r="S55" s="540"/>
      <c r="T55" s="540"/>
      <c r="U55" s="1449" t="s">
        <v>1937</v>
      </c>
      <c r="V55" s="1449"/>
      <c r="W55" s="926"/>
      <c r="X55" s="926"/>
      <c r="Y55" s="926"/>
      <c r="Z55" s="926"/>
      <c r="AA55" s="926"/>
      <c r="AB55" s="520"/>
      <c r="AC55" s="520"/>
      <c r="AD55" s="520"/>
      <c r="AE55" s="520"/>
      <c r="AF55" s="520"/>
      <c r="AG55" s="520"/>
      <c r="AH55" s="926"/>
      <c r="AI55" s="508"/>
      <c r="IL55" s="519"/>
      <c r="JA55" s="506"/>
    </row>
    <row r="56" spans="1:296" ht="12" customHeight="1">
      <c r="C56" s="1" t="s">
        <v>1191</v>
      </c>
      <c r="D56" s="1"/>
      <c r="E56" s="1"/>
      <c r="F56" s="1"/>
      <c r="G56" s="36" t="s">
        <v>1203</v>
      </c>
      <c r="H56" s="827">
        <f>W48</f>
        <v>0</v>
      </c>
      <c r="I56" s="827">
        <f>X48</f>
        <v>3</v>
      </c>
      <c r="J56" s="827">
        <f>Y48</f>
        <v>24</v>
      </c>
      <c r="K56" s="827">
        <f>Z48</f>
        <v>6</v>
      </c>
      <c r="L56" s="827">
        <f>AA48</f>
        <v>0</v>
      </c>
      <c r="M56" s="827">
        <f t="shared" ref="M56:M62" si="263">SUM(H56:L56)</f>
        <v>33</v>
      </c>
      <c r="N56" s="1569" t="s">
        <v>933</v>
      </c>
      <c r="O56" s="1570"/>
      <c r="P56" s="1239"/>
      <c r="Q56" s="1239"/>
      <c r="R56" s="456"/>
      <c r="S56" s="456"/>
      <c r="T56" s="456"/>
      <c r="U56" s="2455"/>
      <c r="V56" s="2456"/>
      <c r="W56" s="521"/>
      <c r="X56" s="521"/>
      <c r="Y56" s="521"/>
      <c r="Z56" s="521"/>
      <c r="AA56" s="522"/>
      <c r="AB56" s="523"/>
      <c r="AC56" s="523"/>
      <c r="AD56" s="523"/>
      <c r="AE56" s="523"/>
      <c r="AF56" s="523"/>
      <c r="AG56" s="523"/>
      <c r="AH56" s="522"/>
      <c r="AI56" s="508"/>
      <c r="IL56" s="519"/>
      <c r="JA56" s="506"/>
    </row>
    <row r="57" spans="1:296" ht="12" customHeight="1">
      <c r="A57" s="1566" t="s">
        <v>459</v>
      </c>
      <c r="B57" s="1566"/>
      <c r="C57" s="4"/>
      <c r="D57" s="1"/>
      <c r="E57" s="1"/>
      <c r="F57" s="1"/>
      <c r="G57" s="36" t="s">
        <v>120</v>
      </c>
      <c r="H57" s="828">
        <f>AB48</f>
        <v>0</v>
      </c>
      <c r="I57" s="828">
        <f>AC48</f>
        <v>1</v>
      </c>
      <c r="J57" s="828">
        <f>AD48</f>
        <v>6</v>
      </c>
      <c r="K57" s="828">
        <f>AE48</f>
        <v>2</v>
      </c>
      <c r="L57" s="828">
        <f>AF48</f>
        <v>0</v>
      </c>
      <c r="M57" s="828">
        <f t="shared" si="263"/>
        <v>9</v>
      </c>
      <c r="N57" s="1569"/>
      <c r="O57" s="1570"/>
      <c r="P57" s="1239"/>
      <c r="Q57" s="1239"/>
      <c r="R57" s="456"/>
      <c r="S57" s="456"/>
      <c r="T57" s="456"/>
      <c r="U57" s="2457"/>
      <c r="V57" s="2458"/>
      <c r="W57" s="524"/>
      <c r="X57" s="521"/>
      <c r="Y57" s="521"/>
      <c r="Z57" s="521"/>
      <c r="AA57" s="522"/>
      <c r="AB57" s="523"/>
      <c r="AC57" s="523"/>
      <c r="AD57" s="523"/>
      <c r="AE57" s="523"/>
      <c r="AF57" s="523"/>
      <c r="AG57" s="523"/>
      <c r="AH57" s="522"/>
      <c r="AI57" s="508"/>
      <c r="IL57" s="519"/>
      <c r="JA57" s="506"/>
    </row>
    <row r="58" spans="1:296" ht="12" customHeight="1">
      <c r="A58" s="1566"/>
      <c r="B58" s="1566"/>
      <c r="C58" s="4"/>
      <c r="D58" s="1"/>
      <c r="E58" s="1"/>
      <c r="F58" s="1"/>
      <c r="G58" s="36" t="s">
        <v>562</v>
      </c>
      <c r="H58" s="827">
        <f>SUM(H56:H57)</f>
        <v>0</v>
      </c>
      <c r="I58" s="827">
        <f>SUM(I56:I57)</f>
        <v>4</v>
      </c>
      <c r="J58" s="827">
        <f>SUM(J56:J57)</f>
        <v>30</v>
      </c>
      <c r="K58" s="827">
        <f>SUM(K56:K57)</f>
        <v>8</v>
      </c>
      <c r="L58" s="827">
        <f>SUM(L56:L57)</f>
        <v>0</v>
      </c>
      <c r="M58" s="827">
        <f t="shared" si="263"/>
        <v>42</v>
      </c>
      <c r="N58" s="298"/>
      <c r="O58" s="86"/>
      <c r="R58" s="456"/>
      <c r="S58" s="456"/>
      <c r="T58" s="456"/>
      <c r="U58" s="2457"/>
      <c r="V58" s="2458"/>
      <c r="W58" s="524"/>
      <c r="X58" s="521"/>
      <c r="Y58" s="521"/>
      <c r="Z58" s="521"/>
      <c r="AA58" s="522"/>
      <c r="AB58" s="523"/>
      <c r="AC58" s="523"/>
      <c r="AD58" s="523"/>
      <c r="AE58" s="523"/>
      <c r="AF58" s="523"/>
      <c r="AG58" s="523"/>
      <c r="AH58" s="522"/>
      <c r="AI58" s="508"/>
      <c r="IL58" s="519"/>
      <c r="JA58" s="506"/>
    </row>
    <row r="59" spans="1:296" ht="12" customHeight="1">
      <c r="A59" s="1566"/>
      <c r="B59" s="1566"/>
      <c r="C59" s="1" t="s">
        <v>316</v>
      </c>
      <c r="D59" s="1"/>
      <c r="E59" s="1"/>
      <c r="F59" s="1"/>
      <c r="G59" s="36"/>
      <c r="H59" s="829">
        <f>AL48</f>
        <v>0</v>
      </c>
      <c r="I59" s="829">
        <f>AM48</f>
        <v>0</v>
      </c>
      <c r="J59" s="829">
        <f>AN48</f>
        <v>0</v>
      </c>
      <c r="K59" s="829">
        <f>AO48</f>
        <v>0</v>
      </c>
      <c r="L59" s="829">
        <f>AP48</f>
        <v>0</v>
      </c>
      <c r="M59" s="829">
        <f t="shared" si="263"/>
        <v>0</v>
      </c>
      <c r="N59" s="56"/>
      <c r="O59" s="86"/>
      <c r="R59" s="456"/>
      <c r="S59" s="456"/>
      <c r="T59" s="456"/>
      <c r="U59" s="2457"/>
      <c r="V59" s="2458"/>
      <c r="W59" s="508"/>
      <c r="X59" s="521"/>
      <c r="Y59" s="521"/>
      <c r="Z59" s="521"/>
      <c r="AA59" s="522"/>
      <c r="AB59" s="523"/>
      <c r="AC59" s="523"/>
      <c r="AD59" s="523"/>
      <c r="AE59" s="523"/>
      <c r="AF59" s="523"/>
      <c r="AG59" s="523"/>
      <c r="AH59" s="505"/>
      <c r="AI59" s="508"/>
      <c r="IL59" s="519"/>
      <c r="JA59" s="506"/>
    </row>
    <row r="60" spans="1:296" ht="12" customHeight="1">
      <c r="A60" s="1566"/>
      <c r="B60" s="1566"/>
      <c r="C60" s="1" t="s">
        <v>1192</v>
      </c>
      <c r="D60" s="1"/>
      <c r="E60" s="1"/>
      <c r="F60" s="1"/>
      <c r="G60" s="36"/>
      <c r="H60" s="827">
        <f>SUM(H58:H59)</f>
        <v>0</v>
      </c>
      <c r="I60" s="827">
        <f>SUM(I58:I59)</f>
        <v>4</v>
      </c>
      <c r="J60" s="827">
        <f>SUM(J58:J59)</f>
        <v>30</v>
      </c>
      <c r="K60" s="827">
        <f>SUM(K58:K59)</f>
        <v>8</v>
      </c>
      <c r="L60" s="827">
        <f>SUM(L58:L59)</f>
        <v>0</v>
      </c>
      <c r="M60" s="827">
        <f t="shared" si="263"/>
        <v>42</v>
      </c>
      <c r="N60" s="56"/>
      <c r="O60" s="86"/>
      <c r="R60" s="456"/>
      <c r="S60" s="456"/>
      <c r="T60" s="456"/>
      <c r="U60" s="2457"/>
      <c r="V60" s="2458"/>
      <c r="W60" s="521"/>
      <c r="X60" s="521"/>
      <c r="Y60" s="521"/>
      <c r="Z60" s="521"/>
      <c r="AA60" s="522"/>
      <c r="AB60" s="523"/>
      <c r="AC60" s="523"/>
      <c r="AD60" s="523"/>
      <c r="AE60" s="523"/>
      <c r="AF60" s="523"/>
      <c r="AG60" s="523"/>
      <c r="AH60" s="505"/>
      <c r="AI60" s="508"/>
      <c r="IL60" s="519"/>
      <c r="JA60" s="506"/>
    </row>
    <row r="61" spans="1:296" ht="12" customHeight="1">
      <c r="A61" s="1566"/>
      <c r="B61" s="1566"/>
      <c r="C61" s="1" t="s">
        <v>2636</v>
      </c>
      <c r="D61" s="1"/>
      <c r="E61" s="1"/>
      <c r="F61" s="1"/>
      <c r="G61" s="36"/>
      <c r="H61" s="829">
        <f>BU48</f>
        <v>0</v>
      </c>
      <c r="I61" s="829">
        <f>BV48</f>
        <v>0</v>
      </c>
      <c r="J61" s="829">
        <f>BW48</f>
        <v>0</v>
      </c>
      <c r="K61" s="829">
        <f>BX48</f>
        <v>0</v>
      </c>
      <c r="L61" s="829">
        <f>BY48</f>
        <v>0</v>
      </c>
      <c r="M61" s="829">
        <f t="shared" si="263"/>
        <v>0</v>
      </c>
      <c r="N61" s="53" t="s">
        <v>2317</v>
      </c>
      <c r="O61" s="86"/>
      <c r="R61" s="456"/>
      <c r="S61" s="456"/>
      <c r="T61" s="456"/>
      <c r="U61" s="2457"/>
      <c r="V61" s="2458"/>
      <c r="W61" s="521"/>
      <c r="X61" s="521"/>
      <c r="Y61" s="521"/>
      <c r="Z61" s="521"/>
      <c r="AA61" s="522"/>
      <c r="AB61" s="523"/>
      <c r="AC61" s="523"/>
      <c r="AD61" s="523"/>
      <c r="AE61" s="523"/>
      <c r="AF61" s="523"/>
      <c r="AG61" s="523"/>
      <c r="AH61" s="522"/>
      <c r="AI61" s="508"/>
      <c r="IL61" s="519"/>
      <c r="JA61" s="506"/>
    </row>
    <row r="62" spans="1:296" ht="12" customHeight="1">
      <c r="A62" s="1566"/>
      <c r="B62" s="1566"/>
      <c r="C62" s="1" t="s">
        <v>562</v>
      </c>
      <c r="D62" s="1"/>
      <c r="E62" s="1"/>
      <c r="F62" s="1"/>
      <c r="G62" s="36"/>
      <c r="H62" s="830">
        <f>SUM(H60:H61)</f>
        <v>0</v>
      </c>
      <c r="I62" s="830">
        <f>SUM(I60:I61)</f>
        <v>4</v>
      </c>
      <c r="J62" s="830">
        <f>SUM(J60:J61)</f>
        <v>30</v>
      </c>
      <c r="K62" s="830">
        <f>SUM(K60:K61)</f>
        <v>8</v>
      </c>
      <c r="L62" s="830">
        <f>SUM(L60:L61)</f>
        <v>0</v>
      </c>
      <c r="M62" s="830">
        <f t="shared" si="263"/>
        <v>42</v>
      </c>
      <c r="O62" s="86"/>
      <c r="R62" s="456"/>
      <c r="S62" s="456"/>
      <c r="T62" s="456"/>
      <c r="U62" s="2460"/>
      <c r="V62" s="2461"/>
      <c r="W62" s="521"/>
      <c r="X62" s="521"/>
      <c r="Y62" s="521"/>
      <c r="Z62" s="521"/>
      <c r="AA62" s="522"/>
      <c r="AB62" s="523"/>
      <c r="AC62" s="523"/>
      <c r="AD62" s="523"/>
      <c r="AE62" s="523"/>
      <c r="AF62" s="523"/>
      <c r="AG62" s="523"/>
      <c r="AH62" s="926"/>
      <c r="AI62" s="508"/>
      <c r="IL62" s="519"/>
      <c r="JA62" s="506"/>
    </row>
    <row r="63" spans="1:296" ht="12" customHeight="1">
      <c r="A63" s="1566"/>
      <c r="B63" s="1566"/>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926"/>
      <c r="AI63" s="508"/>
      <c r="IL63" s="519"/>
      <c r="JA63" s="506"/>
    </row>
    <row r="64" spans="1:296" ht="12" customHeight="1">
      <c r="A64" s="1566"/>
      <c r="B64" s="1566"/>
      <c r="C64" s="1" t="s">
        <v>977</v>
      </c>
      <c r="D64" s="1"/>
      <c r="E64" s="116"/>
      <c r="F64" s="1"/>
      <c r="G64" s="36" t="s">
        <v>1203</v>
      </c>
      <c r="H64" s="827">
        <f>BA48</f>
        <v>0</v>
      </c>
      <c r="I64" s="827">
        <f>BB48</f>
        <v>0</v>
      </c>
      <c r="J64" s="827">
        <f>BC48</f>
        <v>0</v>
      </c>
      <c r="K64" s="827">
        <f>BD48</f>
        <v>0</v>
      </c>
      <c r="L64" s="827">
        <f>BE48</f>
        <v>0</v>
      </c>
      <c r="M64" s="827">
        <f>SUM(H64:L64)</f>
        <v>0</v>
      </c>
      <c r="N64" s="53"/>
      <c r="O64" s="86"/>
      <c r="R64" s="456"/>
      <c r="S64" s="456"/>
      <c r="T64" s="456"/>
      <c r="U64" s="2455"/>
      <c r="V64" s="2456"/>
      <c r="W64" s="521"/>
      <c r="X64" s="521"/>
      <c r="Y64" s="525"/>
      <c r="Z64" s="521"/>
      <c r="AA64" s="522"/>
      <c r="AB64" s="523"/>
      <c r="AC64" s="523"/>
      <c r="AD64" s="523"/>
      <c r="AE64" s="523"/>
      <c r="AF64" s="523"/>
      <c r="AG64" s="523"/>
      <c r="AH64" s="522"/>
      <c r="AI64" s="508"/>
      <c r="IL64" s="519"/>
      <c r="JA64" s="506"/>
    </row>
    <row r="65" spans="1:261" ht="12" customHeight="1">
      <c r="A65" s="1566"/>
      <c r="B65" s="1566"/>
      <c r="C65" s="36" t="s">
        <v>2637</v>
      </c>
      <c r="D65" s="1"/>
      <c r="E65" s="116"/>
      <c r="F65" s="1"/>
      <c r="G65" s="36" t="s">
        <v>120</v>
      </c>
      <c r="H65" s="828">
        <f>AV48</f>
        <v>0</v>
      </c>
      <c r="I65" s="828">
        <f>AW48</f>
        <v>1</v>
      </c>
      <c r="J65" s="828">
        <f>AX48</f>
        <v>6</v>
      </c>
      <c r="K65" s="828">
        <f>AY48</f>
        <v>0</v>
      </c>
      <c r="L65" s="828">
        <f>AZ48</f>
        <v>0</v>
      </c>
      <c r="M65" s="832">
        <f>SUM(H65:L65)</f>
        <v>7</v>
      </c>
      <c r="N65" s="53"/>
      <c r="O65" s="86"/>
      <c r="R65" s="456"/>
      <c r="S65" s="456"/>
      <c r="T65" s="456"/>
      <c r="U65" s="2457"/>
      <c r="V65" s="2458"/>
      <c r="W65" s="522"/>
      <c r="X65" s="521"/>
      <c r="Y65" s="525"/>
      <c r="Z65" s="521"/>
      <c r="AA65" s="522"/>
      <c r="AB65" s="523"/>
      <c r="AC65" s="523"/>
      <c r="AD65" s="523"/>
      <c r="AE65" s="523"/>
      <c r="AF65" s="523"/>
      <c r="AG65" s="523"/>
      <c r="AH65" s="522"/>
      <c r="AI65" s="508"/>
      <c r="IL65" s="519"/>
      <c r="JA65" s="506"/>
    </row>
    <row r="66" spans="1:261" ht="12" customHeight="1">
      <c r="A66" s="1566"/>
      <c r="B66" s="1566"/>
      <c r="C66" s="4"/>
      <c r="D66" s="1"/>
      <c r="E66" s="116"/>
      <c r="F66" s="1"/>
      <c r="G66" s="36" t="s">
        <v>562</v>
      </c>
      <c r="H66" s="830">
        <f>SUM(H64:H65)</f>
        <v>0</v>
      </c>
      <c r="I66" s="830">
        <f>SUM(I64:I65)</f>
        <v>1</v>
      </c>
      <c r="J66" s="830">
        <f>SUM(J64:J65)</f>
        <v>6</v>
      </c>
      <c r="K66" s="830">
        <f>SUM(K64:K65)</f>
        <v>0</v>
      </c>
      <c r="L66" s="830">
        <f>SUM(L64:L65)</f>
        <v>0</v>
      </c>
      <c r="M66" s="830">
        <f>SUM(H66:L66)</f>
        <v>7</v>
      </c>
      <c r="N66" s="53"/>
      <c r="O66" s="86"/>
      <c r="R66" s="456"/>
      <c r="S66" s="456"/>
      <c r="T66" s="456"/>
      <c r="U66" s="2460"/>
      <c r="V66" s="2461"/>
      <c r="W66" s="524"/>
      <c r="X66" s="521"/>
      <c r="Y66" s="525"/>
      <c r="Z66" s="521"/>
      <c r="AA66" s="522"/>
      <c r="AB66" s="523"/>
      <c r="AC66" s="523"/>
      <c r="AD66" s="523"/>
      <c r="AE66" s="523"/>
      <c r="AF66" s="523"/>
      <c r="AG66" s="523"/>
      <c r="AH66" s="522"/>
      <c r="AI66" s="508"/>
      <c r="IL66" s="519"/>
      <c r="JA66" s="506"/>
    </row>
    <row r="67" spans="1:261" ht="12" customHeight="1">
      <c r="A67" s="1566"/>
      <c r="B67" s="1566"/>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926"/>
      <c r="AI67" s="508"/>
      <c r="IL67" s="519"/>
      <c r="JA67" s="506"/>
    </row>
    <row r="68" spans="1:261" ht="12" customHeight="1">
      <c r="A68" s="1566"/>
      <c r="B68" s="1566"/>
      <c r="C68" s="1" t="s">
        <v>932</v>
      </c>
      <c r="D68" s="1"/>
      <c r="E68" s="116"/>
      <c r="F68" s="1"/>
      <c r="G68" s="36" t="s">
        <v>1203</v>
      </c>
      <c r="H68" s="827">
        <f>BP48</f>
        <v>0</v>
      </c>
      <c r="I68" s="827">
        <f>BQ48</f>
        <v>0</v>
      </c>
      <c r="J68" s="827">
        <f>BR48</f>
        <v>0</v>
      </c>
      <c r="K68" s="827">
        <f>BS48</f>
        <v>0</v>
      </c>
      <c r="L68" s="827">
        <f>BT48</f>
        <v>0</v>
      </c>
      <c r="M68" s="827">
        <f>SUM(H68:L68)</f>
        <v>0</v>
      </c>
      <c r="N68" s="53"/>
      <c r="O68" s="86"/>
      <c r="R68" s="456"/>
      <c r="S68" s="456"/>
      <c r="T68" s="456"/>
      <c r="U68" s="2455"/>
      <c r="V68" s="2456"/>
      <c r="W68" s="508"/>
      <c r="X68" s="521"/>
      <c r="Y68" s="525"/>
      <c r="Z68" s="521"/>
      <c r="AA68" s="522"/>
      <c r="AB68" s="523"/>
      <c r="AC68" s="523"/>
      <c r="AD68" s="523"/>
      <c r="AE68" s="523"/>
      <c r="AF68" s="523"/>
      <c r="AG68" s="523"/>
      <c r="AH68" s="522"/>
      <c r="AI68" s="508"/>
      <c r="IL68" s="519"/>
      <c r="JA68" s="506"/>
    </row>
    <row r="69" spans="1:261" ht="12" customHeight="1">
      <c r="A69" s="1566"/>
      <c r="B69" s="1566"/>
      <c r="C69" s="36" t="s">
        <v>2637</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57"/>
      <c r="V69" s="2458"/>
      <c r="W69" s="526"/>
      <c r="X69" s="521"/>
      <c r="Y69" s="525"/>
      <c r="Z69" s="521"/>
      <c r="AA69" s="522"/>
      <c r="AB69" s="523"/>
      <c r="AC69" s="523"/>
      <c r="AD69" s="523"/>
      <c r="AE69" s="523"/>
      <c r="AF69" s="523"/>
      <c r="AG69" s="523"/>
      <c r="AH69" s="522"/>
      <c r="AI69" s="508"/>
      <c r="IL69" s="519"/>
      <c r="JA69" s="506"/>
    </row>
    <row r="70" spans="1:261" ht="12" customHeight="1">
      <c r="A70" s="1566"/>
      <c r="B70" s="1566"/>
      <c r="C70" s="4"/>
      <c r="D70" s="1"/>
      <c r="E70" s="116"/>
      <c r="F70" s="1"/>
      <c r="G70" s="36" t="s">
        <v>562</v>
      </c>
      <c r="H70" s="830">
        <f>SUM(H68:H69)</f>
        <v>0</v>
      </c>
      <c r="I70" s="830">
        <f>SUM(I68:I69)</f>
        <v>0</v>
      </c>
      <c r="J70" s="830">
        <f>SUM(J68:J69)</f>
        <v>0</v>
      </c>
      <c r="K70" s="830">
        <f>SUM(K68:K69)</f>
        <v>0</v>
      </c>
      <c r="L70" s="830">
        <f>SUM(L68:L69)</f>
        <v>0</v>
      </c>
      <c r="M70" s="830">
        <f>SUM(H70:L70)</f>
        <v>0</v>
      </c>
      <c r="N70" s="53"/>
      <c r="O70" s="86"/>
      <c r="R70" s="456"/>
      <c r="S70" s="456"/>
      <c r="T70" s="456"/>
      <c r="U70" s="2460"/>
      <c r="V70" s="2461"/>
      <c r="W70" s="524"/>
      <c r="X70" s="521"/>
      <c r="Y70" s="525"/>
      <c r="Z70" s="521"/>
      <c r="AA70" s="522"/>
      <c r="AB70" s="523"/>
      <c r="AC70" s="523"/>
      <c r="AD70" s="523"/>
      <c r="AE70" s="523"/>
      <c r="AF70" s="523"/>
      <c r="AG70" s="523"/>
      <c r="AH70" s="522"/>
      <c r="AI70" s="508"/>
      <c r="IL70" s="519"/>
      <c r="JA70" s="506"/>
    </row>
    <row r="71" spans="1:261" ht="12" customHeight="1">
      <c r="A71" s="1566"/>
      <c r="B71" s="1566"/>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926"/>
      <c r="AI71" s="508"/>
      <c r="IL71" s="519"/>
      <c r="JA71" s="506"/>
    </row>
    <row r="72" spans="1:261" ht="12" customHeight="1">
      <c r="A72" s="1566"/>
      <c r="B72" s="1566"/>
      <c r="C72" s="1552" t="s">
        <v>40</v>
      </c>
      <c r="D72" s="1552"/>
      <c r="E72" s="109" t="s">
        <v>2403</v>
      </c>
      <c r="F72" s="1"/>
      <c r="G72" s="36" t="s">
        <v>1503</v>
      </c>
      <c r="H72" s="827">
        <f>DD48</f>
        <v>0</v>
      </c>
      <c r="I72" s="827">
        <f>DE48</f>
        <v>0</v>
      </c>
      <c r="J72" s="827">
        <f>DF48</f>
        <v>0</v>
      </c>
      <c r="K72" s="827">
        <f>DG48</f>
        <v>0</v>
      </c>
      <c r="L72" s="827">
        <f>DH48</f>
        <v>0</v>
      </c>
      <c r="M72" s="827">
        <f t="shared" ref="M72:M82" si="264">SUM(H72:L72)</f>
        <v>0</v>
      </c>
      <c r="N72" s="28"/>
      <c r="O72" s="86"/>
      <c r="R72" s="456"/>
      <c r="S72" s="456"/>
      <c r="T72" s="456"/>
      <c r="U72" s="2545"/>
      <c r="V72" s="2546"/>
      <c r="W72" s="521"/>
      <c r="X72" s="521"/>
      <c r="Y72" s="525"/>
      <c r="Z72" s="521"/>
      <c r="AA72" s="522"/>
      <c r="AB72" s="523"/>
      <c r="AC72" s="523"/>
      <c r="AD72" s="523"/>
      <c r="AE72" s="523"/>
      <c r="AF72" s="523"/>
      <c r="AG72" s="523"/>
      <c r="AH72" s="926"/>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6"/>
      <c r="B73" s="1566"/>
      <c r="C73" s="1552"/>
      <c r="D73" s="1552"/>
      <c r="E73" s="116"/>
      <c r="F73" s="1"/>
      <c r="G73" s="36" t="s">
        <v>316</v>
      </c>
      <c r="H73" s="829">
        <f>DI48</f>
        <v>0</v>
      </c>
      <c r="I73" s="829">
        <f>DJ48</f>
        <v>0</v>
      </c>
      <c r="J73" s="829">
        <f>DK48</f>
        <v>0</v>
      </c>
      <c r="K73" s="829">
        <f>DL48</f>
        <v>0</v>
      </c>
      <c r="L73" s="829">
        <f>DM48</f>
        <v>0</v>
      </c>
      <c r="M73" s="829">
        <f t="shared" si="264"/>
        <v>0</v>
      </c>
      <c r="N73" s="56"/>
      <c r="O73" s="86"/>
      <c r="R73" s="456"/>
      <c r="S73" s="456"/>
      <c r="T73" s="456"/>
      <c r="U73" s="2547"/>
      <c r="V73" s="2548"/>
      <c r="W73" s="521"/>
      <c r="X73" s="521"/>
      <c r="Y73" s="525"/>
      <c r="Z73" s="521"/>
      <c r="AA73" s="522"/>
      <c r="AB73" s="523"/>
      <c r="AC73" s="523"/>
      <c r="AD73" s="523"/>
      <c r="AE73" s="523"/>
      <c r="AF73" s="523"/>
      <c r="AG73" s="523"/>
      <c r="AH73" s="505"/>
      <c r="AI73" s="508"/>
      <c r="IL73" s="519"/>
      <c r="JA73" s="506"/>
    </row>
    <row r="74" spans="1:261" ht="12" customHeight="1">
      <c r="A74" s="1566"/>
      <c r="B74" s="1566"/>
      <c r="C74" s="1552"/>
      <c r="D74" s="1552"/>
      <c r="E74" s="116"/>
      <c r="F74" s="1"/>
      <c r="G74" s="36" t="s">
        <v>33</v>
      </c>
      <c r="H74" s="830">
        <f>SUM(H72:H73)+DN48</f>
        <v>0</v>
      </c>
      <c r="I74" s="830">
        <f>SUM(I72:I73)+DO48</f>
        <v>0</v>
      </c>
      <c r="J74" s="830">
        <f>SUM(J72:J73)+DP48</f>
        <v>0</v>
      </c>
      <c r="K74" s="830">
        <f>SUM(K72:K73)+DQ48</f>
        <v>0</v>
      </c>
      <c r="L74" s="830">
        <f>SUM(L72:L73)+DR48</f>
        <v>0</v>
      </c>
      <c r="M74" s="830">
        <f t="shared" si="264"/>
        <v>0</v>
      </c>
      <c r="N74" s="53"/>
      <c r="O74" s="86"/>
      <c r="R74" s="456"/>
      <c r="S74" s="456"/>
      <c r="T74" s="456"/>
      <c r="U74" s="2547"/>
      <c r="V74" s="2548"/>
      <c r="W74" s="524"/>
      <c r="X74" s="521"/>
      <c r="Y74" s="525"/>
      <c r="Z74" s="521"/>
      <c r="AA74" s="526"/>
      <c r="AB74" s="523"/>
      <c r="AC74" s="523"/>
      <c r="AD74" s="523"/>
      <c r="AE74" s="523"/>
      <c r="AF74" s="523"/>
      <c r="AG74" s="523"/>
      <c r="AH74" s="522"/>
      <c r="AI74" s="508"/>
      <c r="IL74" s="519"/>
      <c r="JA74" s="506"/>
    </row>
    <row r="75" spans="1:261" ht="12" customHeight="1">
      <c r="A75" s="1566"/>
      <c r="B75" s="1566"/>
      <c r="C75" s="1552"/>
      <c r="D75" s="1552"/>
      <c r="E75" s="109" t="s">
        <v>2237</v>
      </c>
      <c r="F75" s="1"/>
      <c r="G75" s="36" t="s">
        <v>1503</v>
      </c>
      <c r="H75" s="827">
        <f>DS48</f>
        <v>0</v>
      </c>
      <c r="I75" s="827">
        <f>DT48</f>
        <v>4</v>
      </c>
      <c r="J75" s="827">
        <f>DU48</f>
        <v>30</v>
      </c>
      <c r="K75" s="827">
        <f>DV48</f>
        <v>8</v>
      </c>
      <c r="L75" s="827">
        <f>DW48</f>
        <v>0</v>
      </c>
      <c r="M75" s="827">
        <f t="shared" si="264"/>
        <v>42</v>
      </c>
      <c r="N75" s="28"/>
      <c r="O75" s="86"/>
      <c r="R75" s="456"/>
      <c r="S75" s="456"/>
      <c r="T75" s="456"/>
      <c r="U75" s="2547"/>
      <c r="V75" s="2548"/>
      <c r="W75" s="521"/>
      <c r="X75" s="521"/>
      <c r="Y75" s="525"/>
      <c r="Z75" s="521"/>
      <c r="AA75" s="522"/>
      <c r="AB75" s="523"/>
      <c r="AC75" s="523"/>
      <c r="AD75" s="523"/>
      <c r="AE75" s="523"/>
      <c r="AF75" s="523"/>
      <c r="AG75" s="523"/>
      <c r="AH75" s="926"/>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52"/>
      <c r="D76" s="1552"/>
      <c r="E76" s="116"/>
      <c r="F76" s="1"/>
      <c r="G76" s="36" t="s">
        <v>316</v>
      </c>
      <c r="H76" s="829">
        <f>DX48</f>
        <v>0</v>
      </c>
      <c r="I76" s="829">
        <f>DY48</f>
        <v>0</v>
      </c>
      <c r="J76" s="829">
        <f>DZ48</f>
        <v>0</v>
      </c>
      <c r="K76" s="829">
        <f>EA48</f>
        <v>0</v>
      </c>
      <c r="L76" s="829">
        <f>EB48</f>
        <v>0</v>
      </c>
      <c r="M76" s="829">
        <f t="shared" si="264"/>
        <v>0</v>
      </c>
      <c r="N76" s="56"/>
      <c r="O76" s="86"/>
      <c r="R76" s="456"/>
      <c r="S76" s="456"/>
      <c r="T76" s="456"/>
      <c r="U76" s="2547"/>
      <c r="V76" s="2548"/>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4</v>
      </c>
      <c r="J77" s="830">
        <f>SUM(J75:J76)+EE48</f>
        <v>30</v>
      </c>
      <c r="K77" s="830">
        <f>SUM(K75:K76)+EF48</f>
        <v>8</v>
      </c>
      <c r="L77" s="830">
        <f>SUM(L75:L76)+EG48</f>
        <v>0</v>
      </c>
      <c r="M77" s="830">
        <f t="shared" si="264"/>
        <v>42</v>
      </c>
      <c r="N77" s="53"/>
      <c r="O77" s="86"/>
      <c r="R77" s="456"/>
      <c r="S77" s="456"/>
      <c r="T77" s="456"/>
      <c r="U77" s="2547"/>
      <c r="V77" s="2548"/>
      <c r="W77" s="524"/>
      <c r="X77" s="521"/>
      <c r="Y77" s="525"/>
      <c r="Z77" s="521"/>
      <c r="AA77" s="526"/>
      <c r="AB77" s="523"/>
      <c r="AC77" s="523"/>
      <c r="AD77" s="523"/>
      <c r="AE77" s="523"/>
      <c r="AF77" s="523"/>
      <c r="AG77" s="523"/>
      <c r="AH77" s="522"/>
      <c r="AI77" s="508"/>
      <c r="IL77" s="519"/>
      <c r="JA77" s="506"/>
    </row>
    <row r="78" spans="1:261" ht="12" customHeight="1">
      <c r="C78" s="1"/>
      <c r="D78" s="1"/>
      <c r="E78" s="1557" t="s">
        <v>1489</v>
      </c>
      <c r="F78" s="1557"/>
      <c r="G78" s="36" t="s">
        <v>1503</v>
      </c>
      <c r="H78" s="827">
        <f>EH48</f>
        <v>0</v>
      </c>
      <c r="I78" s="827">
        <f>EI48</f>
        <v>0</v>
      </c>
      <c r="J78" s="827">
        <f>EJ48</f>
        <v>0</v>
      </c>
      <c r="K78" s="827">
        <f>EK48</f>
        <v>0</v>
      </c>
      <c r="L78" s="827">
        <f>EL48</f>
        <v>0</v>
      </c>
      <c r="M78" s="827">
        <f t="shared" si="264"/>
        <v>0</v>
      </c>
      <c r="N78" s="28"/>
      <c r="O78" s="86"/>
      <c r="R78" s="456"/>
      <c r="S78" s="456"/>
      <c r="T78" s="456"/>
      <c r="U78" s="2547"/>
      <c r="V78" s="2548"/>
      <c r="W78" s="521"/>
      <c r="X78" s="521"/>
      <c r="Y78" s="525"/>
      <c r="Z78" s="521"/>
      <c r="AA78" s="522"/>
      <c r="AB78" s="523"/>
      <c r="AC78" s="523"/>
      <c r="AD78" s="523"/>
      <c r="AE78" s="523"/>
      <c r="AF78" s="523"/>
      <c r="AG78" s="523"/>
      <c r="AH78" s="926"/>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57"/>
      <c r="F79" s="1557"/>
      <c r="G79" s="36" t="s">
        <v>316</v>
      </c>
      <c r="H79" s="829">
        <f>EM48</f>
        <v>0</v>
      </c>
      <c r="I79" s="829">
        <f>EN48</f>
        <v>0</v>
      </c>
      <c r="J79" s="829">
        <f>EO48</f>
        <v>0</v>
      </c>
      <c r="K79" s="829">
        <f>EP48</f>
        <v>0</v>
      </c>
      <c r="L79" s="829">
        <f>EQ48</f>
        <v>0</v>
      </c>
      <c r="M79" s="829">
        <f t="shared" si="264"/>
        <v>0</v>
      </c>
      <c r="N79" s="56"/>
      <c r="O79" s="86"/>
      <c r="R79" s="456"/>
      <c r="S79" s="456"/>
      <c r="T79" s="456"/>
      <c r="U79" s="2547"/>
      <c r="V79" s="2548"/>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47"/>
      <c r="V80" s="2548"/>
      <c r="W80" s="524"/>
      <c r="X80" s="521"/>
      <c r="Y80" s="525"/>
      <c r="Z80" s="521"/>
      <c r="AA80" s="526"/>
      <c r="AB80" s="523"/>
      <c r="AC80" s="523"/>
      <c r="AD80" s="523"/>
      <c r="AE80" s="523"/>
      <c r="AF80" s="523"/>
      <c r="AG80" s="523"/>
      <c r="AH80" s="522"/>
      <c r="AI80" s="508"/>
      <c r="IL80" s="519"/>
      <c r="JA80" s="506"/>
    </row>
    <row r="81" spans="1:261" ht="12" customHeight="1">
      <c r="C81" s="1"/>
      <c r="D81" s="1"/>
      <c r="E81" s="116" t="s">
        <v>379</v>
      </c>
      <c r="F81" s="1"/>
      <c r="G81" s="36"/>
      <c r="H81" s="2549"/>
      <c r="I81" s="2549"/>
      <c r="J81" s="2549"/>
      <c r="K81" s="2549"/>
      <c r="L81" s="2549"/>
      <c r="M81" s="827">
        <f t="shared" si="264"/>
        <v>0</v>
      </c>
      <c r="N81" s="28"/>
      <c r="O81" s="86"/>
      <c r="U81" s="2547"/>
      <c r="V81" s="2548"/>
      <c r="W81" s="521"/>
      <c r="X81" s="521"/>
      <c r="Y81" s="521"/>
      <c r="Z81" s="521"/>
      <c r="AA81" s="522"/>
      <c r="AB81" s="523"/>
      <c r="AC81" s="523"/>
      <c r="AD81" s="523"/>
      <c r="AE81" s="523"/>
      <c r="AF81" s="523"/>
      <c r="AG81" s="523"/>
      <c r="AH81" s="505"/>
      <c r="AI81" s="508"/>
      <c r="IL81" s="519"/>
      <c r="JA81" s="506"/>
    </row>
    <row r="82" spans="1:261" ht="12" customHeight="1">
      <c r="A82" s="1579" t="str">
        <f>IF(AND('Part IV-Uses of Funds'!$T$163="Yes",'Part IX A-Scoring Criteria'!$O$300&gt;0,M82&lt;1),"SHOW HISTORIC UNITS HERE &gt;&gt;&gt;&gt;","")</f>
        <v/>
      </c>
      <c r="B82" s="1579"/>
      <c r="C82" s="1579"/>
      <c r="D82" s="1579"/>
      <c r="E82" s="571" t="s">
        <v>3942</v>
      </c>
      <c r="F82" s="1"/>
      <c r="G82" s="36"/>
      <c r="H82" s="2550"/>
      <c r="I82" s="2550"/>
      <c r="J82" s="2550"/>
      <c r="K82" s="2550"/>
      <c r="L82" s="2550"/>
      <c r="M82" s="829">
        <f t="shared" si="264"/>
        <v>0</v>
      </c>
      <c r="N82" s="56"/>
      <c r="O82" s="86"/>
      <c r="U82" s="2547"/>
      <c r="V82" s="2548"/>
      <c r="W82" s="521"/>
      <c r="X82" s="521"/>
      <c r="Y82" s="521"/>
      <c r="Z82" s="521"/>
      <c r="AA82" s="522"/>
      <c r="AB82" s="523"/>
      <c r="AC82" s="523"/>
      <c r="AD82" s="523"/>
      <c r="AE82" s="523"/>
      <c r="AF82" s="523"/>
      <c r="AG82" s="523"/>
      <c r="AH82" s="505"/>
      <c r="AI82" s="508"/>
      <c r="IL82" s="519"/>
      <c r="JA82" s="506"/>
    </row>
    <row r="83" spans="1:261" ht="12" customHeight="1">
      <c r="A83" s="1237"/>
      <c r="B83" s="1237"/>
      <c r="C83" s="1237"/>
      <c r="D83" s="1237"/>
      <c r="E83" s="571"/>
      <c r="F83" s="1"/>
      <c r="G83" s="36"/>
      <c r="H83" s="36"/>
      <c r="I83" s="36"/>
      <c r="J83" s="36"/>
      <c r="K83" s="36"/>
      <c r="L83" s="36"/>
      <c r="M83" s="36"/>
      <c r="N83" s="36"/>
      <c r="O83" s="86"/>
      <c r="U83" s="2547"/>
      <c r="V83" s="2548"/>
      <c r="W83" s="521"/>
      <c r="X83" s="521"/>
      <c r="Y83" s="521"/>
      <c r="Z83" s="521"/>
      <c r="AA83" s="522"/>
      <c r="AB83" s="523"/>
      <c r="AC83" s="523"/>
      <c r="AD83" s="523"/>
      <c r="AE83" s="523"/>
      <c r="AF83" s="523"/>
      <c r="AG83" s="523"/>
      <c r="AH83" s="505"/>
      <c r="AI83" s="508"/>
      <c r="IL83" s="519"/>
      <c r="JA83" s="506"/>
    </row>
    <row r="84" spans="1:261" ht="12" customHeight="1">
      <c r="A84" s="1237"/>
      <c r="B84" s="1237"/>
      <c r="C84" s="1237"/>
      <c r="D84" s="1237"/>
      <c r="E84" s="116" t="s">
        <v>3813</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51"/>
      <c r="V84" s="2552"/>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7" t="str">
        <f>C86</f>
        <v>Building Type: (for Utility Allowance and other purposes)</v>
      </c>
      <c r="V85" s="166"/>
      <c r="W85" s="508"/>
      <c r="X85" s="508"/>
      <c r="Y85" s="513"/>
      <c r="Z85" s="508"/>
      <c r="AA85" s="522"/>
      <c r="AB85" s="521"/>
      <c r="AC85" s="521"/>
      <c r="AD85" s="521"/>
      <c r="AE85" s="521"/>
      <c r="AF85" s="521"/>
      <c r="AG85" s="521"/>
      <c r="AH85" s="926"/>
      <c r="AI85" s="508"/>
      <c r="IL85" s="519"/>
      <c r="JA85" s="506"/>
    </row>
    <row r="86" spans="1:261" ht="12" customHeight="1">
      <c r="C86" s="1550" t="s">
        <v>4346</v>
      </c>
      <c r="D86" s="1550"/>
      <c r="E86" s="109" t="s">
        <v>41</v>
      </c>
      <c r="F86" s="1"/>
      <c r="G86" s="36"/>
      <c r="H86" s="846">
        <f t="shared" ref="H86:M86" si="265">SUM(H87:H94)</f>
        <v>0</v>
      </c>
      <c r="I86" s="846">
        <f t="shared" si="265"/>
        <v>4</v>
      </c>
      <c r="J86" s="846">
        <f t="shared" si="265"/>
        <v>0</v>
      </c>
      <c r="K86" s="846">
        <f t="shared" si="265"/>
        <v>8</v>
      </c>
      <c r="L86" s="846">
        <f t="shared" si="265"/>
        <v>0</v>
      </c>
      <c r="M86" s="846">
        <f t="shared" si="265"/>
        <v>12</v>
      </c>
      <c r="N86" s="28"/>
      <c r="O86" s="86"/>
      <c r="R86" s="456"/>
      <c r="S86" s="456"/>
      <c r="T86" s="456"/>
      <c r="U86" s="2545"/>
      <c r="V86" s="2546"/>
      <c r="W86" s="508"/>
      <c r="X86" s="508"/>
      <c r="Y86" s="525"/>
      <c r="Z86" s="508"/>
      <c r="AA86" s="522"/>
      <c r="AB86" s="523"/>
      <c r="AC86" s="523"/>
      <c r="AD86" s="523"/>
      <c r="AE86" s="523"/>
      <c r="AF86" s="523"/>
      <c r="AG86" s="523"/>
      <c r="AH86" s="926"/>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50"/>
      <c r="D87" s="1550"/>
      <c r="E87" s="109"/>
      <c r="F87" s="1"/>
      <c r="G87" s="36" t="s">
        <v>2731</v>
      </c>
      <c r="H87" s="832">
        <f>GP48</f>
        <v>0</v>
      </c>
      <c r="I87" s="832">
        <f>GQ48</f>
        <v>4</v>
      </c>
      <c r="J87" s="832">
        <f>GR48</f>
        <v>0</v>
      </c>
      <c r="K87" s="832">
        <f>GS48</f>
        <v>8</v>
      </c>
      <c r="L87" s="832">
        <f>GT48</f>
        <v>0</v>
      </c>
      <c r="M87" s="832">
        <f t="shared" ref="M87:M102" si="266">SUM(H87:L87)</f>
        <v>12</v>
      </c>
      <c r="N87" s="28"/>
      <c r="O87" s="86"/>
      <c r="R87" s="456"/>
      <c r="S87" s="456"/>
      <c r="T87" s="456"/>
      <c r="U87" s="2547"/>
      <c r="V87" s="2548"/>
      <c r="W87" s="508"/>
      <c r="X87" s="508"/>
      <c r="Y87" s="525"/>
      <c r="Z87" s="508"/>
      <c r="AA87" s="522"/>
      <c r="AB87" s="523"/>
      <c r="AC87" s="523"/>
      <c r="AD87" s="523"/>
      <c r="AE87" s="523"/>
      <c r="AF87" s="523"/>
      <c r="AG87" s="523"/>
      <c r="AH87" s="926"/>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50"/>
      <c r="D88" s="1550"/>
      <c r="E88" s="109"/>
      <c r="F88" s="1"/>
      <c r="G88" s="746" t="s">
        <v>3813</v>
      </c>
      <c r="H88" s="832">
        <f>GU48</f>
        <v>0</v>
      </c>
      <c r="I88" s="832">
        <f>GV48</f>
        <v>0</v>
      </c>
      <c r="J88" s="832">
        <f>GW48</f>
        <v>0</v>
      </c>
      <c r="K88" s="832">
        <f>GX48</f>
        <v>0</v>
      </c>
      <c r="L88" s="832">
        <f>GY48</f>
        <v>0</v>
      </c>
      <c r="M88" s="828">
        <f t="shared" si="266"/>
        <v>0</v>
      </c>
      <c r="N88" s="28"/>
      <c r="O88" s="86"/>
      <c r="R88" s="456"/>
      <c r="S88" s="456"/>
      <c r="T88" s="456"/>
      <c r="U88" s="2547"/>
      <c r="V88" s="2548"/>
      <c r="W88" s="508"/>
      <c r="X88" s="508"/>
      <c r="Y88" s="525"/>
      <c r="Z88" s="508"/>
      <c r="AA88" s="522"/>
      <c r="AB88" s="523"/>
      <c r="AC88" s="523"/>
      <c r="AD88" s="523"/>
      <c r="AE88" s="523"/>
      <c r="AF88" s="523"/>
      <c r="AG88" s="523"/>
      <c r="AH88" s="926"/>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50"/>
      <c r="D89" s="1550"/>
      <c r="E89" s="109"/>
      <c r="F89" s="1"/>
      <c r="G89" s="36" t="s">
        <v>2732</v>
      </c>
      <c r="H89" s="832">
        <f>GZ48</f>
        <v>0</v>
      </c>
      <c r="I89" s="832">
        <f>HA48</f>
        <v>0</v>
      </c>
      <c r="J89" s="832">
        <f>HB48</f>
        <v>0</v>
      </c>
      <c r="K89" s="832">
        <f>HC48</f>
        <v>0</v>
      </c>
      <c r="L89" s="832">
        <f>HD48</f>
        <v>0</v>
      </c>
      <c r="M89" s="828">
        <f t="shared" si="266"/>
        <v>0</v>
      </c>
      <c r="N89" s="28"/>
      <c r="O89" s="86"/>
      <c r="R89" s="456"/>
      <c r="S89" s="456"/>
      <c r="T89" s="456"/>
      <c r="U89" s="2547"/>
      <c r="V89" s="2548"/>
      <c r="W89" s="508"/>
      <c r="X89" s="508"/>
      <c r="Y89" s="525"/>
      <c r="Z89" s="508"/>
      <c r="AA89" s="522"/>
      <c r="AB89" s="523"/>
      <c r="AC89" s="523"/>
      <c r="AD89" s="523"/>
      <c r="AE89" s="523"/>
      <c r="AF89" s="523"/>
      <c r="AG89" s="523"/>
      <c r="AH89" s="926"/>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50"/>
      <c r="D90" s="1550"/>
      <c r="E90" s="109"/>
      <c r="F90" s="1"/>
      <c r="G90" s="746" t="s">
        <v>3813</v>
      </c>
      <c r="H90" s="832">
        <f>HE48</f>
        <v>0</v>
      </c>
      <c r="I90" s="832">
        <f>HF48</f>
        <v>0</v>
      </c>
      <c r="J90" s="832">
        <f>HG48</f>
        <v>0</v>
      </c>
      <c r="K90" s="832">
        <f>HH48</f>
        <v>0</v>
      </c>
      <c r="L90" s="832">
        <f>HI48</f>
        <v>0</v>
      </c>
      <c r="M90" s="828">
        <f t="shared" si="266"/>
        <v>0</v>
      </c>
      <c r="N90" s="28"/>
      <c r="O90" s="86"/>
      <c r="R90" s="456"/>
      <c r="S90" s="456"/>
      <c r="T90" s="456"/>
      <c r="U90" s="2547"/>
      <c r="V90" s="2548"/>
      <c r="W90" s="508"/>
      <c r="X90" s="508"/>
      <c r="Y90" s="525"/>
      <c r="Z90" s="508"/>
      <c r="AA90" s="522"/>
      <c r="AB90" s="523"/>
      <c r="AC90" s="523"/>
      <c r="AD90" s="523"/>
      <c r="AE90" s="523"/>
      <c r="AF90" s="523"/>
      <c r="AG90" s="523"/>
      <c r="AH90" s="926"/>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50"/>
      <c r="D91" s="1550"/>
      <c r="E91" s="109"/>
      <c r="F91" s="1"/>
      <c r="G91" s="36" t="s">
        <v>2734</v>
      </c>
      <c r="H91" s="832">
        <f>HJ48</f>
        <v>0</v>
      </c>
      <c r="I91" s="832">
        <f>HK48</f>
        <v>0</v>
      </c>
      <c r="J91" s="832">
        <f>HL48</f>
        <v>0</v>
      </c>
      <c r="K91" s="832">
        <f>HM48</f>
        <v>0</v>
      </c>
      <c r="L91" s="832">
        <f>HN48</f>
        <v>0</v>
      </c>
      <c r="M91" s="828">
        <f t="shared" si="266"/>
        <v>0</v>
      </c>
      <c r="N91" s="28"/>
      <c r="O91" s="86"/>
      <c r="R91" s="456"/>
      <c r="S91" s="456"/>
      <c r="T91" s="456"/>
      <c r="U91" s="2547"/>
      <c r="V91" s="2548"/>
      <c r="W91" s="508"/>
      <c r="X91" s="508"/>
      <c r="Y91" s="525"/>
      <c r="Z91" s="508"/>
      <c r="AA91" s="522"/>
      <c r="AB91" s="523"/>
      <c r="AC91" s="523"/>
      <c r="AD91" s="523"/>
      <c r="AE91" s="523"/>
      <c r="AF91" s="523"/>
      <c r="AG91" s="523"/>
      <c r="AH91" s="926"/>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50"/>
      <c r="D92" s="1550"/>
      <c r="E92" s="109"/>
      <c r="F92" s="1"/>
      <c r="G92" s="746" t="s">
        <v>3813</v>
      </c>
      <c r="H92" s="832">
        <f>HO48</f>
        <v>0</v>
      </c>
      <c r="I92" s="832">
        <f>HP48</f>
        <v>0</v>
      </c>
      <c r="J92" s="832">
        <f>HQ48</f>
        <v>0</v>
      </c>
      <c r="K92" s="832">
        <f>HR48</f>
        <v>0</v>
      </c>
      <c r="L92" s="832">
        <f>HS48</f>
        <v>0</v>
      </c>
      <c r="M92" s="828">
        <f t="shared" si="266"/>
        <v>0</v>
      </c>
      <c r="N92" s="28"/>
      <c r="O92" s="86"/>
      <c r="R92" s="456"/>
      <c r="S92" s="456"/>
      <c r="T92" s="456"/>
      <c r="U92" s="2547"/>
      <c r="V92" s="2548"/>
      <c r="W92" s="508"/>
      <c r="X92" s="508"/>
      <c r="Y92" s="525"/>
      <c r="Z92" s="508"/>
      <c r="AA92" s="522"/>
      <c r="AB92" s="523"/>
      <c r="AC92" s="523"/>
      <c r="AD92" s="523"/>
      <c r="AE92" s="523"/>
      <c r="AF92" s="523"/>
      <c r="AG92" s="523"/>
      <c r="AH92" s="926"/>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2733</v>
      </c>
      <c r="H93" s="832">
        <f>HT48</f>
        <v>0</v>
      </c>
      <c r="I93" s="832">
        <f>HU48</f>
        <v>0</v>
      </c>
      <c r="J93" s="832">
        <f>HV48</f>
        <v>0</v>
      </c>
      <c r="K93" s="832">
        <f>HW48</f>
        <v>0</v>
      </c>
      <c r="L93" s="832">
        <f>HX48</f>
        <v>0</v>
      </c>
      <c r="M93" s="828">
        <f t="shared" si="266"/>
        <v>0</v>
      </c>
      <c r="N93" s="28"/>
      <c r="O93" s="86"/>
      <c r="R93" s="456"/>
      <c r="S93" s="456"/>
      <c r="T93" s="456"/>
      <c r="U93" s="2547"/>
      <c r="V93" s="2548"/>
      <c r="W93" s="508"/>
      <c r="X93" s="508"/>
      <c r="Y93" s="525"/>
      <c r="Z93" s="508"/>
      <c r="AA93" s="522"/>
      <c r="AB93" s="523"/>
      <c r="AC93" s="523"/>
      <c r="AD93" s="523"/>
      <c r="AE93" s="523"/>
      <c r="AF93" s="523"/>
      <c r="AG93" s="523"/>
      <c r="AH93" s="926"/>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3813</v>
      </c>
      <c r="H94" s="832">
        <f>HY48</f>
        <v>0</v>
      </c>
      <c r="I94" s="832">
        <f>HZ48</f>
        <v>0</v>
      </c>
      <c r="J94" s="832">
        <f>IA48</f>
        <v>0</v>
      </c>
      <c r="K94" s="832">
        <f>IB48</f>
        <v>0</v>
      </c>
      <c r="L94" s="832">
        <f>IC48</f>
        <v>0</v>
      </c>
      <c r="M94" s="828">
        <f t="shared" si="266"/>
        <v>0</v>
      </c>
      <c r="N94" s="28"/>
      <c r="O94" s="86"/>
      <c r="R94" s="456"/>
      <c r="S94" s="456"/>
      <c r="T94" s="456"/>
      <c r="U94" s="2547"/>
      <c r="V94" s="2548"/>
      <c r="W94" s="508"/>
      <c r="X94" s="508"/>
      <c r="Y94" s="525"/>
      <c r="Z94" s="508"/>
      <c r="AA94" s="522"/>
      <c r="AB94" s="523"/>
      <c r="AC94" s="523"/>
      <c r="AD94" s="523"/>
      <c r="AE94" s="523"/>
      <c r="AF94" s="523"/>
      <c r="AG94" s="523"/>
      <c r="AH94" s="926"/>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47"/>
      <c r="V95" s="2548"/>
      <c r="W95" s="508"/>
      <c r="X95" s="508"/>
      <c r="Y95" s="525"/>
      <c r="Z95" s="508"/>
      <c r="AA95" s="522"/>
      <c r="AB95" s="523"/>
      <c r="AC95" s="523"/>
      <c r="AD95" s="523"/>
      <c r="AE95" s="523"/>
      <c r="AF95" s="523"/>
      <c r="AG95" s="523"/>
      <c r="AH95" s="505"/>
      <c r="AI95" s="508"/>
      <c r="IL95" s="519"/>
      <c r="JA95" s="506"/>
    </row>
    <row r="96" spans="1:261" ht="12" customHeight="1">
      <c r="E96" s="109"/>
      <c r="F96" s="1"/>
      <c r="G96" s="746" t="s">
        <v>3813</v>
      </c>
      <c r="H96" s="828">
        <f>FG48</f>
        <v>0</v>
      </c>
      <c r="I96" s="828">
        <f>FH48</f>
        <v>0</v>
      </c>
      <c r="J96" s="828">
        <f>FI48</f>
        <v>0</v>
      </c>
      <c r="K96" s="828">
        <f>FJ48</f>
        <v>0</v>
      </c>
      <c r="L96" s="828">
        <f>FK48</f>
        <v>0</v>
      </c>
      <c r="M96" s="828">
        <f t="shared" si="266"/>
        <v>0</v>
      </c>
      <c r="N96" s="736"/>
      <c r="O96" s="753"/>
      <c r="R96" s="456"/>
      <c r="S96" s="456"/>
      <c r="T96" s="456"/>
      <c r="U96" s="2547"/>
      <c r="V96" s="2548"/>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30</v>
      </c>
      <c r="K97" s="828">
        <f>GI48</f>
        <v>0</v>
      </c>
      <c r="L97" s="828">
        <f>GJ48</f>
        <v>0</v>
      </c>
      <c r="M97" s="828">
        <f t="shared" si="266"/>
        <v>30</v>
      </c>
      <c r="N97" s="736"/>
      <c r="O97" s="753"/>
      <c r="R97" s="456"/>
      <c r="S97" s="456"/>
      <c r="T97" s="456"/>
      <c r="U97" s="2547"/>
      <c r="V97" s="2548"/>
      <c r="W97" s="508"/>
      <c r="X97" s="508"/>
      <c r="Y97" s="525"/>
      <c r="Z97" s="508"/>
      <c r="AA97" s="522"/>
      <c r="AB97" s="523"/>
      <c r="AC97" s="523"/>
      <c r="AD97" s="523"/>
      <c r="AE97" s="523"/>
      <c r="AF97" s="523"/>
      <c r="AG97" s="523"/>
      <c r="AH97" s="926"/>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3813</v>
      </c>
      <c r="H98" s="828">
        <f>GK48</f>
        <v>0</v>
      </c>
      <c r="I98" s="828">
        <f>GL48</f>
        <v>0</v>
      </c>
      <c r="J98" s="828">
        <f>GM48</f>
        <v>0</v>
      </c>
      <c r="K98" s="828">
        <f>GN48</f>
        <v>0</v>
      </c>
      <c r="L98" s="828">
        <f>GO48</f>
        <v>0</v>
      </c>
      <c r="M98" s="828">
        <f t="shared" si="266"/>
        <v>0</v>
      </c>
      <c r="N98" s="736"/>
      <c r="O98" s="753"/>
      <c r="R98" s="456"/>
      <c r="S98" s="456"/>
      <c r="T98" s="456"/>
      <c r="U98" s="2547"/>
      <c r="V98" s="2548"/>
      <c r="W98" s="508"/>
      <c r="X98" s="508"/>
      <c r="Y98" s="525"/>
      <c r="Z98" s="508"/>
      <c r="AA98" s="522"/>
      <c r="AB98" s="523"/>
      <c r="AC98" s="523"/>
      <c r="AD98" s="523"/>
      <c r="AE98" s="523"/>
      <c r="AF98" s="523"/>
      <c r="AG98" s="523"/>
      <c r="AH98" s="926"/>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588</v>
      </c>
      <c r="F99" s="1"/>
      <c r="G99" s="36"/>
      <c r="H99" s="828">
        <f>FV48</f>
        <v>0</v>
      </c>
      <c r="I99" s="828">
        <f>FW48</f>
        <v>0</v>
      </c>
      <c r="J99" s="828">
        <f>FX48</f>
        <v>0</v>
      </c>
      <c r="K99" s="828">
        <f>FY48</f>
        <v>0</v>
      </c>
      <c r="L99" s="828">
        <f>FZ48</f>
        <v>0</v>
      </c>
      <c r="M99" s="828">
        <f t="shared" si="266"/>
        <v>0</v>
      </c>
      <c r="N99" s="736"/>
      <c r="O99" s="753"/>
      <c r="R99" s="456"/>
      <c r="S99" s="456"/>
      <c r="T99" s="456"/>
      <c r="U99" s="2547"/>
      <c r="V99" s="2548"/>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3813</v>
      </c>
      <c r="H100" s="833">
        <f>GA48</f>
        <v>0</v>
      </c>
      <c r="I100" s="833">
        <f>GB48</f>
        <v>0</v>
      </c>
      <c r="J100" s="833">
        <f>GC48</f>
        <v>0</v>
      </c>
      <c r="K100" s="833">
        <f>GD48</f>
        <v>0</v>
      </c>
      <c r="L100" s="833">
        <f>GE48</f>
        <v>0</v>
      </c>
      <c r="M100" s="828">
        <f t="shared" si="266"/>
        <v>0</v>
      </c>
      <c r="N100" s="736"/>
      <c r="O100" s="753"/>
      <c r="R100" s="456"/>
      <c r="S100" s="456"/>
      <c r="T100" s="456"/>
      <c r="U100" s="2547"/>
      <c r="V100" s="2548"/>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589</v>
      </c>
      <c r="F101" s="1"/>
      <c r="G101" s="36"/>
      <c r="H101" s="828">
        <f>FL48</f>
        <v>0</v>
      </c>
      <c r="I101" s="828">
        <f>FM48</f>
        <v>0</v>
      </c>
      <c r="J101" s="828">
        <f>FN48</f>
        <v>0</v>
      </c>
      <c r="K101" s="828">
        <f>FO48</f>
        <v>0</v>
      </c>
      <c r="L101" s="828">
        <f>FP48</f>
        <v>0</v>
      </c>
      <c r="M101" s="828">
        <f t="shared" si="266"/>
        <v>0</v>
      </c>
      <c r="N101" s="736"/>
      <c r="O101" s="753"/>
      <c r="R101" s="456"/>
      <c r="S101" s="456"/>
      <c r="T101" s="456"/>
      <c r="U101" s="2547"/>
      <c r="V101" s="2548"/>
      <c r="W101" s="508"/>
      <c r="X101" s="508"/>
      <c r="Y101" s="511"/>
      <c r="Z101" s="508"/>
      <c r="AA101" s="522"/>
      <c r="AB101" s="523"/>
      <c r="AC101" s="523"/>
      <c r="AD101" s="523"/>
      <c r="AE101" s="523"/>
      <c r="AF101" s="523"/>
      <c r="AG101" s="523"/>
      <c r="AH101" s="926"/>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3813</v>
      </c>
      <c r="H102" s="829">
        <f>FQ48</f>
        <v>0</v>
      </c>
      <c r="I102" s="829">
        <f>FR48</f>
        <v>0</v>
      </c>
      <c r="J102" s="829">
        <f>FS48</f>
        <v>0</v>
      </c>
      <c r="K102" s="829">
        <f>FT48</f>
        <v>0</v>
      </c>
      <c r="L102" s="829">
        <f>FU48</f>
        <v>0</v>
      </c>
      <c r="M102" s="829">
        <f t="shared" si="266"/>
        <v>0</v>
      </c>
      <c r="N102" s="53"/>
      <c r="O102" s="735"/>
      <c r="R102" s="456"/>
      <c r="S102" s="456"/>
      <c r="T102" s="456"/>
      <c r="U102" s="2551"/>
      <c r="V102" s="2552"/>
      <c r="W102" s="508"/>
      <c r="X102" s="508"/>
      <c r="Y102" s="511"/>
      <c r="Z102" s="508"/>
      <c r="AA102" s="522"/>
      <c r="AB102" s="523"/>
      <c r="AC102" s="523"/>
      <c r="AD102" s="523"/>
      <c r="AE102" s="523"/>
      <c r="AF102" s="523"/>
      <c r="AG102" s="523"/>
      <c r="AH102" s="926"/>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54" t="s">
        <v>3941</v>
      </c>
      <c r="D104" s="1554"/>
      <c r="E104" s="301" t="s">
        <v>3808</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82"/>
      <c r="O104" s="735"/>
      <c r="R104" s="456"/>
      <c r="S104" s="456"/>
      <c r="T104" s="456"/>
      <c r="U104" s="2545"/>
      <c r="V104" s="2546"/>
      <c r="W104" s="508"/>
      <c r="X104" s="508"/>
      <c r="Y104" s="511"/>
      <c r="Z104" s="508"/>
      <c r="AA104" s="522"/>
      <c r="AB104" s="523"/>
      <c r="AC104" s="523"/>
      <c r="AD104" s="523"/>
      <c r="AE104" s="523"/>
      <c r="AF104" s="523"/>
      <c r="AG104" s="523"/>
      <c r="AH104" s="926"/>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54"/>
      <c r="D105" s="1554"/>
      <c r="E105" s="301"/>
      <c r="F105" s="192"/>
      <c r="G105" s="754" t="s">
        <v>3813</v>
      </c>
      <c r="H105" s="836">
        <f t="shared" si="267"/>
        <v>0</v>
      </c>
      <c r="I105" s="837">
        <f t="shared" si="267"/>
        <v>0</v>
      </c>
      <c r="J105" s="837">
        <f t="shared" si="267"/>
        <v>0</v>
      </c>
      <c r="K105" s="837">
        <f t="shared" si="267"/>
        <v>0</v>
      </c>
      <c r="L105" s="837">
        <f t="shared" si="267"/>
        <v>0</v>
      </c>
      <c r="M105" s="837">
        <f t="shared" si="268"/>
        <v>0</v>
      </c>
      <c r="N105" s="1282"/>
      <c r="O105" s="735"/>
      <c r="R105" s="456"/>
      <c r="S105" s="456"/>
      <c r="T105" s="456"/>
      <c r="U105" s="2547"/>
      <c r="V105" s="2548"/>
      <c r="W105" s="508"/>
      <c r="X105" s="508"/>
      <c r="Y105" s="511"/>
      <c r="Z105" s="508"/>
      <c r="AA105" s="522"/>
      <c r="AB105" s="523"/>
      <c r="AC105" s="523"/>
      <c r="AD105" s="523"/>
      <c r="AE105" s="523"/>
      <c r="AF105" s="523"/>
      <c r="AG105" s="523"/>
      <c r="AH105" s="926"/>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54"/>
      <c r="D106" s="1554"/>
      <c r="E106" s="301" t="s">
        <v>3809</v>
      </c>
      <c r="F106" s="192"/>
      <c r="G106" s="192"/>
      <c r="H106" s="837">
        <f>H87+H97</f>
        <v>0</v>
      </c>
      <c r="I106" s="837">
        <f t="shared" ref="I106:L107" si="269">I87+I97</f>
        <v>4</v>
      </c>
      <c r="J106" s="837">
        <f t="shared" si="269"/>
        <v>30</v>
      </c>
      <c r="K106" s="837">
        <f t="shared" si="269"/>
        <v>8</v>
      </c>
      <c r="L106" s="837">
        <f t="shared" si="269"/>
        <v>0</v>
      </c>
      <c r="M106" s="837">
        <f t="shared" si="268"/>
        <v>42</v>
      </c>
      <c r="N106" s="1282"/>
      <c r="O106" s="735"/>
      <c r="R106" s="456"/>
      <c r="S106" s="456"/>
      <c r="T106" s="456"/>
      <c r="U106" s="2547"/>
      <c r="V106" s="2548"/>
      <c r="W106" s="508"/>
      <c r="X106" s="508"/>
      <c r="Y106" s="511"/>
      <c r="Z106" s="508"/>
      <c r="AA106" s="522"/>
      <c r="AB106" s="523"/>
      <c r="AC106" s="523"/>
      <c r="AD106" s="523"/>
      <c r="AE106" s="523"/>
      <c r="AF106" s="523"/>
      <c r="AG106" s="523"/>
      <c r="AH106" s="926"/>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54"/>
      <c r="D107" s="1554"/>
      <c r="E107" s="301"/>
      <c r="F107" s="192"/>
      <c r="G107" s="754" t="s">
        <v>3813</v>
      </c>
      <c r="H107" s="837">
        <f>H88+H98</f>
        <v>0</v>
      </c>
      <c r="I107" s="837">
        <f t="shared" si="269"/>
        <v>0</v>
      </c>
      <c r="J107" s="837">
        <f t="shared" si="269"/>
        <v>0</v>
      </c>
      <c r="K107" s="837">
        <f t="shared" si="269"/>
        <v>0</v>
      </c>
      <c r="L107" s="837">
        <f t="shared" si="269"/>
        <v>0</v>
      </c>
      <c r="M107" s="837">
        <f t="shared" si="268"/>
        <v>0</v>
      </c>
      <c r="N107" s="1282"/>
      <c r="O107" s="735"/>
      <c r="R107" s="456"/>
      <c r="S107" s="456"/>
      <c r="T107" s="456"/>
      <c r="U107" s="2547"/>
      <c r="V107" s="2548"/>
      <c r="W107" s="508"/>
      <c r="X107" s="508"/>
      <c r="Y107" s="511"/>
      <c r="Z107" s="508"/>
      <c r="AA107" s="522"/>
      <c r="AB107" s="523"/>
      <c r="AC107" s="523"/>
      <c r="AD107" s="523"/>
      <c r="AE107" s="523"/>
      <c r="AF107" s="523"/>
      <c r="AG107" s="523"/>
      <c r="AH107" s="926"/>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54"/>
      <c r="D108" s="1554"/>
      <c r="E108" s="301" t="s">
        <v>3810</v>
      </c>
      <c r="F108" s="192"/>
      <c r="G108" s="192"/>
      <c r="H108" s="837">
        <f>H91</f>
        <v>0</v>
      </c>
      <c r="I108" s="837">
        <f t="shared" ref="I108:L109" si="270">I91</f>
        <v>0</v>
      </c>
      <c r="J108" s="837">
        <f t="shared" si="270"/>
        <v>0</v>
      </c>
      <c r="K108" s="837">
        <f t="shared" si="270"/>
        <v>0</v>
      </c>
      <c r="L108" s="837">
        <f t="shared" si="270"/>
        <v>0</v>
      </c>
      <c r="M108" s="837">
        <f t="shared" si="268"/>
        <v>0</v>
      </c>
      <c r="N108" s="1282"/>
      <c r="O108" s="735"/>
      <c r="R108" s="456"/>
      <c r="S108" s="456"/>
      <c r="T108" s="456"/>
      <c r="U108" s="2547"/>
      <c r="V108" s="2548"/>
      <c r="W108" s="508"/>
      <c r="X108" s="508"/>
      <c r="Y108" s="511"/>
      <c r="Z108" s="508"/>
      <c r="AA108" s="522"/>
      <c r="AB108" s="523"/>
      <c r="AC108" s="523"/>
      <c r="AD108" s="523"/>
      <c r="AE108" s="523"/>
      <c r="AF108" s="523"/>
      <c r="AG108" s="523"/>
      <c r="AH108" s="926"/>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54"/>
      <c r="D109" s="1554"/>
      <c r="E109" s="301"/>
      <c r="F109" s="192"/>
      <c r="G109" s="754" t="s">
        <v>3813</v>
      </c>
      <c r="H109" s="837">
        <f>H92</f>
        <v>0</v>
      </c>
      <c r="I109" s="837">
        <f t="shared" si="270"/>
        <v>0</v>
      </c>
      <c r="J109" s="837">
        <f t="shared" si="270"/>
        <v>0</v>
      </c>
      <c r="K109" s="837">
        <f t="shared" si="270"/>
        <v>0</v>
      </c>
      <c r="L109" s="837">
        <f t="shared" si="270"/>
        <v>0</v>
      </c>
      <c r="M109" s="837">
        <f t="shared" si="268"/>
        <v>0</v>
      </c>
      <c r="N109" s="1282"/>
      <c r="O109" s="735"/>
      <c r="R109" s="456"/>
      <c r="S109" s="456"/>
      <c r="T109" s="456"/>
      <c r="U109" s="2547"/>
      <c r="V109" s="2548"/>
      <c r="W109" s="508"/>
      <c r="X109" s="508"/>
      <c r="Y109" s="511"/>
      <c r="Z109" s="508"/>
      <c r="AA109" s="522"/>
      <c r="AB109" s="523"/>
      <c r="AC109" s="523"/>
      <c r="AD109" s="523"/>
      <c r="AE109" s="523"/>
      <c r="AF109" s="523"/>
      <c r="AG109" s="523"/>
      <c r="AH109" s="926"/>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54"/>
      <c r="D110" s="1554"/>
      <c r="E110" s="301" t="s">
        <v>3811</v>
      </c>
      <c r="F110" s="192"/>
      <c r="G110" s="192"/>
      <c r="H110" s="837">
        <f>H89+H93</f>
        <v>0</v>
      </c>
      <c r="I110" s="837">
        <f t="shared" ref="I110:L111" si="271">I89+I93</f>
        <v>0</v>
      </c>
      <c r="J110" s="837">
        <f t="shared" si="271"/>
        <v>0</v>
      </c>
      <c r="K110" s="837">
        <f t="shared" si="271"/>
        <v>0</v>
      </c>
      <c r="L110" s="837">
        <f t="shared" si="271"/>
        <v>0</v>
      </c>
      <c r="M110" s="837">
        <f t="shared" si="268"/>
        <v>0</v>
      </c>
      <c r="N110" s="1282"/>
      <c r="O110" s="735"/>
      <c r="R110" s="456"/>
      <c r="S110" s="456"/>
      <c r="T110" s="456"/>
      <c r="U110" s="2547"/>
      <c r="V110" s="2548"/>
      <c r="W110" s="508"/>
      <c r="X110" s="508"/>
      <c r="Y110" s="511"/>
      <c r="Z110" s="508"/>
      <c r="AA110" s="522"/>
      <c r="AB110" s="523"/>
      <c r="AC110" s="523"/>
      <c r="AD110" s="523"/>
      <c r="AE110" s="523"/>
      <c r="AF110" s="523"/>
      <c r="AG110" s="523"/>
      <c r="AH110" s="926"/>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3813</v>
      </c>
      <c r="H111" s="838">
        <f>H90+H94</f>
        <v>0</v>
      </c>
      <c r="I111" s="838">
        <f t="shared" si="271"/>
        <v>0</v>
      </c>
      <c r="J111" s="838">
        <f t="shared" si="271"/>
        <v>0</v>
      </c>
      <c r="K111" s="838">
        <f t="shared" si="271"/>
        <v>0</v>
      </c>
      <c r="L111" s="838">
        <f t="shared" si="271"/>
        <v>0</v>
      </c>
      <c r="M111" s="838">
        <f t="shared" si="268"/>
        <v>0</v>
      </c>
      <c r="N111" s="1282"/>
      <c r="O111" s="735"/>
      <c r="R111" s="456"/>
      <c r="S111" s="456"/>
      <c r="T111" s="456"/>
      <c r="U111" s="2551"/>
      <c r="V111" s="2552"/>
      <c r="W111" s="508"/>
      <c r="X111" s="508"/>
      <c r="Y111" s="511"/>
      <c r="Z111" s="508"/>
      <c r="AA111" s="522"/>
      <c r="AB111" s="523"/>
      <c r="AC111" s="523"/>
      <c r="AD111" s="523"/>
      <c r="AE111" s="523"/>
      <c r="AF111" s="523"/>
      <c r="AG111" s="523"/>
      <c r="AH111" s="926"/>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82"/>
      <c r="O112" s="735"/>
      <c r="R112" s="456"/>
      <c r="S112" s="456"/>
      <c r="T112" s="456"/>
      <c r="U112" s="2553"/>
      <c r="V112" s="2553"/>
      <c r="W112" s="508"/>
      <c r="X112" s="508"/>
      <c r="Y112" s="511"/>
      <c r="Z112" s="508"/>
      <c r="AA112" s="522"/>
      <c r="AB112" s="523"/>
      <c r="AC112" s="523"/>
      <c r="AD112" s="523"/>
      <c r="AE112" s="523"/>
      <c r="AF112" s="523"/>
      <c r="AG112" s="523"/>
      <c r="AH112" s="926"/>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2266</v>
      </c>
      <c r="C113" s="1"/>
      <c r="D113" s="1"/>
      <c r="E113" s="1"/>
      <c r="F113" s="1"/>
      <c r="G113" s="36"/>
      <c r="H113" s="840"/>
      <c r="I113" s="840"/>
      <c r="J113" s="840"/>
      <c r="K113" s="840"/>
      <c r="L113" s="840"/>
      <c r="M113" s="840"/>
      <c r="O113" s="86"/>
      <c r="R113" s="456"/>
      <c r="S113" s="456"/>
      <c r="T113" s="456"/>
      <c r="U113" s="348" t="str">
        <f>B113</f>
        <v>Unit Square Footage:</v>
      </c>
      <c r="V113" s="455" t="s">
        <v>1190</v>
      </c>
      <c r="W113" s="521"/>
      <c r="X113" s="521"/>
      <c r="Y113" s="521"/>
      <c r="Z113" s="521"/>
      <c r="AA113" s="522"/>
      <c r="AB113" s="521"/>
      <c r="AC113" s="521"/>
      <c r="AD113" s="521"/>
      <c r="AE113" s="521"/>
      <c r="AF113" s="521"/>
      <c r="AG113" s="521"/>
      <c r="AH113" s="926"/>
      <c r="AI113" s="508"/>
      <c r="IL113" s="519"/>
      <c r="JA113" s="506"/>
    </row>
    <row r="114" spans="1:263" ht="12" customHeight="1">
      <c r="C114" s="5" t="s">
        <v>2236</v>
      </c>
      <c r="D114" s="1"/>
      <c r="E114" s="1"/>
      <c r="F114" s="1"/>
      <c r="G114" s="36" t="s">
        <v>1203</v>
      </c>
      <c r="H114" s="841">
        <f>BZ48</f>
        <v>0</v>
      </c>
      <c r="I114" s="841">
        <f>CA48</f>
        <v>1824</v>
      </c>
      <c r="J114" s="841">
        <f>CB48</f>
        <v>20088</v>
      </c>
      <c r="K114" s="841">
        <f>CC48</f>
        <v>6600</v>
      </c>
      <c r="L114" s="841">
        <f>CD48</f>
        <v>0</v>
      </c>
      <c r="M114" s="841">
        <f t="shared" ref="M114:M120" si="272">SUM(H114:L114)</f>
        <v>28512</v>
      </c>
      <c r="O114" s="86"/>
      <c r="R114" s="456"/>
      <c r="S114" s="456"/>
      <c r="T114" s="456"/>
      <c r="U114" s="2455"/>
      <c r="V114" s="2456"/>
      <c r="W114" s="521"/>
      <c r="X114" s="521"/>
      <c r="Y114" s="521"/>
      <c r="Z114" s="521"/>
      <c r="AA114" s="522"/>
      <c r="AB114" s="523"/>
      <c r="AC114" s="523"/>
      <c r="AD114" s="523"/>
      <c r="AE114" s="523"/>
      <c r="AF114" s="523"/>
      <c r="AG114" s="523"/>
      <c r="AH114" s="926"/>
      <c r="AI114" s="508"/>
      <c r="IL114" s="519"/>
      <c r="JA114" s="506"/>
    </row>
    <row r="115" spans="1:263" ht="12" customHeight="1">
      <c r="C115" s="4"/>
      <c r="D115" s="1"/>
      <c r="E115" s="1"/>
      <c r="F115" s="1"/>
      <c r="G115" s="36" t="s">
        <v>120</v>
      </c>
      <c r="H115" s="842">
        <f>CE48</f>
        <v>0</v>
      </c>
      <c r="I115" s="842">
        <f>CF48</f>
        <v>637</v>
      </c>
      <c r="J115" s="842">
        <f>CG48</f>
        <v>5022</v>
      </c>
      <c r="K115" s="842">
        <f>CH48</f>
        <v>2200</v>
      </c>
      <c r="L115" s="842">
        <f>CI48</f>
        <v>0</v>
      </c>
      <c r="M115" s="842">
        <f t="shared" si="272"/>
        <v>7859</v>
      </c>
      <c r="N115" s="5"/>
      <c r="O115" s="86"/>
      <c r="R115" s="456"/>
      <c r="S115" s="456"/>
      <c r="T115" s="456"/>
      <c r="U115" s="2457"/>
      <c r="V115" s="2458"/>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562</v>
      </c>
      <c r="H116" s="841">
        <f>SUM(H114:H115)</f>
        <v>0</v>
      </c>
      <c r="I116" s="841">
        <f>SUM(I114:I115)</f>
        <v>2461</v>
      </c>
      <c r="J116" s="841">
        <f>SUM(J114:J115)</f>
        <v>25110</v>
      </c>
      <c r="K116" s="841">
        <f>SUM(K114:K115)</f>
        <v>8800</v>
      </c>
      <c r="L116" s="841">
        <f>SUM(L114:L115)</f>
        <v>0</v>
      </c>
      <c r="M116" s="841">
        <f t="shared" si="272"/>
        <v>36371</v>
      </c>
      <c r="N116" s="5"/>
      <c r="O116" s="86"/>
      <c r="R116" s="456"/>
      <c r="S116" s="456"/>
      <c r="T116" s="456"/>
      <c r="U116" s="2457"/>
      <c r="V116" s="2458"/>
      <c r="W116" s="524"/>
      <c r="X116" s="521"/>
      <c r="Y116" s="521"/>
      <c r="Z116" s="521"/>
      <c r="AA116" s="522"/>
      <c r="AB116" s="523"/>
      <c r="AC116" s="523"/>
      <c r="AD116" s="523"/>
      <c r="AE116" s="523"/>
      <c r="AF116" s="523"/>
      <c r="AG116" s="523"/>
      <c r="AH116" s="521"/>
      <c r="AI116" s="508"/>
      <c r="IL116" s="519"/>
      <c r="JA116" s="506"/>
    </row>
    <row r="117" spans="1:263" ht="12" customHeight="1">
      <c r="C117" s="1" t="s">
        <v>316</v>
      </c>
      <c r="D117" s="1"/>
      <c r="E117" s="1"/>
      <c r="F117" s="1"/>
      <c r="G117" s="1"/>
      <c r="H117" s="843">
        <f>CO48</f>
        <v>0</v>
      </c>
      <c r="I117" s="843">
        <f>CP48</f>
        <v>0</v>
      </c>
      <c r="J117" s="843">
        <f>CQ48</f>
        <v>0</v>
      </c>
      <c r="K117" s="843">
        <f>CR48</f>
        <v>0</v>
      </c>
      <c r="L117" s="843">
        <f>CS48</f>
        <v>0</v>
      </c>
      <c r="M117" s="843">
        <f t="shared" si="272"/>
        <v>0</v>
      </c>
      <c r="O117" s="86"/>
      <c r="R117" s="456"/>
      <c r="S117" s="456"/>
      <c r="T117" s="456"/>
      <c r="U117" s="2457"/>
      <c r="V117" s="2458"/>
      <c r="W117" s="508"/>
      <c r="X117" s="521"/>
      <c r="Y117" s="521"/>
      <c r="Z117" s="521"/>
      <c r="AA117" s="521"/>
      <c r="AB117" s="523"/>
      <c r="AC117" s="523"/>
      <c r="AD117" s="523"/>
      <c r="AE117" s="523"/>
      <c r="AF117" s="523"/>
      <c r="AG117" s="523"/>
      <c r="AH117" s="926"/>
      <c r="AI117" s="508"/>
      <c r="IL117" s="519"/>
      <c r="JA117" s="506"/>
    </row>
    <row r="118" spans="1:263" ht="12" customHeight="1">
      <c r="C118" s="5" t="s">
        <v>1192</v>
      </c>
      <c r="D118" s="1"/>
      <c r="E118" s="1"/>
      <c r="F118" s="1"/>
      <c r="G118" s="1"/>
      <c r="H118" s="841">
        <f>SUM(H116:H117)</f>
        <v>0</v>
      </c>
      <c r="I118" s="841">
        <f>SUM(I116:I117)</f>
        <v>2461</v>
      </c>
      <c r="J118" s="841">
        <f>SUM(J116:J117)</f>
        <v>25110</v>
      </c>
      <c r="K118" s="841">
        <f>SUM(K116:K117)</f>
        <v>8800</v>
      </c>
      <c r="L118" s="841">
        <f>SUM(L116:L117)</f>
        <v>0</v>
      </c>
      <c r="M118" s="841">
        <f t="shared" si="272"/>
        <v>36371</v>
      </c>
      <c r="O118" s="86"/>
      <c r="R118" s="456"/>
      <c r="S118" s="456"/>
      <c r="T118" s="456"/>
      <c r="U118" s="2457"/>
      <c r="V118" s="2458"/>
      <c r="W118" s="521"/>
      <c r="X118" s="521"/>
      <c r="Y118" s="521"/>
      <c r="Z118" s="521"/>
      <c r="AA118" s="521"/>
      <c r="AB118" s="523"/>
      <c r="AC118" s="523"/>
      <c r="AD118" s="523"/>
      <c r="AE118" s="523"/>
      <c r="AF118" s="523"/>
      <c r="AG118" s="523"/>
      <c r="AH118" s="926"/>
      <c r="AI118" s="508"/>
      <c r="IL118" s="519"/>
      <c r="JA118" s="506"/>
    </row>
    <row r="119" spans="1:263" ht="12" customHeight="1">
      <c r="C119" s="5" t="s">
        <v>2636</v>
      </c>
      <c r="D119" s="1"/>
      <c r="E119" s="1"/>
      <c r="F119" s="1"/>
      <c r="G119" s="1"/>
      <c r="H119" s="843">
        <f>CY48</f>
        <v>0</v>
      </c>
      <c r="I119" s="843">
        <f>CZ48</f>
        <v>0</v>
      </c>
      <c r="J119" s="843">
        <f>DA48</f>
        <v>0</v>
      </c>
      <c r="K119" s="843">
        <f>DB48</f>
        <v>0</v>
      </c>
      <c r="L119" s="843">
        <f>DC48</f>
        <v>0</v>
      </c>
      <c r="M119" s="843">
        <f t="shared" si="272"/>
        <v>0</v>
      </c>
      <c r="O119" s="86"/>
      <c r="R119" s="456"/>
      <c r="S119" s="456"/>
      <c r="T119" s="456"/>
      <c r="U119" s="2457"/>
      <c r="V119" s="2458"/>
      <c r="W119" s="521"/>
      <c r="X119" s="521"/>
      <c r="Y119" s="521"/>
      <c r="Z119" s="521"/>
      <c r="AA119" s="521"/>
      <c r="AB119" s="523"/>
      <c r="AC119" s="523"/>
      <c r="AD119" s="523"/>
      <c r="AE119" s="523"/>
      <c r="AF119" s="523"/>
      <c r="AG119" s="523"/>
      <c r="AH119" s="926"/>
      <c r="AI119" s="508"/>
      <c r="IL119" s="519"/>
      <c r="JA119" s="506"/>
    </row>
    <row r="120" spans="1:263" ht="12" customHeight="1">
      <c r="C120" s="5" t="s">
        <v>562</v>
      </c>
      <c r="D120" s="1"/>
      <c r="E120" s="1"/>
      <c r="F120" s="1"/>
      <c r="G120" s="1"/>
      <c r="H120" s="844">
        <f>SUM(H118:H119)</f>
        <v>0</v>
      </c>
      <c r="I120" s="844">
        <f>SUM(I118:I119)</f>
        <v>2461</v>
      </c>
      <c r="J120" s="844">
        <f>SUM(J118:J119)</f>
        <v>25110</v>
      </c>
      <c r="K120" s="844">
        <f>SUM(K118:K119)</f>
        <v>8800</v>
      </c>
      <c r="L120" s="844">
        <f>SUM(L118:L119)</f>
        <v>0</v>
      </c>
      <c r="M120" s="844">
        <f t="shared" si="272"/>
        <v>36371</v>
      </c>
      <c r="O120" s="86"/>
      <c r="R120" s="456"/>
      <c r="S120" s="456"/>
      <c r="T120" s="456"/>
      <c r="U120" s="2460"/>
      <c r="V120" s="2461"/>
      <c r="W120" s="521"/>
      <c r="X120" s="521"/>
      <c r="Y120" s="521"/>
      <c r="Z120" s="521"/>
      <c r="AA120" s="521"/>
      <c r="AB120" s="523"/>
      <c r="AC120" s="523"/>
      <c r="AD120" s="523"/>
      <c r="AE120" s="523"/>
      <c r="AF120" s="523"/>
      <c r="AG120" s="523"/>
      <c r="AH120" s="926"/>
      <c r="AI120" s="508"/>
      <c r="IL120" s="519"/>
      <c r="JA120" s="506"/>
    </row>
    <row r="121" spans="1:263" ht="4.5" customHeight="1">
      <c r="B121" s="14"/>
      <c r="O121" s="82"/>
      <c r="P121" s="82"/>
      <c r="Q121" s="82"/>
      <c r="R121" s="96"/>
      <c r="S121" s="96"/>
      <c r="T121" s="96"/>
      <c r="V121" s="166"/>
      <c r="W121" s="926"/>
      <c r="X121" s="926"/>
      <c r="Y121" s="926"/>
      <c r="Z121" s="926"/>
      <c r="AA121" s="926"/>
      <c r="AB121" s="926"/>
      <c r="AC121" s="926"/>
      <c r="AD121" s="926"/>
      <c r="AE121" s="926"/>
      <c r="AF121" s="926"/>
      <c r="AG121" s="926"/>
      <c r="AH121" s="926"/>
      <c r="IL121" s="519"/>
      <c r="JA121" s="506"/>
    </row>
    <row r="122" spans="1:263" ht="13.9" customHeight="1">
      <c r="A122" s="14" t="s">
        <v>781</v>
      </c>
      <c r="B122" s="14" t="s">
        <v>234</v>
      </c>
      <c r="P122" s="8"/>
      <c r="Q122" s="8"/>
      <c r="R122" s="457"/>
      <c r="S122" s="457"/>
      <c r="T122" s="457"/>
      <c r="U122" s="14" t="s">
        <v>1937</v>
      </c>
      <c r="GT122" s="506"/>
      <c r="GY122" s="506"/>
      <c r="IE122" s="515"/>
      <c r="IK122" s="506"/>
      <c r="IL122" s="519"/>
      <c r="JA122" s="506"/>
      <c r="JC122" s="519"/>
    </row>
    <row r="123" spans="1:263" ht="2.25" customHeight="1">
      <c r="P123" s="457"/>
      <c r="Q123" s="457"/>
    </row>
    <row r="124" spans="1:263" ht="12" customHeight="1">
      <c r="B124" s="14" t="s">
        <v>1065</v>
      </c>
      <c r="D124" s="116"/>
      <c r="H124" s="2554">
        <f>'Part VII-Pro Forma'!B9*L49</f>
        <v>4056</v>
      </c>
      <c r="I124" s="2555"/>
      <c r="K124" s="567" t="s">
        <v>2928</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1518</v>
      </c>
      <c r="I126" s="14"/>
      <c r="K126" s="33"/>
      <c r="U126" s="4" t="str">
        <f>B126</f>
        <v>Other Income (OI) by Year:</v>
      </c>
    </row>
    <row r="127" spans="1:263" ht="12.75" customHeight="1">
      <c r="B127" s="414" t="s">
        <v>2394</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1066</v>
      </c>
      <c r="C128" s="1"/>
      <c r="D128" s="1"/>
      <c r="E128" s="1"/>
      <c r="F128" s="1"/>
      <c r="G128" s="2556"/>
      <c r="H128" s="2556"/>
      <c r="I128" s="2556"/>
      <c r="J128" s="2556"/>
      <c r="K128" s="2557"/>
      <c r="L128" s="2556"/>
      <c r="M128" s="2556"/>
      <c r="N128" s="2556"/>
      <c r="O128" s="2556"/>
      <c r="P128" s="2556"/>
      <c r="Q128" s="2558"/>
      <c r="U128" s="2455"/>
      <c r="V128" s="2456"/>
    </row>
    <row r="129" spans="2:22" ht="11.25" customHeight="1">
      <c r="B129" s="1" t="s">
        <v>780</v>
      </c>
      <c r="C129" s="2559"/>
      <c r="D129" s="2560"/>
      <c r="E129" s="2560"/>
      <c r="F129" s="2561"/>
      <c r="G129" s="2562"/>
      <c r="H129" s="2562"/>
      <c r="I129" s="2562"/>
      <c r="J129" s="2562"/>
      <c r="K129" s="2563"/>
      <c r="L129" s="2562"/>
      <c r="M129" s="2562"/>
      <c r="N129" s="2562"/>
      <c r="O129" s="2562"/>
      <c r="P129" s="2562"/>
      <c r="Q129" s="2558"/>
      <c r="U129" s="2457"/>
      <c r="V129" s="2458"/>
    </row>
    <row r="130" spans="2:22" ht="11.25" customHeight="1">
      <c r="B130" s="1"/>
      <c r="C130" s="116" t="s">
        <v>971</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60"/>
      <c r="V130" s="2461"/>
    </row>
    <row r="131" spans="2:22" ht="12" customHeight="1">
      <c r="B131" s="415" t="s">
        <v>673</v>
      </c>
      <c r="G131" s="34"/>
      <c r="P131" s="8"/>
      <c r="Q131" s="8"/>
      <c r="U131" s="100" t="str">
        <f>B131</f>
        <v>NOT Included in Mgt Fee:</v>
      </c>
    </row>
    <row r="132" spans="2:22" ht="11.25" customHeight="1">
      <c r="B132" s="1" t="s">
        <v>556</v>
      </c>
      <c r="C132" s="1"/>
      <c r="D132" s="1"/>
      <c r="E132" s="1"/>
      <c r="F132" s="1"/>
      <c r="G132" s="2556"/>
      <c r="H132" s="2556"/>
      <c r="I132" s="2556"/>
      <c r="J132" s="2556"/>
      <c r="K132" s="2557"/>
      <c r="L132" s="2556"/>
      <c r="M132" s="2556"/>
      <c r="N132" s="2556"/>
      <c r="O132" s="2556"/>
      <c r="P132" s="2556"/>
      <c r="Q132" s="2558"/>
      <c r="U132" s="2455"/>
      <c r="V132" s="2456"/>
    </row>
    <row r="133" spans="2:22" ht="11.25" customHeight="1">
      <c r="B133" s="1" t="s">
        <v>780</v>
      </c>
      <c r="C133" s="2559" t="s">
        <v>4514</v>
      </c>
      <c r="D133" s="2560"/>
      <c r="E133" s="2560"/>
      <c r="F133" s="2561"/>
      <c r="G133" s="2562">
        <v>16800</v>
      </c>
      <c r="H133" s="2562">
        <v>17800</v>
      </c>
      <c r="I133" s="2562">
        <v>18800</v>
      </c>
      <c r="J133" s="2562">
        <v>19800</v>
      </c>
      <c r="K133" s="2563">
        <v>21000</v>
      </c>
      <c r="L133" s="2562">
        <v>22300</v>
      </c>
      <c r="M133" s="2562">
        <v>23800</v>
      </c>
      <c r="N133" s="2562">
        <v>25300</v>
      </c>
      <c r="O133" s="2562">
        <v>27000</v>
      </c>
      <c r="P133" s="2562">
        <v>28500</v>
      </c>
      <c r="Q133" s="2558"/>
      <c r="U133" s="2457"/>
      <c r="V133" s="2458"/>
    </row>
    <row r="134" spans="2:22" ht="11.25" customHeight="1">
      <c r="B134" s="1"/>
      <c r="C134" s="116" t="s">
        <v>198</v>
      </c>
      <c r="D134" s="1"/>
      <c r="E134" s="1"/>
      <c r="F134" s="1"/>
      <c r="G134" s="178">
        <f t="shared" ref="G134:P134" si="274">SUM(G132:G133)</f>
        <v>16800</v>
      </c>
      <c r="H134" s="178">
        <f t="shared" si="274"/>
        <v>17800</v>
      </c>
      <c r="I134" s="178">
        <f t="shared" si="274"/>
        <v>18800</v>
      </c>
      <c r="J134" s="178">
        <f t="shared" si="274"/>
        <v>19800</v>
      </c>
      <c r="K134" s="178">
        <f t="shared" si="274"/>
        <v>21000</v>
      </c>
      <c r="L134" s="178">
        <f t="shared" si="274"/>
        <v>22300</v>
      </c>
      <c r="M134" s="178">
        <f t="shared" si="274"/>
        <v>23800</v>
      </c>
      <c r="N134" s="178">
        <f t="shared" si="274"/>
        <v>25300</v>
      </c>
      <c r="O134" s="178">
        <f t="shared" si="274"/>
        <v>27000</v>
      </c>
      <c r="P134" s="178">
        <f t="shared" si="274"/>
        <v>28500</v>
      </c>
      <c r="Q134" s="128"/>
      <c r="U134" s="2460"/>
      <c r="V134" s="2461"/>
    </row>
    <row r="135" spans="2:22" ht="6" customHeight="1">
      <c r="B135" s="14"/>
      <c r="G135" s="34"/>
      <c r="P135" s="8"/>
      <c r="Q135" s="8"/>
      <c r="U135" s="184" t="s">
        <v>2749</v>
      </c>
    </row>
    <row r="136" spans="2:22" ht="12.75" customHeight="1">
      <c r="B136" s="414" t="s">
        <v>2394</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1066</v>
      </c>
      <c r="C137" s="1"/>
      <c r="D137" s="1"/>
      <c r="E137" s="1"/>
      <c r="F137" s="1"/>
      <c r="G137" s="2556"/>
      <c r="H137" s="2556"/>
      <c r="I137" s="2556"/>
      <c r="J137" s="2556"/>
      <c r="K137" s="2557"/>
      <c r="L137" s="2556"/>
      <c r="M137" s="2556"/>
      <c r="N137" s="2556"/>
      <c r="O137" s="2556"/>
      <c r="P137" s="2556"/>
      <c r="Q137" s="2558"/>
      <c r="U137" s="2455"/>
      <c r="V137" s="2456"/>
    </row>
    <row r="138" spans="2:22" ht="11.25" customHeight="1">
      <c r="B138" s="1" t="s">
        <v>780</v>
      </c>
      <c r="C138" s="2559"/>
      <c r="D138" s="2560"/>
      <c r="E138" s="2560"/>
      <c r="F138" s="2561"/>
      <c r="G138" s="2562"/>
      <c r="H138" s="2562"/>
      <c r="I138" s="2562"/>
      <c r="J138" s="2562"/>
      <c r="K138" s="2563"/>
      <c r="L138" s="2562"/>
      <c r="M138" s="2562"/>
      <c r="N138" s="2562"/>
      <c r="O138" s="2562"/>
      <c r="P138" s="2562"/>
      <c r="Q138" s="2558"/>
      <c r="U138" s="2457"/>
      <c r="V138" s="2458"/>
    </row>
    <row r="139" spans="2:22" ht="11.25" customHeight="1">
      <c r="B139" s="1"/>
      <c r="C139" s="116" t="s">
        <v>971</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60"/>
      <c r="V139" s="2461"/>
    </row>
    <row r="140" spans="2:22" ht="12" customHeight="1">
      <c r="B140" s="415" t="s">
        <v>673</v>
      </c>
      <c r="G140" s="34"/>
      <c r="P140" s="8"/>
      <c r="Q140" s="8"/>
      <c r="U140" s="100" t="str">
        <f>B140</f>
        <v>NOT Included in Mgt Fee:</v>
      </c>
    </row>
    <row r="141" spans="2:22" ht="11.25" customHeight="1">
      <c r="B141" s="1" t="s">
        <v>556</v>
      </c>
      <c r="C141" s="1"/>
      <c r="D141" s="1"/>
      <c r="E141" s="1"/>
      <c r="F141" s="1"/>
      <c r="G141" s="2556"/>
      <c r="H141" s="2556"/>
      <c r="I141" s="2556"/>
      <c r="J141" s="2556"/>
      <c r="K141" s="2557"/>
      <c r="L141" s="2556"/>
      <c r="M141" s="2556"/>
      <c r="N141" s="2556"/>
      <c r="O141" s="2556"/>
      <c r="P141" s="2556"/>
      <c r="Q141" s="2558"/>
      <c r="U141" s="2455"/>
      <c r="V141" s="2456"/>
    </row>
    <row r="142" spans="2:22" ht="11.25" customHeight="1">
      <c r="B142" s="1" t="s">
        <v>780</v>
      </c>
      <c r="C142" s="2559" t="s">
        <v>4514</v>
      </c>
      <c r="D142" s="2560"/>
      <c r="E142" s="2560"/>
      <c r="F142" s="2561"/>
      <c r="G142" s="2562">
        <v>30200</v>
      </c>
      <c r="H142" s="2562">
        <v>32000</v>
      </c>
      <c r="I142" s="2562">
        <v>33800</v>
      </c>
      <c r="J142" s="2562">
        <v>36000</v>
      </c>
      <c r="K142" s="2563">
        <v>38000</v>
      </c>
      <c r="L142" s="2562">
        <v>40600</v>
      </c>
      <c r="M142" s="2562">
        <v>42800</v>
      </c>
      <c r="N142" s="2562">
        <v>45200</v>
      </c>
      <c r="O142" s="2562">
        <v>47800</v>
      </c>
      <c r="P142" s="2562">
        <v>50800</v>
      </c>
      <c r="Q142" s="2558"/>
      <c r="U142" s="2457"/>
      <c r="V142" s="2458"/>
    </row>
    <row r="143" spans="2:22" ht="11.25" customHeight="1">
      <c r="B143" s="1"/>
      <c r="C143" s="116" t="s">
        <v>198</v>
      </c>
      <c r="D143" s="1"/>
      <c r="E143" s="1"/>
      <c r="F143" s="1"/>
      <c r="G143" s="178">
        <f t="shared" ref="G143:P143" si="276">SUM(G141:G142)</f>
        <v>30200</v>
      </c>
      <c r="H143" s="178">
        <f t="shared" si="276"/>
        <v>32000</v>
      </c>
      <c r="I143" s="178">
        <f t="shared" si="276"/>
        <v>33800</v>
      </c>
      <c r="J143" s="178">
        <f t="shared" si="276"/>
        <v>36000</v>
      </c>
      <c r="K143" s="178">
        <f t="shared" si="276"/>
        <v>38000</v>
      </c>
      <c r="L143" s="178">
        <f t="shared" si="276"/>
        <v>40600</v>
      </c>
      <c r="M143" s="178">
        <f t="shared" si="276"/>
        <v>42800</v>
      </c>
      <c r="N143" s="178">
        <f t="shared" si="276"/>
        <v>45200</v>
      </c>
      <c r="O143" s="178">
        <f t="shared" si="276"/>
        <v>47800</v>
      </c>
      <c r="P143" s="178">
        <f t="shared" si="276"/>
        <v>50800</v>
      </c>
      <c r="Q143" s="128"/>
      <c r="U143" s="2460"/>
      <c r="V143" s="2461"/>
    </row>
    <row r="144" spans="2:22" ht="6" customHeight="1">
      <c r="B144" s="14"/>
      <c r="G144" s="34"/>
      <c r="P144" s="8"/>
      <c r="Q144" s="8"/>
      <c r="U144" s="184" t="s">
        <v>2750</v>
      </c>
    </row>
    <row r="145" spans="2:22" ht="12.75" customHeight="1">
      <c r="B145" s="414" t="s">
        <v>2394</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1066</v>
      </c>
      <c r="C146" s="1"/>
      <c r="D146" s="1"/>
      <c r="E146" s="1"/>
      <c r="F146" s="1"/>
      <c r="G146" s="2556"/>
      <c r="H146" s="2556"/>
      <c r="I146" s="2556"/>
      <c r="J146" s="2556"/>
      <c r="K146" s="2557"/>
      <c r="L146" s="2556"/>
      <c r="M146" s="2556"/>
      <c r="N146" s="2556"/>
      <c r="O146" s="2556"/>
      <c r="P146" s="2556"/>
      <c r="Q146" s="2558"/>
      <c r="U146" s="2455"/>
      <c r="V146" s="2456"/>
    </row>
    <row r="147" spans="2:22" ht="11.25" customHeight="1">
      <c r="B147" s="1" t="s">
        <v>780</v>
      </c>
      <c r="C147" s="2559"/>
      <c r="D147" s="2560"/>
      <c r="E147" s="2560"/>
      <c r="F147" s="2561"/>
      <c r="G147" s="2562"/>
      <c r="H147" s="2562"/>
      <c r="I147" s="2562"/>
      <c r="J147" s="2562"/>
      <c r="K147" s="2563"/>
      <c r="L147" s="2562"/>
      <c r="M147" s="2562"/>
      <c r="N147" s="2562"/>
      <c r="O147" s="2562"/>
      <c r="P147" s="2562"/>
      <c r="Q147" s="2558"/>
      <c r="U147" s="2457"/>
      <c r="V147" s="2458"/>
    </row>
    <row r="148" spans="2:22" ht="11.25" customHeight="1">
      <c r="B148" s="1"/>
      <c r="C148" s="116" t="s">
        <v>971</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60"/>
      <c r="V148" s="2461"/>
    </row>
    <row r="149" spans="2:22" ht="12" customHeight="1">
      <c r="B149" s="415" t="s">
        <v>673</v>
      </c>
      <c r="G149" s="34"/>
      <c r="P149" s="8"/>
      <c r="Q149" s="8"/>
      <c r="U149" s="100" t="str">
        <f>B149</f>
        <v>NOT Included in Mgt Fee:</v>
      </c>
    </row>
    <row r="150" spans="2:22" ht="11.25" customHeight="1">
      <c r="B150" s="1" t="s">
        <v>556</v>
      </c>
      <c r="C150" s="1"/>
      <c r="D150" s="1"/>
      <c r="E150" s="1"/>
      <c r="F150" s="1"/>
      <c r="G150" s="2556"/>
      <c r="H150" s="2556"/>
      <c r="I150" s="2556"/>
      <c r="J150" s="2556"/>
      <c r="K150" s="2557"/>
      <c r="L150" s="2556"/>
      <c r="M150" s="2556"/>
      <c r="N150" s="2556"/>
      <c r="O150" s="2556"/>
      <c r="P150" s="2556"/>
      <c r="Q150" s="2558"/>
      <c r="U150" s="2455"/>
      <c r="V150" s="2456"/>
    </row>
    <row r="151" spans="2:22" ht="11.25" customHeight="1">
      <c r="B151" s="1" t="s">
        <v>780</v>
      </c>
      <c r="C151" s="2559" t="s">
        <v>4514</v>
      </c>
      <c r="D151" s="2560"/>
      <c r="E151" s="2560"/>
      <c r="F151" s="2561"/>
      <c r="G151" s="2562">
        <v>53600</v>
      </c>
      <c r="H151" s="2562">
        <v>56600</v>
      </c>
      <c r="I151" s="2562">
        <v>59800</v>
      </c>
      <c r="J151" s="2562">
        <v>63300</v>
      </c>
      <c r="K151" s="2563">
        <v>66800</v>
      </c>
      <c r="L151" s="2562">
        <v>70500</v>
      </c>
      <c r="M151" s="2562">
        <v>74300</v>
      </c>
      <c r="N151" s="2562">
        <v>78300</v>
      </c>
      <c r="O151" s="2562">
        <v>82500</v>
      </c>
      <c r="P151" s="2562">
        <v>86700</v>
      </c>
      <c r="Q151" s="2558"/>
      <c r="U151" s="2457"/>
      <c r="V151" s="2458"/>
    </row>
    <row r="152" spans="2:22" ht="11.25" customHeight="1">
      <c r="B152" s="1"/>
      <c r="C152" s="116" t="s">
        <v>198</v>
      </c>
      <c r="D152" s="1"/>
      <c r="E152" s="1"/>
      <c r="F152" s="1"/>
      <c r="G152" s="178">
        <f t="shared" ref="G152:P152" si="278">SUM(G150:G151)</f>
        <v>53600</v>
      </c>
      <c r="H152" s="178">
        <f t="shared" si="278"/>
        <v>56600</v>
      </c>
      <c r="I152" s="178">
        <f t="shared" si="278"/>
        <v>59800</v>
      </c>
      <c r="J152" s="178">
        <f t="shared" si="278"/>
        <v>63300</v>
      </c>
      <c r="K152" s="178">
        <f t="shared" si="278"/>
        <v>66800</v>
      </c>
      <c r="L152" s="178">
        <f t="shared" si="278"/>
        <v>70500</v>
      </c>
      <c r="M152" s="178">
        <f t="shared" si="278"/>
        <v>74300</v>
      </c>
      <c r="N152" s="178">
        <f t="shared" si="278"/>
        <v>78300</v>
      </c>
      <c r="O152" s="178">
        <f t="shared" si="278"/>
        <v>82500</v>
      </c>
      <c r="P152" s="178">
        <f t="shared" si="278"/>
        <v>86700</v>
      </c>
      <c r="Q152" s="128"/>
      <c r="U152" s="2460"/>
      <c r="V152" s="2461"/>
    </row>
    <row r="153" spans="2:22" ht="6" customHeight="1">
      <c r="B153" s="14"/>
      <c r="G153" s="34"/>
      <c r="P153" s="8"/>
      <c r="Q153" s="8"/>
      <c r="U153" s="184" t="s">
        <v>2750</v>
      </c>
    </row>
    <row r="154" spans="2:22" ht="12.75" customHeight="1">
      <c r="B154" s="414" t="s">
        <v>2394</v>
      </c>
      <c r="G154" s="897">
        <v>31</v>
      </c>
      <c r="H154" s="897">
        <v>32</v>
      </c>
      <c r="I154" s="897">
        <v>33</v>
      </c>
      <c r="J154" s="897">
        <v>34</v>
      </c>
      <c r="K154" s="897">
        <v>35</v>
      </c>
      <c r="P154" s="8"/>
      <c r="Q154" s="8"/>
      <c r="U154" s="100" t="str">
        <f>B154</f>
        <v>Included in Mgt Fee:</v>
      </c>
    </row>
    <row r="155" spans="2:22" ht="11.25" customHeight="1">
      <c r="B155" s="1" t="s">
        <v>1066</v>
      </c>
      <c r="C155" s="1"/>
      <c r="D155" s="1"/>
      <c r="E155" s="1"/>
      <c r="F155" s="1"/>
      <c r="G155" s="2556"/>
      <c r="H155" s="2556"/>
      <c r="I155" s="2556"/>
      <c r="J155" s="2556"/>
      <c r="K155" s="2557"/>
      <c r="P155" s="8"/>
      <c r="Q155" s="8"/>
      <c r="U155" s="2455"/>
      <c r="V155" s="2456"/>
    </row>
    <row r="156" spans="2:22" ht="11.25" customHeight="1">
      <c r="B156" s="1" t="s">
        <v>780</v>
      </c>
      <c r="C156" s="2559"/>
      <c r="D156" s="2560"/>
      <c r="E156" s="2560"/>
      <c r="F156" s="2561"/>
      <c r="G156" s="2562"/>
      <c r="H156" s="2562"/>
      <c r="I156" s="2562"/>
      <c r="J156" s="2562"/>
      <c r="K156" s="2563"/>
      <c r="P156" s="8"/>
      <c r="Q156" s="8"/>
      <c r="U156" s="2457"/>
      <c r="V156" s="2458"/>
    </row>
    <row r="157" spans="2:22" ht="11.25" customHeight="1">
      <c r="B157" s="1"/>
      <c r="C157" s="116" t="s">
        <v>971</v>
      </c>
      <c r="D157" s="1"/>
      <c r="E157" s="1"/>
      <c r="F157" s="1"/>
      <c r="G157" s="178">
        <f>SUM(G155:G156)</f>
        <v>0</v>
      </c>
      <c r="H157" s="178">
        <f>SUM(H155:H156)</f>
        <v>0</v>
      </c>
      <c r="I157" s="178">
        <f>SUM(I155:I156)</f>
        <v>0</v>
      </c>
      <c r="J157" s="178">
        <f>SUM(J155:J156)</f>
        <v>0</v>
      </c>
      <c r="K157" s="178">
        <f>SUM(K155:K156)</f>
        <v>0</v>
      </c>
      <c r="P157" s="8"/>
      <c r="Q157" s="8"/>
      <c r="U157" s="2460"/>
      <c r="V157" s="2461"/>
    </row>
    <row r="158" spans="2:22" ht="12" customHeight="1">
      <c r="B158" s="415" t="s">
        <v>673</v>
      </c>
      <c r="G158" s="34"/>
      <c r="P158" s="8"/>
      <c r="Q158" s="8"/>
      <c r="U158" s="100" t="str">
        <f>B158</f>
        <v>NOT Included in Mgt Fee:</v>
      </c>
    </row>
    <row r="159" spans="2:22" ht="11.25" customHeight="1">
      <c r="B159" s="1" t="s">
        <v>556</v>
      </c>
      <c r="C159" s="1"/>
      <c r="D159" s="1"/>
      <c r="E159" s="1"/>
      <c r="F159" s="1"/>
      <c r="G159" s="2556"/>
      <c r="H159" s="2556"/>
      <c r="I159" s="2556"/>
      <c r="J159" s="2556"/>
      <c r="K159" s="2557"/>
      <c r="P159" s="8"/>
      <c r="Q159" s="8"/>
      <c r="U159" s="2455"/>
      <c r="V159" s="2456"/>
    </row>
    <row r="160" spans="2:22" ht="11.25" customHeight="1">
      <c r="B160" s="1" t="s">
        <v>780</v>
      </c>
      <c r="C160" s="2559" t="s">
        <v>4514</v>
      </c>
      <c r="D160" s="2560"/>
      <c r="E160" s="2560"/>
      <c r="F160" s="2561"/>
      <c r="G160" s="2562">
        <v>91300</v>
      </c>
      <c r="H160" s="2562">
        <v>96200</v>
      </c>
      <c r="I160" s="2562">
        <v>101200</v>
      </c>
      <c r="J160" s="2562">
        <v>106500</v>
      </c>
      <c r="K160" s="2563">
        <v>112000</v>
      </c>
      <c r="P160" s="8"/>
      <c r="Q160" s="8"/>
      <c r="U160" s="2457"/>
      <c r="V160" s="2458"/>
    </row>
    <row r="161" spans="1:296" ht="11.25" customHeight="1">
      <c r="B161" s="1"/>
      <c r="C161" s="116" t="s">
        <v>198</v>
      </c>
      <c r="D161" s="1"/>
      <c r="E161" s="1"/>
      <c r="F161" s="1"/>
      <c r="G161" s="178">
        <f>SUM(G159:G160)</f>
        <v>91300</v>
      </c>
      <c r="H161" s="178">
        <f>SUM(H159:H160)</f>
        <v>96200</v>
      </c>
      <c r="I161" s="178">
        <f>SUM(I159:I160)</f>
        <v>101200</v>
      </c>
      <c r="J161" s="178">
        <f>SUM(J159:J160)</f>
        <v>106500</v>
      </c>
      <c r="K161" s="178">
        <f>SUM(K159:K160)</f>
        <v>112000</v>
      </c>
      <c r="P161" s="8"/>
      <c r="Q161" s="8"/>
      <c r="U161" s="2460"/>
      <c r="V161" s="2461"/>
    </row>
    <row r="162" spans="1:296" ht="2.25" customHeight="1">
      <c r="B162" s="14"/>
      <c r="F162" s="34"/>
      <c r="G162" s="34"/>
      <c r="J162" s="17"/>
      <c r="P162" s="8"/>
      <c r="Q162" s="8"/>
    </row>
    <row r="163" spans="1:296" s="95" customFormat="1" ht="11.25" customHeight="1">
      <c r="A163" s="4" t="s">
        <v>1879</v>
      </c>
      <c r="B163" s="1278" t="s">
        <v>1068</v>
      </c>
      <c r="C163" s="1278"/>
      <c r="D163" s="1278"/>
      <c r="E163" s="1278"/>
      <c r="F163" s="1278"/>
      <c r="G163" s="1278"/>
      <c r="H163" s="1278"/>
      <c r="I163" s="1278"/>
      <c r="J163" s="1278"/>
      <c r="K163" s="1278"/>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508"/>
      <c r="JS163" s="508"/>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8"/>
      <c r="C164" s="1278"/>
      <c r="D164" s="1278"/>
      <c r="E164" s="1278"/>
      <c r="F164" s="1278"/>
      <c r="G164" s="1278"/>
      <c r="H164" s="1278"/>
      <c r="I164" s="1278"/>
      <c r="J164" s="1278"/>
      <c r="K164" s="1"/>
      <c r="L164" s="1"/>
      <c r="M164" s="1"/>
      <c r="N164" s="1"/>
      <c r="O164" s="1"/>
      <c r="P164" s="1"/>
      <c r="Q164" s="1"/>
      <c r="U164" s="1576" t="s">
        <v>1937</v>
      </c>
      <c r="V164" s="1576"/>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508"/>
      <c r="JS164" s="508"/>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1354</v>
      </c>
      <c r="C165" s="1"/>
      <c r="D165" s="1"/>
      <c r="E165" s="1"/>
      <c r="F165" s="28"/>
      <c r="G165" s="28"/>
      <c r="H165" s="1"/>
      <c r="I165" s="10" t="s">
        <v>1442</v>
      </c>
      <c r="J165" s="1"/>
      <c r="K165" s="1"/>
      <c r="L165" s="1"/>
      <c r="M165" s="1"/>
      <c r="N165" s="10" t="s">
        <v>1441</v>
      </c>
      <c r="O165" s="1"/>
      <c r="P165" s="1"/>
      <c r="Q165" s="1"/>
      <c r="U165" s="2455"/>
      <c r="V165" s="2456"/>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508"/>
      <c r="JS165" s="508"/>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2298</v>
      </c>
      <c r="C166" s="1"/>
      <c r="D166" s="1"/>
      <c r="E166" s="1"/>
      <c r="F166" s="2564">
        <v>23160</v>
      </c>
      <c r="G166" s="2565"/>
      <c r="H166" s="1"/>
      <c r="I166" s="1" t="s">
        <v>1443</v>
      </c>
      <c r="J166" s="1"/>
      <c r="K166" s="2564"/>
      <c r="L166" s="2565"/>
      <c r="M166" s="1"/>
      <c r="N166" s="1" t="s">
        <v>972</v>
      </c>
      <c r="O166" s="1"/>
      <c r="P166" s="2566">
        <v>16900</v>
      </c>
      <c r="Q166" s="2558"/>
      <c r="U166" s="2457"/>
      <c r="V166" s="2458"/>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508"/>
      <c r="JS166" s="508"/>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1432</v>
      </c>
      <c r="C167" s="1"/>
      <c r="D167" s="1"/>
      <c r="E167" s="1"/>
      <c r="F167" s="2564">
        <v>15000</v>
      </c>
      <c r="G167" s="2565"/>
      <c r="H167" s="1"/>
      <c r="I167" s="1" t="s">
        <v>1444</v>
      </c>
      <c r="J167" s="1"/>
      <c r="K167" s="2564"/>
      <c r="L167" s="2565"/>
      <c r="M167" s="1"/>
      <c r="N167" s="1" t="s">
        <v>152</v>
      </c>
      <c r="O167" s="1"/>
      <c r="P167" s="2566">
        <v>9460</v>
      </c>
      <c r="Q167" s="2558"/>
      <c r="U167" s="2457"/>
      <c r="V167" s="2458"/>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508"/>
      <c r="JS167" s="508"/>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1298</v>
      </c>
      <c r="C168" s="1"/>
      <c r="D168" s="1"/>
      <c r="E168" s="1"/>
      <c r="F168" s="2564"/>
      <c r="G168" s="2565"/>
      <c r="H168" s="1"/>
      <c r="I168" s="1"/>
      <c r="J168" s="132" t="s">
        <v>197</v>
      </c>
      <c r="K168" s="1564">
        <f>SUM(K166:L167)</f>
        <v>0</v>
      </c>
      <c r="L168" s="1565"/>
      <c r="M168" s="1"/>
      <c r="N168" s="2567" t="s">
        <v>53</v>
      </c>
      <c r="O168" s="2568"/>
      <c r="P168" s="2569"/>
      <c r="Q168" s="2558"/>
      <c r="U168" s="2457"/>
      <c r="V168" s="2458"/>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508"/>
      <c r="JS168" s="508"/>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59" t="s">
        <v>53</v>
      </c>
      <c r="C169" s="2560"/>
      <c r="D169" s="2560"/>
      <c r="E169" s="2561"/>
      <c r="F169" s="2570"/>
      <c r="G169" s="2571"/>
      <c r="H169" s="1"/>
      <c r="I169" s="1"/>
      <c r="J169" s="1"/>
      <c r="K169" s="1"/>
      <c r="L169" s="1"/>
      <c r="M169" s="1"/>
      <c r="N169" s="12" t="s">
        <v>197</v>
      </c>
      <c r="O169" s="1"/>
      <c r="P169" s="453">
        <f>SUM(P166:P168)</f>
        <v>26360</v>
      </c>
      <c r="Q169" s="1351"/>
      <c r="U169" s="2457"/>
      <c r="V169" s="2458"/>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508"/>
      <c r="JS169" s="508"/>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4">
        <f>SUM(F166:G169)</f>
        <v>38160</v>
      </c>
      <c r="G170" s="1565"/>
      <c r="H170" s="1"/>
      <c r="I170" s="1"/>
      <c r="J170" s="13"/>
      <c r="K170" s="1"/>
      <c r="L170" s="1"/>
      <c r="M170" s="1"/>
      <c r="N170" s="1"/>
      <c r="O170" s="1"/>
      <c r="P170" s="1"/>
      <c r="Q170" s="1"/>
      <c r="U170" s="2457"/>
      <c r="V170" s="2458"/>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508"/>
      <c r="JS170" s="508"/>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57"/>
      <c r="V171" s="2458"/>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508"/>
      <c r="JS171" s="508"/>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1355</v>
      </c>
      <c r="C172" s="1"/>
      <c r="D172" s="9"/>
      <c r="E172" s="1"/>
      <c r="F172" s="1"/>
      <c r="G172" s="1"/>
      <c r="H172" s="1"/>
      <c r="I172" s="10" t="s">
        <v>1356</v>
      </c>
      <c r="J172" s="1"/>
      <c r="K172" s="1"/>
      <c r="L172" s="1"/>
      <c r="M172" s="1"/>
      <c r="N172" s="10" t="s">
        <v>1445</v>
      </c>
      <c r="O172" s="1"/>
      <c r="P172" s="452">
        <f>IF(OR('Part VII-Pro Forma'!$B$20 = "Choose Mgt Fee",'Part VII-Pro Forma'!$B$20 = "Choose One!"), 0,- 'Part VII-Pro Forma'!$B$20)</f>
        <v>23184</v>
      </c>
      <c r="Q172" s="1352"/>
      <c r="U172" s="2457"/>
      <c r="V172" s="2458"/>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1437</v>
      </c>
      <c r="C173" s="1"/>
      <c r="D173" s="9"/>
      <c r="E173" s="1"/>
      <c r="F173" s="2564">
        <v>2300</v>
      </c>
      <c r="G173" s="2565"/>
      <c r="H173" s="1"/>
      <c r="I173" s="1" t="s">
        <v>1679</v>
      </c>
      <c r="J173" s="1"/>
      <c r="K173" s="2572">
        <v>1000</v>
      </c>
      <c r="L173" s="2573"/>
      <c r="M173" s="1"/>
      <c r="N173" s="438">
        <f>+P172/(M62*0.93)</f>
        <v>593.54838709677415</v>
      </c>
      <c r="O173" s="70" t="s">
        <v>3020</v>
      </c>
      <c r="P173" s="1"/>
      <c r="Q173" s="1"/>
      <c r="U173" s="2457"/>
      <c r="V173" s="2458"/>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1438</v>
      </c>
      <c r="C174" s="1"/>
      <c r="D174" s="9"/>
      <c r="E174" s="1"/>
      <c r="F174" s="2564">
        <v>2100</v>
      </c>
      <c r="G174" s="2565"/>
      <c r="H174" s="1"/>
      <c r="I174" s="1" t="s">
        <v>2149</v>
      </c>
      <c r="J174" s="1"/>
      <c r="K174" s="2574">
        <v>4000</v>
      </c>
      <c r="L174" s="2575"/>
      <c r="M174" s="1"/>
      <c r="N174" s="438">
        <f>+P172/(M62*0.93)/12</f>
        <v>49.462365591397848</v>
      </c>
      <c r="O174" s="70" t="s">
        <v>3021</v>
      </c>
      <c r="P174" s="1"/>
      <c r="Q174" s="1"/>
      <c r="U174" s="2457"/>
      <c r="V174" s="2458"/>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1439</v>
      </c>
      <c r="C175" s="1"/>
      <c r="D175" s="9"/>
      <c r="E175" s="1"/>
      <c r="F175" s="2564">
        <v>1000</v>
      </c>
      <c r="G175" s="2565"/>
      <c r="H175" s="1"/>
      <c r="I175" s="1" t="s">
        <v>1680</v>
      </c>
      <c r="J175" s="1"/>
      <c r="K175" s="2574">
        <v>1000</v>
      </c>
      <c r="L175" s="2575"/>
      <c r="M175" s="1"/>
      <c r="N175" s="1558" t="s">
        <v>2582</v>
      </c>
      <c r="O175" s="1559"/>
      <c r="P175" s="1559"/>
      <c r="Q175" s="1241"/>
      <c r="U175" s="2457"/>
      <c r="V175" s="2458"/>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2450</v>
      </c>
      <c r="C176" s="1"/>
      <c r="D176" s="9"/>
      <c r="E176" s="1"/>
      <c r="F176" s="2564">
        <v>1000</v>
      </c>
      <c r="G176" s="2565"/>
      <c r="H176" s="1"/>
      <c r="I176" s="2567" t="s">
        <v>53</v>
      </c>
      <c r="J176" s="2568"/>
      <c r="K176" s="2572"/>
      <c r="L176" s="2573"/>
      <c r="M176" s="1"/>
      <c r="N176" s="1559"/>
      <c r="O176" s="1559"/>
      <c r="P176" s="1559"/>
      <c r="Q176" s="1241"/>
      <c r="U176" s="2457"/>
      <c r="V176" s="2458"/>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508"/>
      <c r="JS176" s="508"/>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1677</v>
      </c>
      <c r="C177" s="1"/>
      <c r="D177" s="9"/>
      <c r="E177" s="1"/>
      <c r="F177" s="2564"/>
      <c r="G177" s="2565"/>
      <c r="H177" s="1"/>
      <c r="I177" s="10"/>
      <c r="J177" s="12" t="s">
        <v>197</v>
      </c>
      <c r="K177" s="1562">
        <f>SUM(K173:K176)</f>
        <v>6000</v>
      </c>
      <c r="L177" s="1563"/>
      <c r="M177" s="1"/>
      <c r="U177" s="2460"/>
      <c r="V177" s="2461"/>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508"/>
      <c r="JS177" s="508"/>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59" t="s">
        <v>53</v>
      </c>
      <c r="C178" s="2560"/>
      <c r="D178" s="2560"/>
      <c r="E178" s="2561"/>
      <c r="F178" s="2570"/>
      <c r="G178" s="2571"/>
      <c r="H178" s="1"/>
      <c r="I178" s="1"/>
      <c r="J178" s="13"/>
      <c r="K178" s="1"/>
      <c r="L178" s="1"/>
      <c r="M178" s="1"/>
      <c r="N178" s="10" t="s">
        <v>2288</v>
      </c>
      <c r="O178" s="5"/>
      <c r="P178" s="451">
        <f>F170+F179+F190+K168+K177+K187+P169+P172</f>
        <v>147054</v>
      </c>
      <c r="Q178" s="1351"/>
      <c r="U178" s="2455"/>
      <c r="V178" s="2456"/>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4">
        <f>SUM(F173:G178)</f>
        <v>6400</v>
      </c>
      <c r="G179" s="1565"/>
      <c r="H179" s="1"/>
      <c r="I179" s="1"/>
      <c r="J179" s="13"/>
      <c r="K179" s="1"/>
      <c r="L179" s="1"/>
      <c r="M179" s="1"/>
      <c r="N179" s="438">
        <f>+P178/M62</f>
        <v>3501.2857142857142</v>
      </c>
      <c r="O179" s="70" t="s">
        <v>3022</v>
      </c>
      <c r="U179" s="2457"/>
      <c r="V179" s="2458"/>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508"/>
      <c r="JS179" s="508"/>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57"/>
      <c r="V180" s="2458"/>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508"/>
      <c r="JS180" s="508"/>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1357</v>
      </c>
      <c r="C181" s="1"/>
      <c r="D181" s="9"/>
      <c r="E181" s="1"/>
      <c r="F181" s="1"/>
      <c r="G181" s="1"/>
      <c r="H181" s="1"/>
      <c r="I181" s="10" t="s">
        <v>1440</v>
      </c>
      <c r="J181" s="1212" t="s">
        <v>3019</v>
      </c>
      <c r="K181" s="1"/>
      <c r="L181" s="1"/>
      <c r="M181" s="1"/>
      <c r="N181" s="10" t="s">
        <v>4222</v>
      </c>
      <c r="O181" s="10"/>
      <c r="P181" s="452">
        <f>P182*M62</f>
        <v>14700</v>
      </c>
      <c r="Q181" s="1352"/>
      <c r="U181" s="2457"/>
      <c r="V181" s="2458"/>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508"/>
      <c r="JS181" s="508"/>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1681</v>
      </c>
      <c r="C182" s="1"/>
      <c r="D182" s="9"/>
      <c r="E182" s="1"/>
      <c r="F182" s="2576">
        <v>8000</v>
      </c>
      <c r="G182" s="2577"/>
      <c r="H182" s="1"/>
      <c r="I182" s="1" t="s">
        <v>1433</v>
      </c>
      <c r="J182" s="528">
        <f>K182/12/M62</f>
        <v>10.912698412698413</v>
      </c>
      <c r="K182" s="2574">
        <v>5500</v>
      </c>
      <c r="L182" s="2575"/>
      <c r="M182" s="1"/>
      <c r="N182" s="109" t="s">
        <v>4223</v>
      </c>
      <c r="O182" s="1"/>
      <c r="P182" s="2578">
        <f>N183</f>
        <v>350</v>
      </c>
      <c r="Q182" s="2579"/>
      <c r="U182" s="2457"/>
      <c r="V182" s="2458"/>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508"/>
      <c r="JS182" s="508"/>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1682</v>
      </c>
      <c r="C183" s="1"/>
      <c r="D183" s="9"/>
      <c r="E183" s="1"/>
      <c r="F183" s="2576">
        <v>3500</v>
      </c>
      <c r="G183" s="2577"/>
      <c r="H183" s="1"/>
      <c r="I183" s="1" t="s">
        <v>1434</v>
      </c>
      <c r="J183" s="528">
        <f>K183/12/M62</f>
        <v>0</v>
      </c>
      <c r="K183" s="2574"/>
      <c r="L183" s="2575"/>
      <c r="M183" s="1"/>
      <c r="N183" s="893">
        <f>ROUND(P190/M62,0)</f>
        <v>350</v>
      </c>
      <c r="O183" s="70" t="s">
        <v>3022</v>
      </c>
      <c r="R183" s="892"/>
      <c r="U183" s="2457"/>
      <c r="V183" s="2458"/>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508"/>
      <c r="JS183" s="508"/>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1683</v>
      </c>
      <c r="C184" s="1"/>
      <c r="D184" s="9"/>
      <c r="E184" s="1"/>
      <c r="F184" s="2576">
        <v>12000</v>
      </c>
      <c r="G184" s="2577"/>
      <c r="H184" s="1"/>
      <c r="I184" s="1" t="s">
        <v>2462</v>
      </c>
      <c r="J184" s="528">
        <f>K184/12/M62</f>
        <v>1.2896825396825395</v>
      </c>
      <c r="K184" s="2574">
        <f>300+350</f>
        <v>650</v>
      </c>
      <c r="L184" s="2575"/>
      <c r="M184" s="1"/>
      <c r="N184" s="901" t="s">
        <v>2885</v>
      </c>
      <c r="O184" s="902" t="s">
        <v>4014</v>
      </c>
      <c r="P184" s="903" t="s">
        <v>4015</v>
      </c>
      <c r="Q184" s="1210"/>
      <c r="U184" s="2457"/>
      <c r="V184" s="2458"/>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508"/>
      <c r="JS184" s="508"/>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1050</v>
      </c>
      <c r="C185" s="1"/>
      <c r="D185" s="9"/>
      <c r="E185" s="1"/>
      <c r="F185" s="2564">
        <v>2500</v>
      </c>
      <c r="G185" s="2565"/>
      <c r="H185" s="1"/>
      <c r="I185" s="1" t="s">
        <v>1436</v>
      </c>
      <c r="J185" s="1"/>
      <c r="K185" s="2574">
        <v>6800</v>
      </c>
      <c r="L185" s="2575"/>
      <c r="M185" s="1"/>
      <c r="N185" s="904" t="s">
        <v>41</v>
      </c>
      <c r="O185" s="905"/>
      <c r="P185" s="906"/>
      <c r="Q185" s="905"/>
      <c r="U185" s="2457"/>
      <c r="V185" s="2458"/>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508"/>
      <c r="JS185" s="508"/>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1051</v>
      </c>
      <c r="C186" s="1"/>
      <c r="D186" s="9"/>
      <c r="E186" s="1"/>
      <c r="F186" s="2564">
        <v>6000</v>
      </c>
      <c r="G186" s="2565"/>
      <c r="H186" s="1"/>
      <c r="I186" s="2567" t="s">
        <v>53</v>
      </c>
      <c r="J186" s="2568"/>
      <c r="K186" s="2572"/>
      <c r="L186" s="2573"/>
      <c r="M186" s="1"/>
      <c r="N186" s="575" t="s">
        <v>4006</v>
      </c>
      <c r="O186" s="1284" t="str">
        <f>CONCATENATE(SUM(JC48:JG48)," units x $",'DCA Underwriting Assumptions'!$Q$53," =")</f>
        <v>42 units x $350 =</v>
      </c>
      <c r="P186" s="907">
        <f>SUM(JC48:JG48)*'DCA Underwriting Assumptions'!$Q$53</f>
        <v>14700</v>
      </c>
      <c r="Q186" s="1284"/>
      <c r="U186" s="2457"/>
      <c r="V186" s="2458"/>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508"/>
      <c r="JS186" s="508"/>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1052</v>
      </c>
      <c r="C187" s="1"/>
      <c r="D187" s="9"/>
      <c r="E187" s="1"/>
      <c r="F187" s="2564"/>
      <c r="G187" s="2565"/>
      <c r="H187" s="1"/>
      <c r="I187" s="1"/>
      <c r="J187" s="12" t="s">
        <v>197</v>
      </c>
      <c r="K187" s="1562">
        <f>SUM(K182:K186)</f>
        <v>12950</v>
      </c>
      <c r="L187" s="1563"/>
      <c r="M187" s="1"/>
      <c r="N187" s="575" t="s">
        <v>4005</v>
      </c>
      <c r="O187" s="1284" t="str">
        <f>CONCATENATE(SUM(JH48:JL48)," units x $",'DCA Underwriting Assumptions'!$Q$54," =")</f>
        <v>0 units x $250 =</v>
      </c>
      <c r="P187" s="907">
        <f>SUM(JH48:JL48)*'DCA Underwriting Assumptions'!$Q$54</f>
        <v>0</v>
      </c>
      <c r="Q187" s="1284"/>
      <c r="U187" s="2457"/>
      <c r="V187" s="2458"/>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508"/>
      <c r="JS187" s="508"/>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909</v>
      </c>
      <c r="C188" s="1"/>
      <c r="D188" s="9"/>
      <c r="E188" s="1"/>
      <c r="F188" s="2564">
        <v>2000</v>
      </c>
      <c r="G188" s="2565"/>
      <c r="H188" s="1"/>
      <c r="I188" s="1"/>
      <c r="J188" s="13"/>
      <c r="K188" s="1"/>
      <c r="L188" s="1"/>
      <c r="M188" s="1"/>
      <c r="N188" s="908" t="s">
        <v>4009</v>
      </c>
      <c r="O188" s="1284" t="str">
        <f>CONCATENATE(SUM(JM48:JQ48)," units x $",'DCA Underwriting Assumptions'!$Q$55," =")</f>
        <v>0 units x $420 =</v>
      </c>
      <c r="P188" s="907">
        <f>SUM(JM48:JQ48)*'DCA Underwriting Assumptions'!$Q$55</f>
        <v>0</v>
      </c>
      <c r="Q188" s="1284"/>
      <c r="U188" s="2457"/>
      <c r="V188" s="2458"/>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508"/>
      <c r="JS188" s="508"/>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59" t="s">
        <v>53</v>
      </c>
      <c r="C189" s="2560"/>
      <c r="D189" s="2560"/>
      <c r="E189" s="2561"/>
      <c r="F189" s="2570"/>
      <c r="G189" s="2571"/>
      <c r="H189" s="1"/>
      <c r="I189" s="1"/>
      <c r="J189" s="13"/>
      <c r="K189" s="1"/>
      <c r="L189" s="1"/>
      <c r="M189" s="1"/>
      <c r="N189" s="908" t="s">
        <v>4004</v>
      </c>
      <c r="O189" s="1284" t="str">
        <f>CONCATENATE(M84," units x $",'DCA Underwriting Assumptions'!$Q$55," =")</f>
        <v>0 units x $420 =</v>
      </c>
      <c r="P189" s="907">
        <f>M84*'DCA Underwriting Assumptions'!$Q$55</f>
        <v>0</v>
      </c>
      <c r="Q189" s="1284"/>
      <c r="U189" s="2457"/>
      <c r="V189" s="2458"/>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508"/>
      <c r="JS189" s="508"/>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60">
        <f>SUM(F182:G189)</f>
        <v>34000</v>
      </c>
      <c r="G190" s="1561"/>
      <c r="H190" s="1"/>
      <c r="I190" s="1"/>
      <c r="J190" s="13"/>
      <c r="K190" s="1"/>
      <c r="L190" s="1"/>
      <c r="M190" s="1"/>
      <c r="N190" s="909" t="s">
        <v>2888</v>
      </c>
      <c r="O190" s="910">
        <f>SUM(JC48:JG48)+SUM(JH48:JL48)+SUM(JM48:JQ48)+M84</f>
        <v>42</v>
      </c>
      <c r="P190" s="911">
        <f>SUM(P186:P189)</f>
        <v>14700</v>
      </c>
      <c r="Q190" s="1284"/>
      <c r="U190" s="2460"/>
      <c r="V190" s="2461"/>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508"/>
      <c r="JS190" s="508"/>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508"/>
      <c r="JS191" s="508"/>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2289</v>
      </c>
      <c r="O192" s="1"/>
      <c r="P192" s="451">
        <f>P178+P181</f>
        <v>161754</v>
      </c>
      <c r="Q192" s="1351"/>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508"/>
      <c r="JS192" s="508"/>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508"/>
      <c r="JS193" s="508"/>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1881</v>
      </c>
      <c r="B194" s="14" t="s">
        <v>598</v>
      </c>
      <c r="K194" s="14" t="s">
        <v>553</v>
      </c>
      <c r="L194" s="14" t="s">
        <v>1937</v>
      </c>
    </row>
    <row r="195" spans="1:296" ht="277.5" customHeight="1">
      <c r="A195" s="2580" t="s">
        <v>4555</v>
      </c>
      <c r="B195" s="2581"/>
      <c r="C195" s="2581"/>
      <c r="D195" s="2581"/>
      <c r="E195" s="2581"/>
      <c r="F195" s="2581"/>
      <c r="G195" s="2581"/>
      <c r="H195" s="2581"/>
      <c r="I195" s="2581"/>
      <c r="J195" s="2582"/>
      <c r="K195" s="2287"/>
      <c r="L195" s="2288"/>
      <c r="M195" s="2288"/>
      <c r="N195" s="2288"/>
      <c r="O195" s="2288"/>
      <c r="P195" s="2289"/>
      <c r="Q195" s="2583"/>
      <c r="U195" s="1447" t="s">
        <v>2853</v>
      </c>
      <c r="V195" s="1447"/>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508"/>
      <c r="JS200" s="508"/>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508"/>
      <c r="JS201" s="508"/>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508"/>
      <c r="JS202" s="508"/>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508"/>
      <c r="JS203" s="508"/>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508"/>
      <c r="JS204" s="508"/>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508"/>
      <c r="JS205" s="508"/>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508"/>
      <c r="JS206" s="508"/>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508"/>
      <c r="JS211" s="508"/>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508"/>
      <c r="JS212" s="508"/>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508"/>
      <c r="JS213" s="508"/>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508"/>
      <c r="JS214" s="508"/>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508"/>
      <c r="JS215" s="508"/>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TbIUXD/ZmMWhBbMZOqBOuVEMJe6112m3rhTaSaIvMd2lQo2TUBqNWt8Nj2hKHF4M2Dr5XHbV60hOJP0ZPKUC4g==" saltValue="YWiB0IdogDJyndUxTaWiWQ==" spinCount="100000" sheet="1" objects="1" scenarios="1"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5"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82" t="str">
        <f>CONCATENATE("PART SEVEN - OPERATING PRO FORMA","  -  ",'Part I-Project Information'!$O$4," ",'Part I-Project Information'!$F$24,", ",'Part I-Project Information'!F28,", ",'Part I-Project Information'!J29," County")</f>
        <v>PART SEVEN - OPERATING PRO FORMA  -  2015-026 Arbor Trace Apartments Phase II, Lake Park, Lowndes County</v>
      </c>
      <c r="B1" s="2584"/>
      <c r="C1" s="2584"/>
      <c r="D1" s="2584"/>
      <c r="E1" s="2584"/>
      <c r="F1" s="2584"/>
      <c r="G1" s="2584"/>
      <c r="H1" s="2584"/>
      <c r="I1" s="2584"/>
      <c r="J1" s="2584"/>
      <c r="K1" s="1867"/>
      <c r="L1" s="10"/>
      <c r="M1" s="1580" t="str">
        <f>A1</f>
        <v>PART SEVEN - OPERATING PRO FORMA  -  2015-026 Arbor Trace Apartments Phase II, Lake Park, Lowndes County</v>
      </c>
      <c r="N1" s="1580"/>
      <c r="O1" s="10"/>
    </row>
    <row r="2" spans="1:15" ht="13.5" customHeight="1">
      <c r="A2" s="570"/>
      <c r="B2" s="1724" t="s">
        <v>4383</v>
      </c>
      <c r="C2" s="1725"/>
      <c r="D2" s="1726"/>
      <c r="E2" s="570"/>
      <c r="F2" s="570"/>
      <c r="G2" s="570"/>
      <c r="H2" s="570"/>
      <c r="I2" s="570"/>
      <c r="J2" s="570"/>
      <c r="K2" s="570"/>
      <c r="M2" s="1581" t="s">
        <v>1937</v>
      </c>
      <c r="N2" s="1581"/>
    </row>
    <row r="3" spans="1:15" ht="13.5">
      <c r="A3" s="14" t="s">
        <v>92</v>
      </c>
      <c r="D3" s="14" t="s">
        <v>82</v>
      </c>
      <c r="E3" s="240"/>
      <c r="F3" s="1267" t="s">
        <v>1094</v>
      </c>
      <c r="M3" s="14" t="str">
        <f>A3</f>
        <v>I.  OPERATING ASSUMPTIONS</v>
      </c>
      <c r="N3" s="30"/>
    </row>
    <row r="4" spans="1:15" ht="2.4500000000000002" customHeight="1">
      <c r="A4" s="17"/>
      <c r="B4" s="17"/>
      <c r="C4" s="17"/>
      <c r="H4" s="17"/>
      <c r="I4" s="17"/>
    </row>
    <row r="5" spans="1:15" ht="13.5" customHeight="1">
      <c r="A5" s="17" t="s">
        <v>2290</v>
      </c>
      <c r="B5" s="81">
        <v>0.02</v>
      </c>
      <c r="C5" s="17"/>
      <c r="D5" s="1583" t="s">
        <v>4218</v>
      </c>
      <c r="E5" s="1583"/>
      <c r="F5" s="1583"/>
      <c r="G5" s="2585"/>
      <c r="H5" s="102" t="s">
        <v>2003</v>
      </c>
      <c r="K5" s="107">
        <f>IF(($B$14+$B$15+$B$16+$B$17)=0,"",B28/($B$14+$B$15+$B$16+$B$17))</f>
        <v>0</v>
      </c>
      <c r="M5" s="2455"/>
      <c r="N5" s="2456"/>
    </row>
    <row r="6" spans="1:15">
      <c r="A6" s="17" t="s">
        <v>2291</v>
      </c>
      <c r="B6" s="81">
        <v>0.03</v>
      </c>
      <c r="C6" s="17"/>
      <c r="D6" s="1583"/>
      <c r="E6" s="1583"/>
      <c r="F6" s="1583"/>
      <c r="G6" s="17"/>
      <c r="H6" s="17"/>
      <c r="I6" s="17"/>
      <c r="J6" s="17"/>
      <c r="K6" s="17"/>
      <c r="M6" s="2457"/>
      <c r="N6" s="2458"/>
    </row>
    <row r="7" spans="1:15">
      <c r="A7" s="17" t="s">
        <v>2293</v>
      </c>
      <c r="B7" s="81">
        <v>0.03</v>
      </c>
      <c r="C7" s="17"/>
      <c r="D7" s="83" t="s">
        <v>282</v>
      </c>
      <c r="G7" s="85"/>
      <c r="H7" s="102" t="s">
        <v>2487</v>
      </c>
      <c r="K7" s="107">
        <f>IF(($B$14+$B$15+$B$16+$B$17)=0,"",-B20/($B$14+$B$15+$B$16+$B$17))</f>
        <v>0.12051394331353463</v>
      </c>
      <c r="M7" s="2457"/>
      <c r="N7" s="2458"/>
    </row>
    <row r="8" spans="1:15" ht="13.15" customHeight="1">
      <c r="A8" s="17" t="s">
        <v>2292</v>
      </c>
      <c r="B8" s="2586">
        <v>7.0000000000000007E-2</v>
      </c>
      <c r="C8" s="17"/>
      <c r="D8" s="82" t="s">
        <v>2631</v>
      </c>
      <c r="G8" s="2587" t="s">
        <v>3421</v>
      </c>
      <c r="H8" s="181" t="s">
        <v>1517</v>
      </c>
      <c r="K8" s="2588">
        <v>23184</v>
      </c>
      <c r="M8" s="2457"/>
      <c r="N8" s="2458"/>
    </row>
    <row r="9" spans="1:15">
      <c r="A9" s="17" t="s">
        <v>1488</v>
      </c>
      <c r="B9" s="81">
        <v>0.02</v>
      </c>
      <c r="D9" s="82" t="s">
        <v>1804</v>
      </c>
      <c r="G9" s="2587"/>
      <c r="H9" s="181" t="s">
        <v>2467</v>
      </c>
      <c r="K9" s="2589"/>
      <c r="M9" s="2460"/>
      <c r="N9" s="2461"/>
    </row>
    <row r="10" spans="1:15" ht="13.5" customHeight="1"/>
    <row r="11" spans="1:15">
      <c r="A11" s="14" t="s">
        <v>93</v>
      </c>
      <c r="M11" s="14" t="str">
        <f>A11</f>
        <v>II.  OPERATING PRO FORMA</v>
      </c>
    </row>
    <row r="12" spans="1:15" ht="2.4500000000000002" customHeight="1"/>
    <row r="13" spans="1:15" ht="14.45" customHeight="1">
      <c r="A13" s="14" t="s">
        <v>2602</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49" t="s">
        <v>2751</v>
      </c>
      <c r="N13" s="1449"/>
    </row>
    <row r="14" spans="1:15" ht="13.15" customHeight="1">
      <c r="A14" s="19" t="s">
        <v>2521</v>
      </c>
      <c r="B14" s="20">
        <f>'Part VI-Revenues &amp; Expenses'!L49</f>
        <v>202800</v>
      </c>
      <c r="C14" s="20">
        <f t="shared" ref="C14:K14" si="1">$B$14*(1+$B$5)^(C13-1)</f>
        <v>206856</v>
      </c>
      <c r="D14" s="20">
        <f t="shared" si="1"/>
        <v>210993.12</v>
      </c>
      <c r="E14" s="20">
        <f t="shared" si="1"/>
        <v>215212.98239999998</v>
      </c>
      <c r="F14" s="20">
        <f t="shared" si="1"/>
        <v>219517.24204799999</v>
      </c>
      <c r="G14" s="20">
        <f t="shared" si="1"/>
        <v>223907.58688896001</v>
      </c>
      <c r="H14" s="20">
        <f t="shared" si="1"/>
        <v>228385.73862673921</v>
      </c>
      <c r="I14" s="20">
        <f t="shared" si="1"/>
        <v>232953.45339927395</v>
      </c>
      <c r="J14" s="20">
        <f t="shared" si="1"/>
        <v>237612.52246725943</v>
      </c>
      <c r="K14" s="21">
        <f t="shared" si="1"/>
        <v>242364.77291660465</v>
      </c>
      <c r="M14" s="2455"/>
      <c r="N14" s="2456"/>
    </row>
    <row r="15" spans="1:15" ht="13.15" customHeight="1">
      <c r="A15" s="22" t="s">
        <v>1065</v>
      </c>
      <c r="B15" s="23">
        <f>MIN(B14*B9,'Part VI-Revenues &amp; Expenses'!H124)</f>
        <v>4056</v>
      </c>
      <c r="C15" s="23">
        <f t="shared" ref="C15:K15" si="2">$B$15*(1+$B$5)^(C13-1)</f>
        <v>4137.12</v>
      </c>
      <c r="D15" s="23">
        <f t="shared" si="2"/>
        <v>4219.8624</v>
      </c>
      <c r="E15" s="23">
        <f t="shared" si="2"/>
        <v>4304.2596479999993</v>
      </c>
      <c r="F15" s="23">
        <f t="shared" si="2"/>
        <v>4390.3448409599996</v>
      </c>
      <c r="G15" s="23">
        <f t="shared" si="2"/>
        <v>4478.1517377791997</v>
      </c>
      <c r="H15" s="23">
        <f t="shared" si="2"/>
        <v>4567.7147725347841</v>
      </c>
      <c r="I15" s="23">
        <f t="shared" si="2"/>
        <v>4659.0690679854788</v>
      </c>
      <c r="J15" s="23">
        <f t="shared" si="2"/>
        <v>4752.2504493451888</v>
      </c>
      <c r="K15" s="24">
        <f t="shared" si="2"/>
        <v>4847.2954583320925</v>
      </c>
      <c r="M15" s="2457"/>
      <c r="N15" s="2458"/>
    </row>
    <row r="16" spans="1:15" ht="13.15" customHeight="1">
      <c r="A16" s="22" t="s">
        <v>2522</v>
      </c>
      <c r="B16" s="23">
        <f t="shared" ref="B16:K16" si="3">-(B14+B15)*$B$8</f>
        <v>-14479.920000000002</v>
      </c>
      <c r="C16" s="23">
        <f t="shared" si="3"/>
        <v>-14769.518400000001</v>
      </c>
      <c r="D16" s="23">
        <f t="shared" si="3"/>
        <v>-15064.908768000001</v>
      </c>
      <c r="E16" s="23">
        <f t="shared" si="3"/>
        <v>-15366.206943360001</v>
      </c>
      <c r="F16" s="23">
        <f t="shared" si="3"/>
        <v>-15673.5310822272</v>
      </c>
      <c r="G16" s="23">
        <f t="shared" si="3"/>
        <v>-15987.001703871747</v>
      </c>
      <c r="H16" s="23">
        <f t="shared" si="3"/>
        <v>-16306.741737949182</v>
      </c>
      <c r="I16" s="23">
        <f t="shared" si="3"/>
        <v>-16632.876572708163</v>
      </c>
      <c r="J16" s="23">
        <f t="shared" si="3"/>
        <v>-16965.534104162325</v>
      </c>
      <c r="K16" s="24">
        <f t="shared" si="3"/>
        <v>-17304.844786245572</v>
      </c>
      <c r="M16" s="2457"/>
      <c r="N16" s="2458"/>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57"/>
      <c r="N17" s="2458"/>
    </row>
    <row r="18" spans="1:14" ht="13.15" customHeight="1">
      <c r="A18" s="22" t="s">
        <v>55</v>
      </c>
      <c r="B18" s="23">
        <f>'Part VI-Revenues &amp; Expenses'!G134</f>
        <v>16800</v>
      </c>
      <c r="C18" s="23">
        <f>'Part VI-Revenues &amp; Expenses'!H134</f>
        <v>17800</v>
      </c>
      <c r="D18" s="23">
        <f>'Part VI-Revenues &amp; Expenses'!I134</f>
        <v>18800</v>
      </c>
      <c r="E18" s="23">
        <f>'Part VI-Revenues &amp; Expenses'!J134</f>
        <v>19800</v>
      </c>
      <c r="F18" s="23">
        <f>'Part VI-Revenues &amp; Expenses'!K134</f>
        <v>21000</v>
      </c>
      <c r="G18" s="23">
        <f>'Part VI-Revenues &amp; Expenses'!L134</f>
        <v>22300</v>
      </c>
      <c r="H18" s="23">
        <f>'Part VI-Revenues &amp; Expenses'!M134</f>
        <v>23800</v>
      </c>
      <c r="I18" s="23">
        <f>'Part VI-Revenues &amp; Expenses'!N134</f>
        <v>25300</v>
      </c>
      <c r="J18" s="23">
        <f>'Part VI-Revenues &amp; Expenses'!O134</f>
        <v>27000</v>
      </c>
      <c r="K18" s="24">
        <f>'Part VI-Revenues &amp; Expenses'!P134</f>
        <v>28500</v>
      </c>
      <c r="M18" s="2457"/>
      <c r="N18" s="2458"/>
    </row>
    <row r="19" spans="1:14" ht="13.15" customHeight="1">
      <c r="A19" s="22" t="s">
        <v>644</v>
      </c>
      <c r="B19" s="23">
        <f>-('Part VI-Revenues &amp; Expenses'!P178-'Part VI-Revenues &amp; Expenses'!P172)</f>
        <v>-123870</v>
      </c>
      <c r="C19" s="23">
        <f t="shared" ref="C19:K19" si="4">$B$19*(1+$B$6)^(C13-1)</f>
        <v>-127586.1</v>
      </c>
      <c r="D19" s="23">
        <f t="shared" si="4"/>
        <v>-131413.68299999999</v>
      </c>
      <c r="E19" s="23">
        <f t="shared" si="4"/>
        <v>-135356.09349</v>
      </c>
      <c r="F19" s="23">
        <f t="shared" si="4"/>
        <v>-139416.77629469999</v>
      </c>
      <c r="G19" s="23">
        <f t="shared" si="4"/>
        <v>-143599.27958354098</v>
      </c>
      <c r="H19" s="23">
        <f t="shared" si="4"/>
        <v>-147907.25797104722</v>
      </c>
      <c r="I19" s="23">
        <f t="shared" si="4"/>
        <v>-152344.47571017864</v>
      </c>
      <c r="J19" s="23">
        <f t="shared" si="4"/>
        <v>-156914.809981484</v>
      </c>
      <c r="K19" s="24">
        <f t="shared" si="4"/>
        <v>-161622.25428092852</v>
      </c>
      <c r="M19" s="2457"/>
      <c r="N19" s="2458"/>
    </row>
    <row r="20" spans="1:14" ht="13.15" customHeight="1">
      <c r="A20" s="22" t="s">
        <v>1165</v>
      </c>
      <c r="B20" s="23">
        <f>IF(AND('Part VII-Pro Forma'!$G$8="Yes",'Part VII-Pro Forma'!$G$9="Yes"),"Choose One!",IF('Part VII-Pro Forma'!$G$8="Yes",ROUND((-$K$8*(1+'Part VII-Pro Forma'!$B$6)^('Part VII-Pro Forma'!B13-1)),),IF('Part VII-Pro Forma'!$G$9="Yes",ROUND((-(SUM(B14:B17)*'Part VII-Pro Forma'!$K$9)),),"Choose mgt fee")))</f>
        <v>-23184</v>
      </c>
      <c r="C20" s="23">
        <f>IF(AND('Part VII-Pro Forma'!$G$8="Yes",'Part VII-Pro Forma'!$G$9="Yes"),"Choose One!",IF('Part VII-Pro Forma'!$G$8="Yes",ROUND((-$K$8*(1+'Part VII-Pro Forma'!$B$6)^('Part VII-Pro Forma'!C13-1)),),IF('Part VII-Pro Forma'!$G$9="Yes",ROUND((-(SUM(C14:C17)*'Part VII-Pro Forma'!$K$9)),),"Choose mgt fee")))</f>
        <v>-23880</v>
      </c>
      <c r="D20" s="23">
        <f>IF(AND('Part VII-Pro Forma'!$G$8="Yes",'Part VII-Pro Forma'!$G$9="Yes"),"Choose One!",IF('Part VII-Pro Forma'!$G$8="Yes",ROUND((-$K$8*(1+'Part VII-Pro Forma'!$B$6)^('Part VII-Pro Forma'!D13-1)),),IF('Part VII-Pro Forma'!$G$9="Yes",ROUND((-(SUM(D14:D17)*'Part VII-Pro Forma'!$K$9)),),"Choose mgt fee")))</f>
        <v>-24596</v>
      </c>
      <c r="E20" s="23">
        <f>IF(AND('Part VII-Pro Forma'!$G$8="Yes",'Part VII-Pro Forma'!$G$9="Yes"),"Choose One!",IF('Part VII-Pro Forma'!$G$8="Yes",ROUND((-$K$8*(1+'Part VII-Pro Forma'!$B$6)^('Part VII-Pro Forma'!E13-1)),),IF('Part VII-Pro Forma'!$G$9="Yes",ROUND((-(SUM(E14:E17)*'Part VII-Pro Forma'!$K$9)),),"Choose mgt fee")))</f>
        <v>-25334</v>
      </c>
      <c r="F20" s="23">
        <f>IF(AND('Part VII-Pro Forma'!$G$8="Yes",'Part VII-Pro Forma'!$G$9="Yes"),"Choose One!",IF('Part VII-Pro Forma'!$G$8="Yes",ROUND((-$K$8*(1+'Part VII-Pro Forma'!$B$6)^('Part VII-Pro Forma'!F13-1)),),IF('Part VII-Pro Forma'!$G$9="Yes",ROUND((-(SUM(F14:F17)*'Part VII-Pro Forma'!$K$9)),),"Choose mgt fee")))</f>
        <v>-26094</v>
      </c>
      <c r="G20" s="23">
        <f>IF(AND('Part VII-Pro Forma'!$G$8="Yes",'Part VII-Pro Forma'!$G$9="Yes"),"Choose One!",IF('Part VII-Pro Forma'!$G$8="Yes",ROUND((-$K$8*(1+'Part VII-Pro Forma'!$B$6)^('Part VII-Pro Forma'!G13-1)),),IF('Part VII-Pro Forma'!$G$9="Yes",ROUND((-(SUM(G14:G17)*'Part VII-Pro Forma'!$K$9)),),"Choose mgt fee")))</f>
        <v>-26877</v>
      </c>
      <c r="H20" s="23">
        <f>IF(AND('Part VII-Pro Forma'!$G$8="Yes",'Part VII-Pro Forma'!$G$9="Yes"),"Choose One!",IF('Part VII-Pro Forma'!$G$8="Yes",ROUND((-$K$8*(1+'Part VII-Pro Forma'!$B$6)^('Part VII-Pro Forma'!H13-1)),),IF('Part VII-Pro Forma'!$G$9="Yes",ROUND((-(SUM(H14:H17)*'Part VII-Pro Forma'!$K$9)),),"Choose mgt fee")))</f>
        <v>-27683</v>
      </c>
      <c r="I20" s="23">
        <f>IF(AND('Part VII-Pro Forma'!$G$8="Yes",'Part VII-Pro Forma'!$G$9="Yes"),"Choose One!",IF('Part VII-Pro Forma'!$G$8="Yes",ROUND((-$K$8*(1+'Part VII-Pro Forma'!$B$6)^('Part VII-Pro Forma'!I13-1)),),IF('Part VII-Pro Forma'!$G$9="Yes",ROUND((-(SUM(I14:I17)*'Part VII-Pro Forma'!$K$9)),),"Choose mgt fee")))</f>
        <v>-28513</v>
      </c>
      <c r="J20" s="23">
        <f>IF(AND('Part VII-Pro Forma'!$G$8="Yes",'Part VII-Pro Forma'!$G$9="Yes"),"Choose One!",IF('Part VII-Pro Forma'!$G$8="Yes",ROUND((-$K$8*(1+'Part VII-Pro Forma'!$B$6)^('Part VII-Pro Forma'!J13-1)),),IF('Part VII-Pro Forma'!$G$9="Yes",ROUND((-(SUM(J14:J17)*'Part VII-Pro Forma'!$K$9)),),"Choose mgt fee")))</f>
        <v>-29369</v>
      </c>
      <c r="K20" s="23">
        <f>IF(AND('Part VII-Pro Forma'!$G$8="Yes",'Part VII-Pro Forma'!$G$9="Yes"),"Choose One!",IF('Part VII-Pro Forma'!$G$8="Yes",ROUND((-$K$8*(1+'Part VII-Pro Forma'!$B$6)^('Part VII-Pro Forma'!K13-1)),),IF('Part VII-Pro Forma'!$G$9="Yes",ROUND((-(SUM(K14:K17)*'Part VII-Pro Forma'!$K$9)),),"Choose mgt fee")))</f>
        <v>-30250</v>
      </c>
      <c r="M20" s="2457"/>
      <c r="N20" s="2458"/>
    </row>
    <row r="21" spans="1:14" ht="13.15" customHeight="1">
      <c r="A21" s="22" t="s">
        <v>1259</v>
      </c>
      <c r="B21" s="23">
        <f>-('Part VI-Revenues &amp; Expenses'!P181)</f>
        <v>-14700</v>
      </c>
      <c r="C21" s="23">
        <f t="shared" ref="C21:K21" si="5">$B$21*(1+$B$7)^(C13-1)</f>
        <v>-15141</v>
      </c>
      <c r="D21" s="23">
        <f t="shared" si="5"/>
        <v>-15595.23</v>
      </c>
      <c r="E21" s="23">
        <f t="shared" si="5"/>
        <v>-16063.0869</v>
      </c>
      <c r="F21" s="23">
        <f t="shared" si="5"/>
        <v>-16544.979507</v>
      </c>
      <c r="G21" s="23">
        <f t="shared" si="5"/>
        <v>-17041.328892209996</v>
      </c>
      <c r="H21" s="23">
        <f t="shared" si="5"/>
        <v>-17552.5687589763</v>
      </c>
      <c r="I21" s="23">
        <f t="shared" si="5"/>
        <v>-18079.145821745587</v>
      </c>
      <c r="J21" s="23">
        <f t="shared" si="5"/>
        <v>-18621.520196397953</v>
      </c>
      <c r="K21" s="24">
        <f t="shared" si="5"/>
        <v>-19180.165802289892</v>
      </c>
      <c r="M21" s="2457"/>
      <c r="N21" s="2458"/>
    </row>
    <row r="22" spans="1:14" ht="13.15" customHeight="1">
      <c r="A22" s="22" t="s">
        <v>1260</v>
      </c>
      <c r="B22" s="23">
        <f t="shared" ref="B22:K22" si="6">SUM(B14:B21)</f>
        <v>47422.079999999987</v>
      </c>
      <c r="C22" s="23">
        <f t="shared" si="6"/>
        <v>47416.501599999989</v>
      </c>
      <c r="D22" s="23">
        <f t="shared" si="6"/>
        <v>47343.160632000028</v>
      </c>
      <c r="E22" s="23">
        <f t="shared" si="6"/>
        <v>47197.854714639972</v>
      </c>
      <c r="F22" s="23">
        <f t="shared" si="6"/>
        <v>47178.300005032812</v>
      </c>
      <c r="G22" s="23">
        <f t="shared" si="6"/>
        <v>47181.128447116505</v>
      </c>
      <c r="H22" s="23">
        <f t="shared" si="6"/>
        <v>47303.88493130132</v>
      </c>
      <c r="I22" s="23">
        <f t="shared" si="6"/>
        <v>47343.024362627046</v>
      </c>
      <c r="J22" s="23">
        <f t="shared" si="6"/>
        <v>47493.908634560343</v>
      </c>
      <c r="K22" s="24">
        <f t="shared" si="6"/>
        <v>47354.803505472737</v>
      </c>
      <c r="M22" s="2457"/>
      <c r="N22" s="2458"/>
    </row>
    <row r="23" spans="1:14" ht="13.15" customHeight="1">
      <c r="A23" s="471" t="s">
        <v>1667</v>
      </c>
      <c r="B23" s="2590">
        <f>IF('Part III-Sources of Funds'!$N$36="", 0,-'Part III-Sources of Funds'!$N$36)</f>
        <v>-37855</v>
      </c>
      <c r="C23" s="2590">
        <f>IF('Part III-Sources of Funds'!$N$36="", 0,-'Part III-Sources of Funds'!$N$36)</f>
        <v>-37855</v>
      </c>
      <c r="D23" s="2590">
        <f>IF('Part III-Sources of Funds'!$N$36="", 0,-'Part III-Sources of Funds'!$N$36)</f>
        <v>-37855</v>
      </c>
      <c r="E23" s="2590">
        <f>IF('Part III-Sources of Funds'!$N$36="", 0,-'Part III-Sources of Funds'!$N$36)</f>
        <v>-37855</v>
      </c>
      <c r="F23" s="2590">
        <f>IF('Part III-Sources of Funds'!$N$36="", 0,-'Part III-Sources of Funds'!$N$36)</f>
        <v>-37855</v>
      </c>
      <c r="G23" s="2590">
        <f>IF('Part III-Sources of Funds'!$N$36="", 0,-'Part III-Sources of Funds'!$N$36)</f>
        <v>-37855</v>
      </c>
      <c r="H23" s="2590">
        <f>IF('Part III-Sources of Funds'!$N$36="", 0,-'Part III-Sources of Funds'!$N$36)</f>
        <v>-37855</v>
      </c>
      <c r="I23" s="2590">
        <f>IF('Part III-Sources of Funds'!$N$36="", 0,-'Part III-Sources of Funds'!$N$36)</f>
        <v>-37855</v>
      </c>
      <c r="J23" s="2590">
        <f>IF('Part III-Sources of Funds'!$N$36="", 0,-'Part III-Sources of Funds'!$N$36)</f>
        <v>-37855</v>
      </c>
      <c r="K23" s="2590">
        <f>IF('Part III-Sources of Funds'!$N$36="", 0,-'Part III-Sources of Funds'!$N$36)</f>
        <v>-37855</v>
      </c>
      <c r="M23" s="2457"/>
      <c r="N23" s="2458"/>
    </row>
    <row r="24" spans="1:14" ht="13.15" customHeight="1">
      <c r="A24" s="471" t="s">
        <v>1668</v>
      </c>
      <c r="B24" s="2591">
        <f>IF('Part III-Sources of Funds'!$N$37="", 0,-'Part III-Sources of Funds'!$N$37)</f>
        <v>0</v>
      </c>
      <c r="C24" s="2591">
        <f>IF('Part III-Sources of Funds'!$N$37="", 0,-'Part III-Sources of Funds'!$N$37)</f>
        <v>0</v>
      </c>
      <c r="D24" s="2591">
        <f>IF('Part III-Sources of Funds'!$N$37="", 0,-'Part III-Sources of Funds'!$N$37)</f>
        <v>0</v>
      </c>
      <c r="E24" s="2591">
        <f>IF('Part III-Sources of Funds'!$N$37="", 0,-'Part III-Sources of Funds'!$N$37)</f>
        <v>0</v>
      </c>
      <c r="F24" s="2591">
        <f>IF('Part III-Sources of Funds'!$N$37="", 0,-'Part III-Sources of Funds'!$N$37)</f>
        <v>0</v>
      </c>
      <c r="G24" s="2591">
        <f>IF('Part III-Sources of Funds'!$N$37="", 0,-'Part III-Sources of Funds'!$N$37)</f>
        <v>0</v>
      </c>
      <c r="H24" s="2591">
        <f>IF('Part III-Sources of Funds'!$N$37="", 0,-'Part III-Sources of Funds'!$N$37)</f>
        <v>0</v>
      </c>
      <c r="I24" s="2591">
        <f>IF('Part III-Sources of Funds'!$N$37="", 0,-'Part III-Sources of Funds'!$N$37)</f>
        <v>0</v>
      </c>
      <c r="J24" s="2591">
        <f>IF('Part III-Sources of Funds'!$N$37="", 0,-'Part III-Sources of Funds'!$N$37)</f>
        <v>0</v>
      </c>
      <c r="K24" s="2591">
        <f>IF('Part III-Sources of Funds'!$N$37="", 0,-'Part III-Sources of Funds'!$N$37)</f>
        <v>0</v>
      </c>
      <c r="M24" s="2457"/>
      <c r="N24" s="2458"/>
    </row>
    <row r="25" spans="1:14" ht="13.15" customHeight="1">
      <c r="A25" s="471" t="s">
        <v>1669</v>
      </c>
      <c r="B25" s="2591">
        <f>IF('Part III-Sources of Funds'!$N$38="", 0,-'Part III-Sources of Funds'!$N$38)</f>
        <v>0</v>
      </c>
      <c r="C25" s="2591">
        <f>IF('Part III-Sources of Funds'!$N$38="", 0,-'Part III-Sources of Funds'!$N$38)</f>
        <v>0</v>
      </c>
      <c r="D25" s="2591">
        <f>IF('Part III-Sources of Funds'!$N$38="", 0,-'Part III-Sources of Funds'!$N$38)</f>
        <v>0</v>
      </c>
      <c r="E25" s="2591">
        <f>IF('Part III-Sources of Funds'!$N$38="", 0,-'Part III-Sources of Funds'!$N$38)</f>
        <v>0</v>
      </c>
      <c r="F25" s="2591">
        <f>IF('Part III-Sources of Funds'!$N$38="", 0,-'Part III-Sources of Funds'!$N$38)</f>
        <v>0</v>
      </c>
      <c r="G25" s="2591">
        <f>IF('Part III-Sources of Funds'!$N$38="", 0,-'Part III-Sources of Funds'!$N$38)</f>
        <v>0</v>
      </c>
      <c r="H25" s="2591">
        <f>IF('Part III-Sources of Funds'!$N$38="", 0,-'Part III-Sources of Funds'!$N$38)</f>
        <v>0</v>
      </c>
      <c r="I25" s="2591">
        <f>IF('Part III-Sources of Funds'!$N$38="", 0,-'Part III-Sources of Funds'!$N$38)</f>
        <v>0</v>
      </c>
      <c r="J25" s="2591">
        <f>IF('Part III-Sources of Funds'!$N$38="", 0,-'Part III-Sources of Funds'!$N$38)</f>
        <v>0</v>
      </c>
      <c r="K25" s="2591">
        <f>IF('Part III-Sources of Funds'!$N$38="", 0,-'Part III-Sources of Funds'!$N$38)</f>
        <v>0</v>
      </c>
      <c r="M25" s="2457"/>
      <c r="N25" s="2458"/>
    </row>
    <row r="26" spans="1:14" ht="13.15" customHeight="1">
      <c r="A26" s="22" t="s">
        <v>823</v>
      </c>
      <c r="B26" s="2591">
        <f>IF('Part III-Sources of Funds'!$N$39="", 0,-'Part III-Sources of Funds'!$N$39)</f>
        <v>0</v>
      </c>
      <c r="C26" s="2591">
        <f>IF('Part III-Sources of Funds'!$N$39="", 0,-'Part III-Sources of Funds'!$N$39)</f>
        <v>0</v>
      </c>
      <c r="D26" s="2591">
        <f>IF('Part III-Sources of Funds'!$N$39="", 0,-'Part III-Sources of Funds'!$N$39)</f>
        <v>0</v>
      </c>
      <c r="E26" s="2591">
        <f>IF('Part III-Sources of Funds'!$N$39="", 0,-'Part III-Sources of Funds'!$N$39)</f>
        <v>0</v>
      </c>
      <c r="F26" s="2591">
        <f>IF('Part III-Sources of Funds'!$N$39="", 0,-'Part III-Sources of Funds'!$N$39)</f>
        <v>0</v>
      </c>
      <c r="G26" s="2591">
        <f>IF('Part III-Sources of Funds'!$N$39="", 0,-'Part III-Sources of Funds'!$N$39)</f>
        <v>0</v>
      </c>
      <c r="H26" s="2591">
        <f>IF('Part III-Sources of Funds'!$N$39="", 0,-'Part III-Sources of Funds'!$N$39)</f>
        <v>0</v>
      </c>
      <c r="I26" s="2591">
        <f>IF('Part III-Sources of Funds'!$N$39="", 0,-'Part III-Sources of Funds'!$N$39)</f>
        <v>0</v>
      </c>
      <c r="J26" s="2591">
        <f>IF('Part III-Sources of Funds'!$N$39="", 0,-'Part III-Sources of Funds'!$N$39)</f>
        <v>0</v>
      </c>
      <c r="K26" s="2591">
        <f>IF('Part III-Sources of Funds'!$N$39="", 0,-'Part III-Sources of Funds'!$N$39)</f>
        <v>0</v>
      </c>
      <c r="M26" s="2457"/>
      <c r="N26" s="2458"/>
    </row>
    <row r="27" spans="1:14" ht="13.15" customHeight="1">
      <c r="A27" s="22" t="s">
        <v>803</v>
      </c>
      <c r="B27" s="2592"/>
      <c r="C27" s="2592"/>
      <c r="D27" s="2592"/>
      <c r="E27" s="2592"/>
      <c r="F27" s="2592"/>
      <c r="G27" s="2592"/>
      <c r="H27" s="2592"/>
      <c r="I27" s="2592"/>
      <c r="J27" s="2592"/>
      <c r="K27" s="2592"/>
      <c r="M27" s="2457"/>
      <c r="N27" s="2458"/>
    </row>
    <row r="28" spans="1:14" ht="13.15" customHeight="1">
      <c r="A28" s="22" t="s">
        <v>1218</v>
      </c>
      <c r="B28" s="2591">
        <f>-$G$5</f>
        <v>0</v>
      </c>
      <c r="C28" s="2591">
        <f t="shared" ref="C28:K28" si="7">+B28</f>
        <v>0</v>
      </c>
      <c r="D28" s="2591">
        <f t="shared" si="7"/>
        <v>0</v>
      </c>
      <c r="E28" s="2591">
        <f t="shared" si="7"/>
        <v>0</v>
      </c>
      <c r="F28" s="2591">
        <f t="shared" si="7"/>
        <v>0</v>
      </c>
      <c r="G28" s="2591">
        <f t="shared" si="7"/>
        <v>0</v>
      </c>
      <c r="H28" s="2591">
        <f t="shared" si="7"/>
        <v>0</v>
      </c>
      <c r="I28" s="2591">
        <f t="shared" si="7"/>
        <v>0</v>
      </c>
      <c r="J28" s="2591">
        <f t="shared" si="7"/>
        <v>0</v>
      </c>
      <c r="K28" s="2591">
        <f t="shared" si="7"/>
        <v>0</v>
      </c>
      <c r="M28" s="2457"/>
      <c r="N28" s="2458"/>
    </row>
    <row r="29" spans="1:14" ht="13.15" customHeight="1">
      <c r="A29" s="22" t="s">
        <v>1261</v>
      </c>
      <c r="B29" s="2593">
        <f>IF('Part III-Sources of Funds'!$N$41="", 0,-'Part III-Sources of Funds'!$N$41)</f>
        <v>0</v>
      </c>
      <c r="C29" s="2593">
        <f>IF('Part III-Sources of Funds'!$N$41="", 0,-'Part III-Sources of Funds'!$N$41)</f>
        <v>0</v>
      </c>
      <c r="D29" s="2593">
        <f>IF('Part III-Sources of Funds'!$N$41="", 0,-'Part III-Sources of Funds'!$N$41)</f>
        <v>0</v>
      </c>
      <c r="E29" s="2593">
        <f>IF('Part III-Sources of Funds'!$N$41="", 0,-'Part III-Sources of Funds'!$N$41)</f>
        <v>0</v>
      </c>
      <c r="F29" s="2593">
        <f>IF('Part III-Sources of Funds'!$N$41="", 0,-'Part III-Sources of Funds'!$N$41)</f>
        <v>0</v>
      </c>
      <c r="G29" s="2593">
        <f>IF('Part III-Sources of Funds'!$N$41="", 0,-'Part III-Sources of Funds'!$N$41)</f>
        <v>0</v>
      </c>
      <c r="H29" s="2593">
        <f>IF('Part III-Sources of Funds'!$N$41="", 0,-'Part III-Sources of Funds'!$N$41)</f>
        <v>0</v>
      </c>
      <c r="I29" s="2593">
        <f>IF('Part III-Sources of Funds'!$N$41="", 0,-'Part III-Sources of Funds'!$N$41)</f>
        <v>0</v>
      </c>
      <c r="J29" s="2593">
        <f>IF('Part III-Sources of Funds'!$N$41="", 0,-'Part III-Sources of Funds'!$N$41)</f>
        <v>0</v>
      </c>
      <c r="K29" s="2593">
        <f>IF('Part III-Sources of Funds'!$N$41="", 0,-'Part III-Sources of Funds'!$N$41)</f>
        <v>0</v>
      </c>
      <c r="M29" s="2457"/>
      <c r="N29" s="2458"/>
    </row>
    <row r="30" spans="1:14" ht="13.15" customHeight="1">
      <c r="A30" s="22" t="s">
        <v>1219</v>
      </c>
      <c r="B30" s="23">
        <f t="shared" ref="B30:K30" si="8">SUM(B22:B29)</f>
        <v>9567.0799999999872</v>
      </c>
      <c r="C30" s="23">
        <f t="shared" si="8"/>
        <v>9561.5015999999887</v>
      </c>
      <c r="D30" s="23">
        <f t="shared" si="8"/>
        <v>9488.1606320000283</v>
      </c>
      <c r="E30" s="23">
        <f t="shared" si="8"/>
        <v>9342.8547146399724</v>
      </c>
      <c r="F30" s="23">
        <f t="shared" si="8"/>
        <v>9323.3000050328119</v>
      </c>
      <c r="G30" s="23">
        <f t="shared" si="8"/>
        <v>9326.1284471165054</v>
      </c>
      <c r="H30" s="23">
        <f t="shared" si="8"/>
        <v>9448.8849313013197</v>
      </c>
      <c r="I30" s="23">
        <f t="shared" si="8"/>
        <v>9488.0243626270458</v>
      </c>
      <c r="J30" s="23">
        <f t="shared" si="8"/>
        <v>9638.9086345603428</v>
      </c>
      <c r="K30" s="24">
        <f t="shared" si="8"/>
        <v>9499.803505472737</v>
      </c>
      <c r="M30" s="2457"/>
      <c r="N30" s="2458"/>
    </row>
    <row r="31" spans="1:14" ht="13.15" customHeight="1">
      <c r="A31" s="22" t="str">
        <f>IF('Part III-Sources of Funds'!$E$36 = "Neither", "", "DCR Mortgage A")</f>
        <v>DCR Mortgage A</v>
      </c>
      <c r="B31" s="25">
        <f>IF(B23=0,"",-B22/B23)</f>
        <v>1.2527296262052565</v>
      </c>
      <c r="C31" s="25">
        <f t="shared" ref="C31:K31" si="9">IF(C23=0,"",-C22/C23)</f>
        <v>1.2525822639017299</v>
      </c>
      <c r="D31" s="25">
        <f t="shared" si="9"/>
        <v>1.2506448456478676</v>
      </c>
      <c r="E31" s="25">
        <f t="shared" si="9"/>
        <v>1.2468063588598592</v>
      </c>
      <c r="F31" s="25">
        <f t="shared" si="9"/>
        <v>1.2462897901210623</v>
      </c>
      <c r="G31" s="25">
        <f t="shared" si="9"/>
        <v>1.2463645079148462</v>
      </c>
      <c r="H31" s="25">
        <f t="shared" si="9"/>
        <v>1.2496073155805394</v>
      </c>
      <c r="I31" s="25">
        <f t="shared" si="9"/>
        <v>1.2506412458757641</v>
      </c>
      <c r="J31" s="25">
        <f t="shared" si="9"/>
        <v>1.254627093767279</v>
      </c>
      <c r="K31" s="26">
        <f t="shared" si="9"/>
        <v>1.2509524106583738</v>
      </c>
      <c r="M31" s="2457"/>
      <c r="N31" s="2458"/>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57"/>
      <c r="N32" s="2458"/>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57"/>
      <c r="N33" s="2458"/>
    </row>
    <row r="34" spans="1:14" ht="13.15" customHeight="1">
      <c r="A34" s="22" t="s">
        <v>824</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57"/>
      <c r="N34" s="2458"/>
    </row>
    <row r="35" spans="1:14" ht="13.15" customHeight="1">
      <c r="A35" s="22" t="s">
        <v>810</v>
      </c>
      <c r="B35" s="296">
        <f>IF(OR(B20="Choose mgt fee",B20="Choose One!"),"",(B14+B15+B16+B17+B18) / -(B19+B20+B21))</f>
        <v>1.2931740791572386</v>
      </c>
      <c r="C35" s="296">
        <f t="shared" ref="C35:K35" si="13">IF(OR(C20="Choose mgt fee",C20="Choose One!"),"",(C14+C15+C16+C17+C18) / -(C19+C20+C21))</f>
        <v>1.2846007258994363</v>
      </c>
      <c r="D35" s="296">
        <f t="shared" si="13"/>
        <v>1.2758846457502064</v>
      </c>
      <c r="E35" s="296">
        <f t="shared" si="13"/>
        <v>1.2670269050350296</v>
      </c>
      <c r="F35" s="296">
        <f t="shared" si="13"/>
        <v>1.259142040290232</v>
      </c>
      <c r="G35" s="296">
        <f t="shared" si="13"/>
        <v>1.2516090559741635</v>
      </c>
      <c r="H35" s="296">
        <f t="shared" si="13"/>
        <v>1.2449166025587015</v>
      </c>
      <c r="I35" s="296">
        <f t="shared" si="13"/>
        <v>1.2379804381820654</v>
      </c>
      <c r="J35" s="296">
        <f t="shared" si="13"/>
        <v>1.231784642172705</v>
      </c>
      <c r="K35" s="297">
        <f t="shared" si="13"/>
        <v>1.2243746055449192</v>
      </c>
      <c r="M35" s="2457"/>
      <c r="N35" s="2458"/>
    </row>
    <row r="36" spans="1:14" ht="13.15" customHeight="1">
      <c r="A36" s="471" t="s">
        <v>2744</v>
      </c>
      <c r="B36" s="2594">
        <f>IF('Part III-Sources of Funds'!$I$36="","",-FV('Part III-Sources of Funds'!$K$36/12,12,B23/12,'Part III-Sources of Funds'!$I$36))</f>
        <v>1304746.3163842135</v>
      </c>
      <c r="C36" s="2594">
        <f>IF('Part III-Sources of Funds'!$I$36="","",-FV('Part III-Sources of Funds'!$K$36/12,12,C23/12,B36))</f>
        <v>1279824.7619078802</v>
      </c>
      <c r="D36" s="2594">
        <f>IF('Part III-Sources of Funds'!$I$36="","",-FV('Part III-Sources of Funds'!$K$36/12,12,D23/12,C36))</f>
        <v>1254652.84647003</v>
      </c>
      <c r="E36" s="2594">
        <f>IF('Part III-Sources of Funds'!$I$36="","",-FV('Part III-Sources of Funds'!$K$36/12,12,E23/12,D36))</f>
        <v>1229228.0549542357</v>
      </c>
      <c r="F36" s="2594">
        <f>IF('Part III-Sources of Funds'!$I$36="","",-FV('Part III-Sources of Funds'!$K$36/12,12,F23/12,E36))</f>
        <v>1203547.8469773091</v>
      </c>
      <c r="G36" s="2594">
        <f>IF('Part III-Sources of Funds'!$I$36="","",-FV('Part III-Sources of Funds'!$K$36/12,12,G23/12,F36))</f>
        <v>1177609.6566354716</v>
      </c>
      <c r="H36" s="2594">
        <f>IF('Part III-Sources of Funds'!$I$36="","",-FV('Part III-Sources of Funds'!$K$36/12,12,H23/12,G36))</f>
        <v>1151410.8922479758</v>
      </c>
      <c r="I36" s="2594">
        <f>IF('Part III-Sources of Funds'!$I$36="","",-FV('Part III-Sources of Funds'!$K$36/12,12,I23/12,H36))</f>
        <v>1124948.9360981507</v>
      </c>
      <c r="J36" s="2594">
        <f>IF('Part III-Sources of Funds'!$I$36="","",-FV('Part III-Sources of Funds'!$K$36/12,12,J23/12,I36))</f>
        <v>1098221.1441718461</v>
      </c>
      <c r="K36" s="2594">
        <f>IF('Part III-Sources of Funds'!$I$36="","",-FV('Part III-Sources of Funds'!$K$36/12,12,K23/12,J36))</f>
        <v>1071224.8458932491</v>
      </c>
      <c r="M36" s="2457"/>
      <c r="N36" s="2458"/>
    </row>
    <row r="37" spans="1:14" ht="13.15" customHeight="1">
      <c r="A37" s="471" t="s">
        <v>2745</v>
      </c>
      <c r="B37" s="2591" t="str">
        <f>IF('Part III-Sources of Funds'!$I$37="","",-FV('Part III-Sources of Funds'!$K$37/12,12,B24/12,'Part III-Sources of Funds'!$I$37))</f>
        <v/>
      </c>
      <c r="C37" s="2591" t="str">
        <f>IF('Part III-Sources of Funds'!$I$37="","",-FV('Part III-Sources of Funds'!$K$37/12,12,C24/12,B37))</f>
        <v/>
      </c>
      <c r="D37" s="2591" t="str">
        <f>IF('Part III-Sources of Funds'!$I$37="","",-FV('Part III-Sources of Funds'!$K$37/12,12,D24/12,C37))</f>
        <v/>
      </c>
      <c r="E37" s="2591" t="str">
        <f>IF('Part III-Sources of Funds'!$I$37="","",-FV('Part III-Sources of Funds'!$K$37/12,12,E24/12,D37))</f>
        <v/>
      </c>
      <c r="F37" s="2591" t="str">
        <f>IF('Part III-Sources of Funds'!$I$37="","",-FV('Part III-Sources of Funds'!$K$37/12,12,F24/12,E37))</f>
        <v/>
      </c>
      <c r="G37" s="2591" t="str">
        <f>IF('Part III-Sources of Funds'!$I$37="","",-FV('Part III-Sources of Funds'!$K$37/12,12,G24/12,F37))</f>
        <v/>
      </c>
      <c r="H37" s="2591" t="str">
        <f>IF('Part III-Sources of Funds'!$I$37="","",-FV('Part III-Sources of Funds'!$K$37/12,12,H24/12,G37))</f>
        <v/>
      </c>
      <c r="I37" s="2591" t="str">
        <f>IF('Part III-Sources of Funds'!$I$37="","",-FV('Part III-Sources of Funds'!$K$37/12,12,I24/12,H37))</f>
        <v/>
      </c>
      <c r="J37" s="2591" t="str">
        <f>IF('Part III-Sources of Funds'!$I$37="","",-FV('Part III-Sources of Funds'!$K$37/12,12,J24/12,I37))</f>
        <v/>
      </c>
      <c r="K37" s="2591" t="str">
        <f>IF('Part III-Sources of Funds'!$I$37="","",-FV('Part III-Sources of Funds'!$K$37/12,12,K24/12,J37))</f>
        <v/>
      </c>
      <c r="M37" s="2457"/>
      <c r="N37" s="2458"/>
    </row>
    <row r="38" spans="1:14" ht="13.15" customHeight="1">
      <c r="A38" s="471" t="s">
        <v>2746</v>
      </c>
      <c r="B38" s="2591" t="str">
        <f>IF('Part III-Sources of Funds'!$I$38="","",-FV('Part III-Sources of Funds'!$K$38/12,12,B25/12,'Part III-Sources of Funds'!$I$38))</f>
        <v/>
      </c>
      <c r="C38" s="2591" t="str">
        <f>IF('Part III-Sources of Funds'!$I$38="","",-FV('Part III-Sources of Funds'!$K$38/12,12,C25/12,B38))</f>
        <v/>
      </c>
      <c r="D38" s="2591" t="str">
        <f>IF('Part III-Sources of Funds'!$I$38="","",-FV('Part III-Sources of Funds'!$K$38/12,12,D25/12,C38))</f>
        <v/>
      </c>
      <c r="E38" s="2591" t="str">
        <f>IF('Part III-Sources of Funds'!$I$38="","",-FV('Part III-Sources of Funds'!$K$38/12,12,E25/12,D38))</f>
        <v/>
      </c>
      <c r="F38" s="2591" t="str">
        <f>IF('Part III-Sources of Funds'!$I$38="","",-FV('Part III-Sources of Funds'!$K$38/12,12,F25/12,E38))</f>
        <v/>
      </c>
      <c r="G38" s="2591" t="str">
        <f>IF('Part III-Sources of Funds'!$I$38="","",-FV('Part III-Sources of Funds'!$K$38/12,12,G25/12,F38))</f>
        <v/>
      </c>
      <c r="H38" s="2591" t="str">
        <f>IF('Part III-Sources of Funds'!$I$38="","",-FV('Part III-Sources of Funds'!$K$38/12,12,H25/12,G38))</f>
        <v/>
      </c>
      <c r="I38" s="2591" t="str">
        <f>IF('Part III-Sources of Funds'!$I$38="","",-FV('Part III-Sources of Funds'!$K$38/12,12,I25/12,H38))</f>
        <v/>
      </c>
      <c r="J38" s="2591" t="str">
        <f>IF('Part III-Sources of Funds'!$I$38="","",-FV('Part III-Sources of Funds'!$K$38/12,12,J25/12,I38))</f>
        <v/>
      </c>
      <c r="K38" s="2591" t="str">
        <f>IF('Part III-Sources of Funds'!$I$38="","",-FV('Part III-Sources of Funds'!$K$38/12,12,K25/12,J38))</f>
        <v/>
      </c>
      <c r="M38" s="2457"/>
      <c r="N38" s="2458"/>
    </row>
    <row r="39" spans="1:14" ht="13.15" customHeight="1">
      <c r="A39" s="22" t="s">
        <v>825</v>
      </c>
      <c r="B39" s="2591" t="str">
        <f>IF('Part III-Sources of Funds'!$I$39="","",-FV('Part III-Sources of Funds'!$K$39/12,12,B24/12,'Part III-Sources of Funds'!$I$39))</f>
        <v/>
      </c>
      <c r="C39" s="2591" t="str">
        <f>IF('Part III-Sources of Funds'!$I$39="","",-FV('Part III-Sources of Funds'!$K$39/12,12,C26/12,B39))</f>
        <v/>
      </c>
      <c r="D39" s="2591" t="str">
        <f>IF('Part III-Sources of Funds'!$I$39="","",-FV('Part III-Sources of Funds'!$K$39/12,12,D26/12,C39))</f>
        <v/>
      </c>
      <c r="E39" s="2591" t="str">
        <f>IF('Part III-Sources of Funds'!$I$39="","",-FV('Part III-Sources of Funds'!$K$39/12,12,E26/12,D39))</f>
        <v/>
      </c>
      <c r="F39" s="2591" t="str">
        <f>IF('Part III-Sources of Funds'!$I$39="","",-FV('Part III-Sources of Funds'!$K$39/12,12,F26/12,E39))</f>
        <v/>
      </c>
      <c r="G39" s="2591" t="str">
        <f>IF('Part III-Sources of Funds'!$I$39="","",-FV('Part III-Sources of Funds'!$K$39/12,12,G26/12,F39))</f>
        <v/>
      </c>
      <c r="H39" s="2591" t="str">
        <f>IF('Part III-Sources of Funds'!$I$39="","",-FV('Part III-Sources of Funds'!$K$39/12,12,H26/12,G39))</f>
        <v/>
      </c>
      <c r="I39" s="2591" t="str">
        <f>IF('Part III-Sources of Funds'!$I$39="","",-FV('Part III-Sources of Funds'!$K$39/12,12,I26/12,H39))</f>
        <v/>
      </c>
      <c r="J39" s="2591" t="str">
        <f>IF('Part III-Sources of Funds'!$I$39="","",-FV('Part III-Sources of Funds'!$K$39/12,12,J26/12,I39))</f>
        <v/>
      </c>
      <c r="K39" s="2591" t="str">
        <f>IF('Part III-Sources of Funds'!$I$39="","",-FV('Part III-Sources of Funds'!$K$39/12,12,K26/12,J39))</f>
        <v/>
      </c>
      <c r="M39" s="2457"/>
      <c r="N39" s="2458"/>
    </row>
    <row r="40" spans="1:14" ht="13.15" customHeight="1">
      <c r="A40" s="27" t="s">
        <v>1296</v>
      </c>
      <c r="B40" s="2593" t="str">
        <f>IF('Part III-Sources of Funds'!$I$41="","",-FV('Part III-Sources of Funds'!$K$41/12,12,B29/12,'Part III-Sources of Funds'!$I$41))</f>
        <v/>
      </c>
      <c r="C40" s="2593" t="str">
        <f>IF('Part III-Sources of Funds'!$I$41="","",-FV('Part III-Sources of Funds'!$K$41/12,12,C29/12,B40))</f>
        <v/>
      </c>
      <c r="D40" s="2593" t="str">
        <f>IF('Part III-Sources of Funds'!$I$41="","",-FV('Part III-Sources of Funds'!$K$41/12,12,D29/12,C40))</f>
        <v/>
      </c>
      <c r="E40" s="2593" t="str">
        <f>IF('Part III-Sources of Funds'!$I$41="","",-FV('Part III-Sources of Funds'!$K$41/12,12,E29/12,D40))</f>
        <v/>
      </c>
      <c r="F40" s="2593" t="str">
        <f>IF('Part III-Sources of Funds'!$I$41="","",-FV('Part III-Sources of Funds'!$K$41/12,12,F29/12,E40))</f>
        <v/>
      </c>
      <c r="G40" s="2593" t="str">
        <f>IF('Part III-Sources of Funds'!$I$41="","",-FV('Part III-Sources of Funds'!$K$41/12,12,G29/12,F40))</f>
        <v/>
      </c>
      <c r="H40" s="2593" t="str">
        <f>IF('Part III-Sources of Funds'!$I$41="","",-FV('Part III-Sources of Funds'!$K$41/12,12,H29/12,G40))</f>
        <v/>
      </c>
      <c r="I40" s="2593" t="str">
        <f>IF('Part III-Sources of Funds'!$I$41="","",-FV('Part III-Sources of Funds'!$K$41/12,12,I29/12,H40))</f>
        <v/>
      </c>
      <c r="J40" s="2593" t="str">
        <f>IF('Part III-Sources of Funds'!$I$41="","",-FV('Part III-Sources of Funds'!$K$41/12,12,J29/12,I40))</f>
        <v/>
      </c>
      <c r="K40" s="2593" t="str">
        <f>IF('Part III-Sources of Funds'!$I$41="","",-FV('Part III-Sources of Funds'!$K$41/12,12,K29/12,J40))</f>
        <v/>
      </c>
      <c r="M40" s="2460"/>
      <c r="N40" s="2461"/>
    </row>
    <row r="41" spans="1:14" ht="4.1500000000000004" customHeight="1">
      <c r="B41" s="18"/>
      <c r="C41" s="18"/>
      <c r="D41" s="18"/>
      <c r="E41" s="18"/>
      <c r="F41" s="18"/>
      <c r="G41" s="18"/>
      <c r="H41" s="18"/>
      <c r="I41" s="18"/>
      <c r="J41" s="18"/>
      <c r="K41" s="18"/>
    </row>
    <row r="42" spans="1:14" ht="14.45" customHeight="1">
      <c r="A42" s="14" t="s">
        <v>2602</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49" t="s">
        <v>2749</v>
      </c>
      <c r="N42" s="1449"/>
    </row>
    <row r="43" spans="1:14" ht="13.15" customHeight="1">
      <c r="A43" s="19" t="s">
        <v>2521</v>
      </c>
      <c r="B43" s="20">
        <f t="shared" ref="B43:K43" si="15">$B$14*(1+$B$5)^(B42-1)</f>
        <v>247212.06837493673</v>
      </c>
      <c r="C43" s="20">
        <f t="shared" si="15"/>
        <v>252156.30974243543</v>
      </c>
      <c r="D43" s="20">
        <f t="shared" si="15"/>
        <v>257199.43593728417</v>
      </c>
      <c r="E43" s="20">
        <f t="shared" si="15"/>
        <v>262343.42465602985</v>
      </c>
      <c r="F43" s="20">
        <f t="shared" si="15"/>
        <v>267590.2931491505</v>
      </c>
      <c r="G43" s="20">
        <f t="shared" si="15"/>
        <v>272942.09901213343</v>
      </c>
      <c r="H43" s="20">
        <f t="shared" si="15"/>
        <v>278400.94099237613</v>
      </c>
      <c r="I43" s="20">
        <f t="shared" si="15"/>
        <v>283968.95981222368</v>
      </c>
      <c r="J43" s="20">
        <f t="shared" si="15"/>
        <v>289648.33900846809</v>
      </c>
      <c r="K43" s="21">
        <f t="shared" si="15"/>
        <v>295441.30578863749</v>
      </c>
      <c r="M43" s="2455"/>
      <c r="N43" s="2456"/>
    </row>
    <row r="44" spans="1:14" ht="13.15" customHeight="1">
      <c r="A44" s="22" t="s">
        <v>1065</v>
      </c>
      <c r="B44" s="23">
        <f t="shared" ref="B44:K44" si="16">$B$15*(1+$B$5)^(B42-1)</f>
        <v>4944.2413674987347</v>
      </c>
      <c r="C44" s="23">
        <f t="shared" si="16"/>
        <v>5043.126194848709</v>
      </c>
      <c r="D44" s="23">
        <f t="shared" si="16"/>
        <v>5143.9887187456834</v>
      </c>
      <c r="E44" s="23">
        <f t="shared" si="16"/>
        <v>5246.8684931205971</v>
      </c>
      <c r="F44" s="23">
        <f t="shared" si="16"/>
        <v>5351.8058629830093</v>
      </c>
      <c r="G44" s="23">
        <f t="shared" si="16"/>
        <v>5458.8419802426679</v>
      </c>
      <c r="H44" s="23">
        <f t="shared" si="16"/>
        <v>5568.0188198475225</v>
      </c>
      <c r="I44" s="23">
        <f t="shared" si="16"/>
        <v>5679.379196244473</v>
      </c>
      <c r="J44" s="23">
        <f t="shared" si="16"/>
        <v>5792.9667801693622</v>
      </c>
      <c r="K44" s="24">
        <f t="shared" si="16"/>
        <v>5908.8261157727493</v>
      </c>
      <c r="M44" s="2457"/>
      <c r="N44" s="2458"/>
    </row>
    <row r="45" spans="1:14" ht="13.15" customHeight="1">
      <c r="A45" s="22" t="s">
        <v>2522</v>
      </c>
      <c r="B45" s="23">
        <f t="shared" ref="B45:K45" si="17">-(B43+B44)*$B$8</f>
        <v>-17650.941681970486</v>
      </c>
      <c r="C45" s="23">
        <f t="shared" si="17"/>
        <v>-18003.960515609891</v>
      </c>
      <c r="D45" s="23">
        <f t="shared" si="17"/>
        <v>-18364.039725922092</v>
      </c>
      <c r="E45" s="23">
        <f t="shared" si="17"/>
        <v>-18731.320520440531</v>
      </c>
      <c r="F45" s="23">
        <f t="shared" si="17"/>
        <v>-19105.946930849346</v>
      </c>
      <c r="G45" s="23">
        <f t="shared" si="17"/>
        <v>-19488.065869466333</v>
      </c>
      <c r="H45" s="23">
        <f t="shared" si="17"/>
        <v>-19877.827186855659</v>
      </c>
      <c r="I45" s="23">
        <f t="shared" si="17"/>
        <v>-20275.383730592774</v>
      </c>
      <c r="J45" s="23">
        <f t="shared" si="17"/>
        <v>-20680.891405204624</v>
      </c>
      <c r="K45" s="24">
        <f t="shared" si="17"/>
        <v>-21094.50923330872</v>
      </c>
      <c r="M45" s="2457"/>
      <c r="N45" s="2458"/>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57"/>
      <c r="N46" s="2458"/>
    </row>
    <row r="47" spans="1:14" ht="13.15" customHeight="1">
      <c r="A47" s="22" t="s">
        <v>55</v>
      </c>
      <c r="B47" s="23">
        <f>'Part VI-Revenues &amp; Expenses'!G143</f>
        <v>30200</v>
      </c>
      <c r="C47" s="23">
        <f>'Part VI-Revenues &amp; Expenses'!H143</f>
        <v>32000</v>
      </c>
      <c r="D47" s="23">
        <f>'Part VI-Revenues &amp; Expenses'!I143</f>
        <v>33800</v>
      </c>
      <c r="E47" s="23">
        <f>'Part VI-Revenues &amp; Expenses'!J143</f>
        <v>36000</v>
      </c>
      <c r="F47" s="23">
        <f>'Part VI-Revenues &amp; Expenses'!K143</f>
        <v>38000</v>
      </c>
      <c r="G47" s="23">
        <f>'Part VI-Revenues &amp; Expenses'!L143</f>
        <v>40600</v>
      </c>
      <c r="H47" s="23">
        <f>'Part VI-Revenues &amp; Expenses'!M143</f>
        <v>42800</v>
      </c>
      <c r="I47" s="23">
        <f>'Part VI-Revenues &amp; Expenses'!N143</f>
        <v>45200</v>
      </c>
      <c r="J47" s="23">
        <f>'Part VI-Revenues &amp; Expenses'!O143</f>
        <v>47800</v>
      </c>
      <c r="K47" s="24">
        <f>'Part VI-Revenues &amp; Expenses'!P143</f>
        <v>50800</v>
      </c>
      <c r="M47" s="2457"/>
      <c r="N47" s="2458"/>
    </row>
    <row r="48" spans="1:14" ht="13.15" customHeight="1">
      <c r="A48" s="22" t="s">
        <v>644</v>
      </c>
      <c r="B48" s="23">
        <f t="shared" ref="B48:K48" si="18">$B$19*(1+$B$6)^(B42-1)</f>
        <v>-166470.92190935637</v>
      </c>
      <c r="C48" s="23">
        <f t="shared" si="18"/>
        <v>-171465.04956663706</v>
      </c>
      <c r="D48" s="23">
        <f t="shared" si="18"/>
        <v>-176609.00105363614</v>
      </c>
      <c r="E48" s="23">
        <f t="shared" si="18"/>
        <v>-181907.27108524521</v>
      </c>
      <c r="F48" s="23">
        <f t="shared" si="18"/>
        <v>-187364.48921780259</v>
      </c>
      <c r="G48" s="23">
        <f t="shared" si="18"/>
        <v>-192985.42389433668</v>
      </c>
      <c r="H48" s="23">
        <f t="shared" si="18"/>
        <v>-198774.98661116677</v>
      </c>
      <c r="I48" s="23">
        <f t="shared" si="18"/>
        <v>-204738.23620950175</v>
      </c>
      <c r="J48" s="23">
        <f t="shared" si="18"/>
        <v>-210880.3832957868</v>
      </c>
      <c r="K48" s="24">
        <f t="shared" si="18"/>
        <v>-217206.79479466041</v>
      </c>
      <c r="M48" s="2457"/>
      <c r="N48" s="2458"/>
    </row>
    <row r="49" spans="1:14" ht="13.15" customHeight="1">
      <c r="A49" s="22" t="s">
        <v>1165</v>
      </c>
      <c r="B49" s="23">
        <f>IF(AND('Part VII-Pro Forma'!$G$8="Yes",'Part VII-Pro Forma'!$G$9="Yes"),"Choose One!",IF('Part VII-Pro Forma'!$G$8="Yes",ROUND((-$K$8*(1+'Part VII-Pro Forma'!$B$6)^('Part VII-Pro Forma'!B42-1)),),IF('Part VII-Pro Forma'!$G$9="Yes",ROUND((-(SUM(B43:B46)*'Part VII-Pro Forma'!$K$9)),),"Choose mgt fee")))</f>
        <v>-31157</v>
      </c>
      <c r="C49" s="23">
        <f>IF(AND('Part VII-Pro Forma'!$G$8="Yes",'Part VII-Pro Forma'!$G$9="Yes"),"Choose One!",IF('Part VII-Pro Forma'!$G$8="Yes",ROUND((-$K$8*(1+'Part VII-Pro Forma'!$B$6)^('Part VII-Pro Forma'!C42-1)),),IF('Part VII-Pro Forma'!$G$9="Yes",ROUND((-(SUM(C43:C46)*'Part VII-Pro Forma'!$K$9)),),"Choose mgt fee")))</f>
        <v>-32092</v>
      </c>
      <c r="D49" s="23">
        <f>IF(AND('Part VII-Pro Forma'!$G$8="Yes",'Part VII-Pro Forma'!$G$9="Yes"),"Choose One!",IF('Part VII-Pro Forma'!$G$8="Yes",ROUND((-$K$8*(1+'Part VII-Pro Forma'!$B$6)^('Part VII-Pro Forma'!D42-1)),),IF('Part VII-Pro Forma'!$G$9="Yes",ROUND((-(SUM(D43:D46)*'Part VII-Pro Forma'!$K$9)),),"Choose mgt fee")))</f>
        <v>-33055</v>
      </c>
      <c r="E49" s="23">
        <f>IF(AND('Part VII-Pro Forma'!$G$8="Yes",'Part VII-Pro Forma'!$G$9="Yes"),"Choose One!",IF('Part VII-Pro Forma'!$G$8="Yes",ROUND((-$K$8*(1+'Part VII-Pro Forma'!$B$6)^('Part VII-Pro Forma'!E42-1)),),IF('Part VII-Pro Forma'!$G$9="Yes",ROUND((-(SUM(E43:E46)*'Part VII-Pro Forma'!$K$9)),),"Choose mgt fee")))</f>
        <v>-34046</v>
      </c>
      <c r="F49" s="23">
        <f>IF(AND('Part VII-Pro Forma'!$G$8="Yes",'Part VII-Pro Forma'!$G$9="Yes"),"Choose One!",IF('Part VII-Pro Forma'!$G$8="Yes",ROUND((-$K$8*(1+'Part VII-Pro Forma'!$B$6)^('Part VII-Pro Forma'!F42-1)),),IF('Part VII-Pro Forma'!$G$9="Yes",ROUND((-(SUM(F43:F46)*'Part VII-Pro Forma'!$K$9)),),"Choose mgt fee")))</f>
        <v>-35068</v>
      </c>
      <c r="G49" s="23">
        <f>IF(AND('Part VII-Pro Forma'!$G$8="Yes",'Part VII-Pro Forma'!$G$9="Yes"),"Choose One!",IF('Part VII-Pro Forma'!$G$8="Yes",ROUND((-$K$8*(1+'Part VII-Pro Forma'!$B$6)^('Part VII-Pro Forma'!G42-1)),),IF('Part VII-Pro Forma'!$G$9="Yes",ROUND((-(SUM(G43:G46)*'Part VII-Pro Forma'!$K$9)),),"Choose mgt fee")))</f>
        <v>-36120</v>
      </c>
      <c r="H49" s="23">
        <f>IF(AND('Part VII-Pro Forma'!$G$8="Yes",'Part VII-Pro Forma'!$G$9="Yes"),"Choose One!",IF('Part VII-Pro Forma'!$G$8="Yes",ROUND((-$K$8*(1+'Part VII-Pro Forma'!$B$6)^('Part VII-Pro Forma'!H42-1)),),IF('Part VII-Pro Forma'!$G$9="Yes",ROUND((-(SUM(H43:H46)*'Part VII-Pro Forma'!$K$9)),),"Choose mgt fee")))</f>
        <v>-37204</v>
      </c>
      <c r="I49" s="23">
        <f>IF(AND('Part VII-Pro Forma'!$G$8="Yes",'Part VII-Pro Forma'!$G$9="Yes"),"Choose One!",IF('Part VII-Pro Forma'!$G$8="Yes",ROUND((-$K$8*(1+'Part VII-Pro Forma'!$B$6)^('Part VII-Pro Forma'!I42-1)),),IF('Part VII-Pro Forma'!$G$9="Yes",ROUND((-(SUM(I43:I46)*'Part VII-Pro Forma'!$K$9)),),"Choose mgt fee")))</f>
        <v>-38320</v>
      </c>
      <c r="J49" s="23">
        <f>IF(AND('Part VII-Pro Forma'!$G$8="Yes",'Part VII-Pro Forma'!$G$9="Yes"),"Choose One!",IF('Part VII-Pro Forma'!$G$8="Yes",ROUND((-$K$8*(1+'Part VII-Pro Forma'!$B$6)^('Part VII-Pro Forma'!J42-1)),),IF('Part VII-Pro Forma'!$G$9="Yes",ROUND((-(SUM(J43:J46)*'Part VII-Pro Forma'!$K$9)),),"Choose mgt fee")))</f>
        <v>-39469</v>
      </c>
      <c r="K49" s="23">
        <f>IF(AND('Part VII-Pro Forma'!$G$8="Yes",'Part VII-Pro Forma'!$G$9="Yes"),"Choose One!",IF('Part VII-Pro Forma'!$G$8="Yes",ROUND((-$K$8*(1+'Part VII-Pro Forma'!$B$6)^('Part VII-Pro Forma'!K42-1)),),IF('Part VII-Pro Forma'!$G$9="Yes",ROUND((-(SUM(K43:K46)*'Part VII-Pro Forma'!$K$9)),),"Choose mgt fee")))</f>
        <v>-40653</v>
      </c>
      <c r="M49" s="2457"/>
      <c r="N49" s="2458"/>
    </row>
    <row r="50" spans="1:14" ht="13.15" customHeight="1">
      <c r="A50" s="22" t="s">
        <v>1259</v>
      </c>
      <c r="B50" s="23">
        <f t="shared" ref="B50:K50" si="19">$B$21*(1+$B$7)^(B42-1)</f>
        <v>-19755.570776358589</v>
      </c>
      <c r="C50" s="23">
        <f t="shared" si="19"/>
        <v>-20348.23789964935</v>
      </c>
      <c r="D50" s="23">
        <f t="shared" si="19"/>
        <v>-20958.685036638824</v>
      </c>
      <c r="E50" s="23">
        <f t="shared" si="19"/>
        <v>-21587.445587737988</v>
      </c>
      <c r="F50" s="23">
        <f t="shared" si="19"/>
        <v>-22235.06895537013</v>
      </c>
      <c r="G50" s="23">
        <f t="shared" si="19"/>
        <v>-22902.121024031236</v>
      </c>
      <c r="H50" s="23">
        <f t="shared" si="19"/>
        <v>-23589.184654752171</v>
      </c>
      <c r="I50" s="23">
        <f t="shared" si="19"/>
        <v>-24296.860194394736</v>
      </c>
      <c r="J50" s="23">
        <f t="shared" si="19"/>
        <v>-25025.766000226577</v>
      </c>
      <c r="K50" s="24">
        <f t="shared" si="19"/>
        <v>-25776.538980233374</v>
      </c>
      <c r="M50" s="2457"/>
      <c r="N50" s="2458"/>
    </row>
    <row r="51" spans="1:14" ht="13.15" customHeight="1">
      <c r="A51" s="22" t="s">
        <v>1260</v>
      </c>
      <c r="B51" s="23">
        <f t="shared" ref="B51:K51" si="20">SUM(B43:B50)</f>
        <v>47321.875374750009</v>
      </c>
      <c r="C51" s="23">
        <f t="shared" si="20"/>
        <v>47290.187955387853</v>
      </c>
      <c r="D51" s="23">
        <f t="shared" si="20"/>
        <v>47156.698839832781</v>
      </c>
      <c r="E51" s="23">
        <f t="shared" si="20"/>
        <v>47318.255955726716</v>
      </c>
      <c r="F51" s="23">
        <f t="shared" si="20"/>
        <v>47168.593908111427</v>
      </c>
      <c r="G51" s="23">
        <f t="shared" si="20"/>
        <v>47505.330204541868</v>
      </c>
      <c r="H51" s="23">
        <f t="shared" si="20"/>
        <v>47322.96135944908</v>
      </c>
      <c r="I51" s="23">
        <f t="shared" si="20"/>
        <v>47217.858873978876</v>
      </c>
      <c r="J51" s="23">
        <f t="shared" si="20"/>
        <v>47185.265087419451</v>
      </c>
      <c r="K51" s="24">
        <f t="shared" si="20"/>
        <v>47419.288896207749</v>
      </c>
      <c r="M51" s="2457"/>
      <c r="N51" s="2458"/>
    </row>
    <row r="52" spans="1:14" ht="13.15" customHeight="1">
      <c r="A52" s="22" t="str">
        <f>$A23</f>
        <v>Mortgage A</v>
      </c>
      <c r="B52" s="2590">
        <f>IF('Part III-Sources of Funds'!$N$36="", 0,-'Part III-Sources of Funds'!$N$36)</f>
        <v>-37855</v>
      </c>
      <c r="C52" s="2590">
        <f>IF('Part III-Sources of Funds'!$N$36="", 0,-'Part III-Sources of Funds'!$N$36)</f>
        <v>-37855</v>
      </c>
      <c r="D52" s="2590">
        <f>IF('Part III-Sources of Funds'!$N$36="", 0,-'Part III-Sources of Funds'!$N$36)</f>
        <v>-37855</v>
      </c>
      <c r="E52" s="2590">
        <f>IF('Part III-Sources of Funds'!$N$36="", 0,-'Part III-Sources of Funds'!$N$36)</f>
        <v>-37855</v>
      </c>
      <c r="F52" s="2590">
        <f>IF('Part III-Sources of Funds'!$N$36="", 0,-'Part III-Sources of Funds'!$N$36)</f>
        <v>-37855</v>
      </c>
      <c r="G52" s="2590">
        <f>IF('Part III-Sources of Funds'!$N$36="", 0,-'Part III-Sources of Funds'!$N$36)</f>
        <v>-37855</v>
      </c>
      <c r="H52" s="2590">
        <f>IF('Part III-Sources of Funds'!$N$36="", 0,-'Part III-Sources of Funds'!$N$36)</f>
        <v>-37855</v>
      </c>
      <c r="I52" s="2590">
        <f>IF('Part III-Sources of Funds'!$N$36="", 0,-'Part III-Sources of Funds'!$N$36)</f>
        <v>-37855</v>
      </c>
      <c r="J52" s="2590">
        <f>IF('Part III-Sources of Funds'!$N$36="", 0,-'Part III-Sources of Funds'!$N$36)</f>
        <v>-37855</v>
      </c>
      <c r="K52" s="2590">
        <f>IF('Part III-Sources of Funds'!$N$36="", 0,-'Part III-Sources of Funds'!$N$36)</f>
        <v>-37855</v>
      </c>
      <c r="M52" s="2457"/>
      <c r="N52" s="2458"/>
    </row>
    <row r="53" spans="1:14" ht="13.15" customHeight="1">
      <c r="A53" s="22" t="str">
        <f>$A24</f>
        <v>Mortgage B</v>
      </c>
      <c r="B53" s="2591">
        <f>IF('Part III-Sources of Funds'!$N$37="", 0,-'Part III-Sources of Funds'!$N$37)</f>
        <v>0</v>
      </c>
      <c r="C53" s="2591">
        <f>IF('Part III-Sources of Funds'!$N$37="", 0,-'Part III-Sources of Funds'!$N$37)</f>
        <v>0</v>
      </c>
      <c r="D53" s="2591">
        <f>IF('Part III-Sources of Funds'!$N$37="", 0,-'Part III-Sources of Funds'!$N$37)</f>
        <v>0</v>
      </c>
      <c r="E53" s="2591">
        <f>IF('Part III-Sources of Funds'!$N$37="", 0,-'Part III-Sources of Funds'!$N$37)</f>
        <v>0</v>
      </c>
      <c r="F53" s="2591">
        <f>IF('Part III-Sources of Funds'!$N$37="", 0,-'Part III-Sources of Funds'!$N$37)</f>
        <v>0</v>
      </c>
      <c r="G53" s="2591">
        <f>IF('Part III-Sources of Funds'!$N$37="", 0,-'Part III-Sources of Funds'!$N$37)</f>
        <v>0</v>
      </c>
      <c r="H53" s="2591">
        <f>IF('Part III-Sources of Funds'!$N$37="", 0,-'Part III-Sources of Funds'!$N$37)</f>
        <v>0</v>
      </c>
      <c r="I53" s="2591">
        <f>IF('Part III-Sources of Funds'!$N$37="", 0,-'Part III-Sources of Funds'!$N$37)</f>
        <v>0</v>
      </c>
      <c r="J53" s="2591">
        <f>IF('Part III-Sources of Funds'!$N$37="", 0,-'Part III-Sources of Funds'!$N$37)</f>
        <v>0</v>
      </c>
      <c r="K53" s="2591">
        <f>IF('Part III-Sources of Funds'!$N$37="", 0,-'Part III-Sources of Funds'!$N$37)</f>
        <v>0</v>
      </c>
      <c r="M53" s="2457"/>
      <c r="N53" s="2458"/>
    </row>
    <row r="54" spans="1:14" ht="13.15" customHeight="1">
      <c r="A54" s="22" t="str">
        <f>$A25</f>
        <v>Mortgage C</v>
      </c>
      <c r="B54" s="2591">
        <f>IF('Part III-Sources of Funds'!$N$38="", 0,-'Part III-Sources of Funds'!$N$38)</f>
        <v>0</v>
      </c>
      <c r="C54" s="2591">
        <f>IF('Part III-Sources of Funds'!$N$38="", 0,-'Part III-Sources of Funds'!$N$38)</f>
        <v>0</v>
      </c>
      <c r="D54" s="2591">
        <f>IF('Part III-Sources of Funds'!$N$38="", 0,-'Part III-Sources of Funds'!$N$38)</f>
        <v>0</v>
      </c>
      <c r="E54" s="2591">
        <f>IF('Part III-Sources of Funds'!$N$38="", 0,-'Part III-Sources of Funds'!$N$38)</f>
        <v>0</v>
      </c>
      <c r="F54" s="2591">
        <f>IF('Part III-Sources of Funds'!$N$38="", 0,-'Part III-Sources of Funds'!$N$38)</f>
        <v>0</v>
      </c>
      <c r="G54" s="2591">
        <f>IF('Part III-Sources of Funds'!$N$38="", 0,-'Part III-Sources of Funds'!$N$38)</f>
        <v>0</v>
      </c>
      <c r="H54" s="2591">
        <f>IF('Part III-Sources of Funds'!$N$38="", 0,-'Part III-Sources of Funds'!$N$38)</f>
        <v>0</v>
      </c>
      <c r="I54" s="2591">
        <f>IF('Part III-Sources of Funds'!$N$38="", 0,-'Part III-Sources of Funds'!$N$38)</f>
        <v>0</v>
      </c>
      <c r="J54" s="2591">
        <f>IF('Part III-Sources of Funds'!$N$38="", 0,-'Part III-Sources of Funds'!$N$38)</f>
        <v>0</v>
      </c>
      <c r="K54" s="2591">
        <f>IF('Part III-Sources of Funds'!$N$38="", 0,-'Part III-Sources of Funds'!$N$38)</f>
        <v>0</v>
      </c>
      <c r="M54" s="2457"/>
      <c r="N54" s="2458"/>
    </row>
    <row r="55" spans="1:14" ht="13.15" customHeight="1">
      <c r="A55" s="22" t="str">
        <f>$A26</f>
        <v>D/S Other Source</v>
      </c>
      <c r="B55" s="2591">
        <f>IF('Part III-Sources of Funds'!$N$39="", 0,-'Part III-Sources of Funds'!$N$39)</f>
        <v>0</v>
      </c>
      <c r="C55" s="2591">
        <f>IF('Part III-Sources of Funds'!$N$39="", 0,-'Part III-Sources of Funds'!$N$39)</f>
        <v>0</v>
      </c>
      <c r="D55" s="2591">
        <f>IF('Part III-Sources of Funds'!$N$39="", 0,-'Part III-Sources of Funds'!$N$39)</f>
        <v>0</v>
      </c>
      <c r="E55" s="2591">
        <f>IF('Part III-Sources of Funds'!$N$39="", 0,-'Part III-Sources of Funds'!$N$39)</f>
        <v>0</v>
      </c>
      <c r="F55" s="2591">
        <f>IF('Part III-Sources of Funds'!$N$39="", 0,-'Part III-Sources of Funds'!$N$39)</f>
        <v>0</v>
      </c>
      <c r="G55" s="2591">
        <f>IF('Part III-Sources of Funds'!$N$39="", 0,-'Part III-Sources of Funds'!$N$39)</f>
        <v>0</v>
      </c>
      <c r="H55" s="2591">
        <f>IF('Part III-Sources of Funds'!$N$39="", 0,-'Part III-Sources of Funds'!$N$39)</f>
        <v>0</v>
      </c>
      <c r="I55" s="2591">
        <f>IF('Part III-Sources of Funds'!$N$39="", 0,-'Part III-Sources of Funds'!$N$39)</f>
        <v>0</v>
      </c>
      <c r="J55" s="2591">
        <f>IF('Part III-Sources of Funds'!$N$39="", 0,-'Part III-Sources of Funds'!$N$39)</f>
        <v>0</v>
      </c>
      <c r="K55" s="2591">
        <f>IF('Part III-Sources of Funds'!$N$39="", 0,-'Part III-Sources of Funds'!$N$39)</f>
        <v>0</v>
      </c>
      <c r="M55" s="2457"/>
      <c r="N55" s="2458"/>
    </row>
    <row r="56" spans="1:14" ht="13.15" customHeight="1">
      <c r="A56" s="22" t="s">
        <v>803</v>
      </c>
      <c r="B56" s="2592"/>
      <c r="C56" s="2592"/>
      <c r="D56" s="2592"/>
      <c r="E56" s="2592"/>
      <c r="F56" s="2592"/>
      <c r="G56" s="2592"/>
      <c r="H56" s="2592"/>
      <c r="I56" s="2592"/>
      <c r="J56" s="2592"/>
      <c r="K56" s="2592"/>
      <c r="M56" s="2457"/>
      <c r="N56" s="2458"/>
    </row>
    <row r="57" spans="1:14" ht="13.15" customHeight="1">
      <c r="A57" s="22" t="s">
        <v>1218</v>
      </c>
      <c r="B57" s="2591">
        <f>+K28</f>
        <v>0</v>
      </c>
      <c r="C57" s="2591">
        <f t="shared" ref="C57:K57" si="21">+B57</f>
        <v>0</v>
      </c>
      <c r="D57" s="2591">
        <f t="shared" si="21"/>
        <v>0</v>
      </c>
      <c r="E57" s="2591">
        <f t="shared" si="21"/>
        <v>0</v>
      </c>
      <c r="F57" s="2591">
        <f t="shared" si="21"/>
        <v>0</v>
      </c>
      <c r="G57" s="2591">
        <f t="shared" si="21"/>
        <v>0</v>
      </c>
      <c r="H57" s="2591">
        <f t="shared" si="21"/>
        <v>0</v>
      </c>
      <c r="I57" s="2591">
        <f t="shared" si="21"/>
        <v>0</v>
      </c>
      <c r="J57" s="2591">
        <f t="shared" si="21"/>
        <v>0</v>
      </c>
      <c r="K57" s="2591">
        <f t="shared" si="21"/>
        <v>0</v>
      </c>
      <c r="M57" s="2457"/>
      <c r="N57" s="2458"/>
    </row>
    <row r="58" spans="1:14" ht="13.15" customHeight="1">
      <c r="A58" s="22" t="s">
        <v>1261</v>
      </c>
      <c r="B58" s="2593">
        <f>IF('Part III-Sources of Funds'!$N$41="", 0,-'Part III-Sources of Funds'!$N$41)</f>
        <v>0</v>
      </c>
      <c r="C58" s="2593">
        <f>IF('Part III-Sources of Funds'!$N$41="", 0,-'Part III-Sources of Funds'!$N$41)</f>
        <v>0</v>
      </c>
      <c r="D58" s="2593">
        <f>IF('Part III-Sources of Funds'!$N$41="", 0,-'Part III-Sources of Funds'!$N$41)</f>
        <v>0</v>
      </c>
      <c r="E58" s="2593">
        <f>IF('Part III-Sources of Funds'!$N$41="", 0,-'Part III-Sources of Funds'!$N$41)</f>
        <v>0</v>
      </c>
      <c r="F58" s="2593">
        <f>IF('Part III-Sources of Funds'!$N$41="", 0,-'Part III-Sources of Funds'!$N$41)</f>
        <v>0</v>
      </c>
      <c r="G58" s="2593">
        <f>IF('Part III-Sources of Funds'!$N$41="", 0,-'Part III-Sources of Funds'!$N$41)</f>
        <v>0</v>
      </c>
      <c r="H58" s="2593">
        <f>IF('Part III-Sources of Funds'!$N$41="", 0,-'Part III-Sources of Funds'!$N$41)</f>
        <v>0</v>
      </c>
      <c r="I58" s="2593">
        <f>IF('Part III-Sources of Funds'!$N$41="", 0,-'Part III-Sources of Funds'!$N$41)</f>
        <v>0</v>
      </c>
      <c r="J58" s="2593">
        <f>IF('Part III-Sources of Funds'!$N$41="", 0,-'Part III-Sources of Funds'!$N$41)</f>
        <v>0</v>
      </c>
      <c r="K58" s="2591">
        <f>IF('Part III-Sources of Funds'!$N$41="", 0,-'Part III-Sources of Funds'!$N$41)</f>
        <v>0</v>
      </c>
      <c r="M58" s="2457"/>
      <c r="N58" s="2458"/>
    </row>
    <row r="59" spans="1:14" ht="13.15" customHeight="1">
      <c r="A59" s="22" t="s">
        <v>1219</v>
      </c>
      <c r="B59" s="23">
        <f t="shared" ref="B59:K59" si="22">SUM(B51:B58)</f>
        <v>9466.8753747500086</v>
      </c>
      <c r="C59" s="23">
        <f t="shared" si="22"/>
        <v>9435.1879553878534</v>
      </c>
      <c r="D59" s="23">
        <f t="shared" si="22"/>
        <v>9301.6988398327812</v>
      </c>
      <c r="E59" s="23">
        <f t="shared" si="22"/>
        <v>9463.2559557267159</v>
      </c>
      <c r="F59" s="23">
        <f t="shared" si="22"/>
        <v>9313.5939081114266</v>
      </c>
      <c r="G59" s="23">
        <f t="shared" si="22"/>
        <v>9650.3302045418677</v>
      </c>
      <c r="H59" s="23">
        <f t="shared" si="22"/>
        <v>9467.9613594490802</v>
      </c>
      <c r="I59" s="23">
        <f t="shared" si="22"/>
        <v>9362.8588739788756</v>
      </c>
      <c r="J59" s="23">
        <f t="shared" si="22"/>
        <v>9330.2650874194514</v>
      </c>
      <c r="K59" s="21">
        <f t="shared" si="22"/>
        <v>9564.2888962077486</v>
      </c>
      <c r="M59" s="2457"/>
      <c r="N59" s="2458"/>
    </row>
    <row r="60" spans="1:14" ht="13.15" customHeight="1">
      <c r="A60" s="22" t="str">
        <f>$A31</f>
        <v>DCR Mortgage A</v>
      </c>
      <c r="B60" s="25">
        <f>IF(B52=0,"",-B51/B52)</f>
        <v>1.2500825617421742</v>
      </c>
      <c r="C60" s="25">
        <f t="shared" ref="C60:K60" si="23">IF(C52=0,"",-C51/C52)</f>
        <v>1.249245488188822</v>
      </c>
      <c r="D60" s="25">
        <f t="shared" si="23"/>
        <v>1.2457191610046965</v>
      </c>
      <c r="E60" s="25">
        <f t="shared" si="23"/>
        <v>1.2499869490351794</v>
      </c>
      <c r="F60" s="25">
        <f t="shared" si="23"/>
        <v>1.2460333881418948</v>
      </c>
      <c r="G60" s="25">
        <f t="shared" si="23"/>
        <v>1.2549288126942773</v>
      </c>
      <c r="H60" s="25">
        <f t="shared" si="23"/>
        <v>1.2501112497543014</v>
      </c>
      <c r="I60" s="25">
        <f t="shared" si="23"/>
        <v>1.2473348005277738</v>
      </c>
      <c r="J60" s="25">
        <f t="shared" si="23"/>
        <v>1.2464737838441275</v>
      </c>
      <c r="K60" s="26">
        <f t="shared" si="23"/>
        <v>1.252655894761795</v>
      </c>
      <c r="M60" s="2457"/>
      <c r="N60" s="2458"/>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457"/>
      <c r="N61" s="2458"/>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457"/>
      <c r="N62" s="2458"/>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457"/>
      <c r="N63" s="2458"/>
    </row>
    <row r="64" spans="1:14" ht="13.15" customHeight="1">
      <c r="A64" s="22" t="s">
        <v>810</v>
      </c>
      <c r="B64" s="296">
        <f>IF(OR(B49="Choose mgt fee",B49="Choose One!"),"",(B43+B44+B45+B46+B47) / -(B48+B49+B50))</f>
        <v>1.2176884490634541</v>
      </c>
      <c r="C64" s="296">
        <f t="shared" ref="C64:K64" si="27">IF(OR(C49="Choose mgt fee",C49="Choose One!"),"",(C43+C44+C45+C46+C47) / -(C48+C49+C50))</f>
        <v>1.2112062135312833</v>
      </c>
      <c r="D64" s="296">
        <f t="shared" si="27"/>
        <v>1.2044755424510742</v>
      </c>
      <c r="E64" s="296">
        <f t="shared" si="27"/>
        <v>1.1992006112403402</v>
      </c>
      <c r="F64" s="296">
        <f t="shared" si="27"/>
        <v>1.1927864660942342</v>
      </c>
      <c r="G64" s="296">
        <f t="shared" si="27"/>
        <v>1.188507571152007</v>
      </c>
      <c r="H64" s="296">
        <f t="shared" si="27"/>
        <v>1.1823141917926767</v>
      </c>
      <c r="I64" s="296">
        <f t="shared" si="27"/>
        <v>1.1766110297095154</v>
      </c>
      <c r="J64" s="296">
        <f t="shared" si="27"/>
        <v>1.1713490313415966</v>
      </c>
      <c r="K64" s="297">
        <f t="shared" si="27"/>
        <v>1.1671834079404009</v>
      </c>
      <c r="M64" s="2457"/>
      <c r="N64" s="2458"/>
    </row>
    <row r="65" spans="1:14" ht="13.15" customHeight="1">
      <c r="A65" s="471" t="s">
        <v>2744</v>
      </c>
      <c r="B65" s="2594">
        <f>IF('Part III-Sources of Funds'!$I$36="","",-FV('Part III-Sources of Funds'!$K$36/12,12,B52/12,K36))</f>
        <v>1043957.3438580466</v>
      </c>
      <c r="C65" s="2594">
        <f>IF('Part III-Sources of Funds'!$I$36="","",-FV('Part III-Sources of Funds'!$K$36/12,12,C52/12,B65))</f>
        <v>1016415.9135639073</v>
      </c>
      <c r="D65" s="2594">
        <f>IF('Part III-Sources of Funds'!$I$36="","",-FV('Part III-Sources of Funds'!$K$36/12,12,D52/12,C65))</f>
        <v>988597.80313825607</v>
      </c>
      <c r="E65" s="2594">
        <f>IF('Part III-Sources of Funds'!$I$36="","",-FV('Part III-Sources of Funds'!$K$36/12,12,E52/12,D65))</f>
        <v>960500.23306331353</v>
      </c>
      <c r="F65" s="2594">
        <f>IF('Part III-Sources of Funds'!$I$36="","",-FV('Part III-Sources of Funds'!$K$36/12,12,F52/12,E65))</f>
        <v>932120.39589837333</v>
      </c>
      <c r="G65" s="2594">
        <f>IF('Part III-Sources of Funds'!$I$36="","",-FV('Part III-Sources of Funds'!$K$36/12,12,G52/12,F65))</f>
        <v>903455.45599928952</v>
      </c>
      <c r="H65" s="2594">
        <f>IF('Part III-Sources of Funds'!$I$36="","",-FV('Part III-Sources of Funds'!$K$36/12,12,H52/12,G65))</f>
        <v>874502.54923514614</v>
      </c>
      <c r="I65" s="2594">
        <f>IF('Part III-Sources of Funds'!$I$36="","",-FV('Part III-Sources of Funds'!$K$36/12,12,I52/12,H65))</f>
        <v>845258.78270207997</v>
      </c>
      <c r="J65" s="2594">
        <f>IF('Part III-Sources of Funds'!$I$36="","",-FV('Part III-Sources of Funds'!$K$36/12,12,J52/12,I65))</f>
        <v>815721.23443422886</v>
      </c>
      <c r="K65" s="2594">
        <f>IF('Part III-Sources of Funds'!$I$36="","",-FV('Part III-Sources of Funds'!$K$36/12,12,K52/12,J65))</f>
        <v>785886.95311177569</v>
      </c>
      <c r="M65" s="2457"/>
      <c r="N65" s="2458"/>
    </row>
    <row r="66" spans="1:14" ht="13.15" customHeight="1">
      <c r="A66" s="471" t="s">
        <v>2745</v>
      </c>
      <c r="B66" s="2591" t="str">
        <f>IF('Part III-Sources of Funds'!$I$37="","",-FV('Part III-Sources of Funds'!$K$37/12,12,B53/12,K37))</f>
        <v/>
      </c>
      <c r="C66" s="2591" t="str">
        <f>IF('Part III-Sources of Funds'!$I$37="","",-FV('Part III-Sources of Funds'!$K$37/12,12,C53/12,B66))</f>
        <v/>
      </c>
      <c r="D66" s="2591" t="str">
        <f>IF('Part III-Sources of Funds'!$I$37="","",-FV('Part III-Sources of Funds'!$K$37/12,12,D53/12,C66))</f>
        <v/>
      </c>
      <c r="E66" s="2591" t="str">
        <f>IF('Part III-Sources of Funds'!$I$37="","",-FV('Part III-Sources of Funds'!$K$37/12,12,E53/12,D66))</f>
        <v/>
      </c>
      <c r="F66" s="2591" t="str">
        <f>IF('Part III-Sources of Funds'!$I$37="","",-FV('Part III-Sources of Funds'!$K$37/12,12,F53/12,E66))</f>
        <v/>
      </c>
      <c r="G66" s="2591" t="str">
        <f>IF('Part III-Sources of Funds'!$I$37="","",-FV('Part III-Sources of Funds'!$K$37/12,12,G53/12,F66))</f>
        <v/>
      </c>
      <c r="H66" s="2591" t="str">
        <f>IF('Part III-Sources of Funds'!$I$37="","",-FV('Part III-Sources of Funds'!$K$37/12,12,H53/12,G66))</f>
        <v/>
      </c>
      <c r="I66" s="2591" t="str">
        <f>IF('Part III-Sources of Funds'!$I$37="","",-FV('Part III-Sources of Funds'!$K$37/12,12,I53/12,H66))</f>
        <v/>
      </c>
      <c r="J66" s="2591" t="str">
        <f>IF('Part III-Sources of Funds'!$I$37="","",-FV('Part III-Sources of Funds'!$K$37/12,12,J53/12,I66))</f>
        <v/>
      </c>
      <c r="K66" s="2591" t="str">
        <f>IF('Part III-Sources of Funds'!$I$37="","",-FV('Part III-Sources of Funds'!$K$37/12,12,K53/12,J66))</f>
        <v/>
      </c>
      <c r="M66" s="2457"/>
      <c r="N66" s="2458"/>
    </row>
    <row r="67" spans="1:14" ht="13.15" customHeight="1">
      <c r="A67" s="471" t="s">
        <v>2746</v>
      </c>
      <c r="B67" s="2591" t="str">
        <f>IF('Part III-Sources of Funds'!$I$38="","",-FV('Part III-Sources of Funds'!$K$38/12,12,B54/12,K38))</f>
        <v/>
      </c>
      <c r="C67" s="2591" t="str">
        <f>IF('Part III-Sources of Funds'!$I$38="","",-FV('Part III-Sources of Funds'!$K$38/12,12,C54/12,B67))</f>
        <v/>
      </c>
      <c r="D67" s="2591" t="str">
        <f>IF('Part III-Sources of Funds'!$I$38="","",-FV('Part III-Sources of Funds'!$K$38/12,12,D54/12,C67))</f>
        <v/>
      </c>
      <c r="E67" s="2591" t="str">
        <f>IF('Part III-Sources of Funds'!$I$38="","",-FV('Part III-Sources of Funds'!$K$38/12,12,E54/12,D67))</f>
        <v/>
      </c>
      <c r="F67" s="2591" t="str">
        <f>IF('Part III-Sources of Funds'!$I$38="","",-FV('Part III-Sources of Funds'!$K$38/12,12,F54/12,E67))</f>
        <v/>
      </c>
      <c r="G67" s="2591" t="str">
        <f>IF('Part III-Sources of Funds'!$I$38="","",-FV('Part III-Sources of Funds'!$K$38/12,12,G54/12,F67))</f>
        <v/>
      </c>
      <c r="H67" s="2591" t="str">
        <f>IF('Part III-Sources of Funds'!$I$38="","",-FV('Part III-Sources of Funds'!$K$38/12,12,H54/12,G67))</f>
        <v/>
      </c>
      <c r="I67" s="2591" t="str">
        <f>IF('Part III-Sources of Funds'!$I$38="","",-FV('Part III-Sources of Funds'!$K$38/12,12,I54/12,H67))</f>
        <v/>
      </c>
      <c r="J67" s="2591" t="str">
        <f>IF('Part III-Sources of Funds'!$I$38="","",-FV('Part III-Sources of Funds'!$K$38/12,12,J54/12,I67))</f>
        <v/>
      </c>
      <c r="K67" s="2591" t="str">
        <f>IF('Part III-Sources of Funds'!$I$38="","",-FV('Part III-Sources of Funds'!$K$38/12,12,K54/12,J67))</f>
        <v/>
      </c>
      <c r="M67" s="2457"/>
      <c r="N67" s="2458"/>
    </row>
    <row r="68" spans="1:14" ht="13.15" customHeight="1">
      <c r="A68" s="22" t="s">
        <v>825</v>
      </c>
      <c r="B68" s="2591" t="str">
        <f>IF('Part III-Sources of Funds'!$I$39="","",-FV('Part III-Sources of Funds'!$K$39/12,12,B55/12,K39))</f>
        <v/>
      </c>
      <c r="C68" s="2591" t="str">
        <f>IF('Part III-Sources of Funds'!$I$39="","",-FV('Part III-Sources of Funds'!$K$39/12,12,C55/12,B68))</f>
        <v/>
      </c>
      <c r="D68" s="2591" t="str">
        <f>IF('Part III-Sources of Funds'!$I$39="","",-FV('Part III-Sources of Funds'!$K$39/12,12,D55/12,C68))</f>
        <v/>
      </c>
      <c r="E68" s="2591" t="str">
        <f>IF('Part III-Sources of Funds'!$I$39="","",-FV('Part III-Sources of Funds'!$K$39/12,12,E55/12,D68))</f>
        <v/>
      </c>
      <c r="F68" s="2591" t="str">
        <f>IF('Part III-Sources of Funds'!$I$39="","",-FV('Part III-Sources of Funds'!$K$39/12,12,F55/12,E68))</f>
        <v/>
      </c>
      <c r="G68" s="2591" t="str">
        <f>IF('Part III-Sources of Funds'!$I$39="","",-FV('Part III-Sources of Funds'!$K$39/12,12,G55/12,F68))</f>
        <v/>
      </c>
      <c r="H68" s="2591" t="str">
        <f>IF('Part III-Sources of Funds'!$I$39="","",-FV('Part III-Sources of Funds'!$K$39/12,12,H55/12,G68))</f>
        <v/>
      </c>
      <c r="I68" s="2591" t="str">
        <f>IF('Part III-Sources of Funds'!$I$39="","",-FV('Part III-Sources of Funds'!$K$39/12,12,I55/12,H68))</f>
        <v/>
      </c>
      <c r="J68" s="2591" t="str">
        <f>IF('Part III-Sources of Funds'!$I$39="","",-FV('Part III-Sources of Funds'!$K$39/12,12,J55/12,I68))</f>
        <v/>
      </c>
      <c r="K68" s="2591" t="str">
        <f>IF('Part III-Sources of Funds'!$I$39="","",-FV('Part III-Sources of Funds'!$K$39/12,12,K55/12,J68))</f>
        <v/>
      </c>
      <c r="M68" s="2457"/>
      <c r="N68" s="2458"/>
    </row>
    <row r="69" spans="1:14" ht="13.15" customHeight="1">
      <c r="A69" s="27" t="s">
        <v>1296</v>
      </c>
      <c r="B69" s="2593" t="str">
        <f>IF('Part III-Sources of Funds'!$I$41="","",-FV('Part III-Sources of Funds'!$K$41/12,12,B58/12,K40))</f>
        <v/>
      </c>
      <c r="C69" s="2593" t="str">
        <f>IF('Part III-Sources of Funds'!$I$41="","",-FV('Part III-Sources of Funds'!$K$41/12,12,C58/12,B69))</f>
        <v/>
      </c>
      <c r="D69" s="2593" t="str">
        <f>IF('Part III-Sources of Funds'!$I$41="","",-FV('Part III-Sources of Funds'!$K$41/12,12,D58/12,C69))</f>
        <v/>
      </c>
      <c r="E69" s="2593" t="str">
        <f>IF('Part III-Sources of Funds'!$I$41="","",-FV('Part III-Sources of Funds'!$K$41/12,12,E58/12,D69))</f>
        <v/>
      </c>
      <c r="F69" s="2593" t="str">
        <f>IF('Part III-Sources of Funds'!$I$41="","",-FV('Part III-Sources of Funds'!$K$41/12,12,F58/12,E69))</f>
        <v/>
      </c>
      <c r="G69" s="2593" t="str">
        <f>IF('Part III-Sources of Funds'!$I$41="","",-FV('Part III-Sources of Funds'!$K$41/12,12,G58/12,F69))</f>
        <v/>
      </c>
      <c r="H69" s="2593" t="str">
        <f>IF('Part III-Sources of Funds'!$I$41="","",-FV('Part III-Sources of Funds'!$K$41/12,12,H58/12,G69))</f>
        <v/>
      </c>
      <c r="I69" s="2593" t="str">
        <f>IF('Part III-Sources of Funds'!$I$41="","",-FV('Part III-Sources of Funds'!$K$41/12,12,I58/12,H69))</f>
        <v/>
      </c>
      <c r="J69" s="2593" t="str">
        <f>IF('Part III-Sources of Funds'!$I$41="","",-FV('Part III-Sources of Funds'!$K$41/12,12,J58/12,I69))</f>
        <v/>
      </c>
      <c r="K69" s="2593" t="str">
        <f>IF('Part III-Sources of Funds'!$I$41="","",-FV('Part III-Sources of Funds'!$K$41/12,12,K58/12,J69))</f>
        <v/>
      </c>
      <c r="M69" s="2460"/>
      <c r="N69" s="2461"/>
    </row>
    <row r="70" spans="1:14" ht="4.1500000000000004" customHeight="1">
      <c r="B70" s="18"/>
      <c r="C70" s="18"/>
      <c r="D70" s="18"/>
      <c r="E70" s="18"/>
      <c r="F70" s="18"/>
      <c r="G70" s="18"/>
      <c r="H70" s="18"/>
      <c r="I70" s="18"/>
      <c r="J70" s="18"/>
      <c r="K70" s="18"/>
    </row>
    <row r="71" spans="1:14" ht="14.45" customHeight="1">
      <c r="A71" s="14" t="s">
        <v>2602</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49" t="s">
        <v>2750</v>
      </c>
      <c r="N71" s="1449"/>
    </row>
    <row r="72" spans="1:14" ht="13.15" customHeight="1">
      <c r="A72" s="19" t="s">
        <v>2521</v>
      </c>
      <c r="B72" s="20">
        <f t="shared" ref="B72:K72" si="29">$B$14*(1+$B$5)^(B71-1)</f>
        <v>301350.13190441026</v>
      </c>
      <c r="C72" s="20">
        <f t="shared" si="29"/>
        <v>307377.13454249845</v>
      </c>
      <c r="D72" s="20">
        <f t="shared" si="29"/>
        <v>313524.67723334843</v>
      </c>
      <c r="E72" s="20">
        <f t="shared" si="29"/>
        <v>319795.17077801534</v>
      </c>
      <c r="F72" s="20">
        <f t="shared" si="29"/>
        <v>326191.07419357565</v>
      </c>
      <c r="G72" s="20">
        <f t="shared" si="29"/>
        <v>332714.89567744714</v>
      </c>
      <c r="H72" s="20">
        <f t="shared" si="29"/>
        <v>339369.19359099615</v>
      </c>
      <c r="I72" s="20">
        <f t="shared" si="29"/>
        <v>346156.57746281597</v>
      </c>
      <c r="J72" s="20">
        <f t="shared" si="29"/>
        <v>353079.70901207236</v>
      </c>
      <c r="K72" s="21">
        <f t="shared" si="29"/>
        <v>360141.30319231376</v>
      </c>
      <c r="M72" s="2455"/>
      <c r="N72" s="2456"/>
    </row>
    <row r="73" spans="1:14" ht="13.15" customHeight="1">
      <c r="A73" s="22" t="s">
        <v>1065</v>
      </c>
      <c r="B73" s="23">
        <f t="shared" ref="B73:K73" si="30">$B$15*(1+$B$5)^(B71-1)</f>
        <v>6027.0026380882045</v>
      </c>
      <c r="C73" s="23">
        <f t="shared" si="30"/>
        <v>6147.5426908499685</v>
      </c>
      <c r="D73" s="23">
        <f t="shared" si="30"/>
        <v>6270.4935446669679</v>
      </c>
      <c r="E73" s="23">
        <f t="shared" si="30"/>
        <v>6395.9034155603067</v>
      </c>
      <c r="F73" s="23">
        <f t="shared" si="30"/>
        <v>6523.821483871513</v>
      </c>
      <c r="G73" s="23">
        <f t="shared" si="30"/>
        <v>6654.2979135489431</v>
      </c>
      <c r="H73" s="23">
        <f t="shared" si="30"/>
        <v>6787.3838718199222</v>
      </c>
      <c r="I73" s="23">
        <f t="shared" si="30"/>
        <v>6923.1315492563199</v>
      </c>
      <c r="J73" s="23">
        <f t="shared" si="30"/>
        <v>7061.5941802414472</v>
      </c>
      <c r="K73" s="24">
        <f t="shared" si="30"/>
        <v>7202.8260638462752</v>
      </c>
      <c r="M73" s="2457"/>
      <c r="N73" s="2458"/>
    </row>
    <row r="74" spans="1:14" ht="13.15" customHeight="1">
      <c r="A74" s="22" t="s">
        <v>2522</v>
      </c>
      <c r="B74" s="23">
        <f t="shared" ref="B74:K74" si="31">-(B72+B73)*$B$8</f>
        <v>-21516.399417974892</v>
      </c>
      <c r="C74" s="23">
        <f t="shared" si="31"/>
        <v>-21946.72740633439</v>
      </c>
      <c r="D74" s="23">
        <f t="shared" si="31"/>
        <v>-22385.66195446108</v>
      </c>
      <c r="E74" s="23">
        <f t="shared" si="31"/>
        <v>-22833.375193550299</v>
      </c>
      <c r="F74" s="23">
        <f t="shared" si="31"/>
        <v>-23290.042697421301</v>
      </c>
      <c r="G74" s="23">
        <f t="shared" si="31"/>
        <v>-23755.84355136973</v>
      </c>
      <c r="H74" s="23">
        <f t="shared" si="31"/>
        <v>-24230.960422397129</v>
      </c>
      <c r="I74" s="23">
        <f t="shared" si="31"/>
        <v>-24715.579630845063</v>
      </c>
      <c r="J74" s="23">
        <f t="shared" si="31"/>
        <v>-25209.891223461971</v>
      </c>
      <c r="K74" s="24">
        <f t="shared" si="31"/>
        <v>-25714.089047931207</v>
      </c>
      <c r="M74" s="2457"/>
      <c r="N74" s="2458"/>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57"/>
      <c r="N75" s="2458"/>
    </row>
    <row r="76" spans="1:14" ht="13.15" customHeight="1">
      <c r="A76" s="22" t="s">
        <v>55</v>
      </c>
      <c r="B76" s="23">
        <f>'Part VI-Revenues &amp; Expenses'!G152</f>
        <v>53600</v>
      </c>
      <c r="C76" s="23">
        <f>'Part VI-Revenues &amp; Expenses'!H152</f>
        <v>56600</v>
      </c>
      <c r="D76" s="23">
        <f>'Part VI-Revenues &amp; Expenses'!I152</f>
        <v>59800</v>
      </c>
      <c r="E76" s="23">
        <f>'Part VI-Revenues &amp; Expenses'!J152</f>
        <v>63300</v>
      </c>
      <c r="F76" s="23">
        <f>'Part VI-Revenues &amp; Expenses'!K152</f>
        <v>66800</v>
      </c>
      <c r="G76" s="23">
        <f>'Part VI-Revenues &amp; Expenses'!L152</f>
        <v>70500</v>
      </c>
      <c r="H76" s="23">
        <f>'Part VI-Revenues &amp; Expenses'!M152</f>
        <v>74300</v>
      </c>
      <c r="I76" s="23">
        <f>'Part VI-Revenues &amp; Expenses'!N152</f>
        <v>78300</v>
      </c>
      <c r="J76" s="23">
        <f>'Part VI-Revenues &amp; Expenses'!O152</f>
        <v>82500</v>
      </c>
      <c r="K76" s="24">
        <f>'Part VI-Revenues &amp; Expenses'!P152</f>
        <v>86700</v>
      </c>
      <c r="M76" s="2457"/>
      <c r="N76" s="2458"/>
    </row>
    <row r="77" spans="1:14" ht="13.15" customHeight="1">
      <c r="A77" s="22" t="s">
        <v>644</v>
      </c>
      <c r="B77" s="23">
        <f t="shared" ref="B77:K77" si="32">$B$19*(1+$B$6)^(B71-1)</f>
        <v>-223722.99863850023</v>
      </c>
      <c r="C77" s="23">
        <f t="shared" si="32"/>
        <v>-230434.68859765519</v>
      </c>
      <c r="D77" s="23">
        <f t="shared" si="32"/>
        <v>-237347.72925558488</v>
      </c>
      <c r="E77" s="23">
        <f t="shared" si="32"/>
        <v>-244468.16113325243</v>
      </c>
      <c r="F77" s="23">
        <f t="shared" si="32"/>
        <v>-251802.20596724996</v>
      </c>
      <c r="G77" s="23">
        <f t="shared" si="32"/>
        <v>-259356.27214626747</v>
      </c>
      <c r="H77" s="23">
        <f t="shared" si="32"/>
        <v>-267136.96031065553</v>
      </c>
      <c r="I77" s="23">
        <f t="shared" si="32"/>
        <v>-275151.06911997515</v>
      </c>
      <c r="J77" s="23">
        <f t="shared" si="32"/>
        <v>-283405.60119357443</v>
      </c>
      <c r="K77" s="24">
        <f t="shared" si="32"/>
        <v>-291907.76922938164</v>
      </c>
      <c r="M77" s="2457"/>
      <c r="N77" s="2458"/>
    </row>
    <row r="78" spans="1:14" ht="13.15" customHeight="1">
      <c r="A78" s="22" t="s">
        <v>1165</v>
      </c>
      <c r="B78" s="23">
        <f>IF(AND('Part VII-Pro Forma'!$G$8="Yes",'Part VII-Pro Forma'!$G$9="Yes"),"Choose One!",IF('Part VII-Pro Forma'!$G$8="Yes",ROUND((-$K$8*(1+'Part VII-Pro Forma'!$B$6)^('Part VII-Pro Forma'!B71-1)),),IF('Part VII-Pro Forma'!$G$9="Yes",ROUND((-(SUM(B72:B75)*'Part VII-Pro Forma'!$K$9)),),"Choose mgt fee")))</f>
        <v>-41873</v>
      </c>
      <c r="C78" s="23">
        <f>IF(AND('Part VII-Pro Forma'!$G$8="Yes",'Part VII-Pro Forma'!$G$9="Yes"),"Choose One!",IF('Part VII-Pro Forma'!$G$8="Yes",ROUND((-$K$8*(1+'Part VII-Pro Forma'!$B$6)^('Part VII-Pro Forma'!C71-1)),),IF('Part VII-Pro Forma'!$G$9="Yes",ROUND((-(SUM(C72:C75)*'Part VII-Pro Forma'!$K$9)),),"Choose mgt fee")))</f>
        <v>-43129</v>
      </c>
      <c r="D78" s="23">
        <f>IF(AND('Part VII-Pro Forma'!$G$8="Yes",'Part VII-Pro Forma'!$G$9="Yes"),"Choose One!",IF('Part VII-Pro Forma'!$G$8="Yes",ROUND((-$K$8*(1+'Part VII-Pro Forma'!$B$6)^('Part VII-Pro Forma'!D71-1)),),IF('Part VII-Pro Forma'!$G$9="Yes",ROUND((-(SUM(D72:D75)*'Part VII-Pro Forma'!$K$9)),),"Choose mgt fee")))</f>
        <v>-44423</v>
      </c>
      <c r="E78" s="23">
        <f>IF(AND('Part VII-Pro Forma'!$G$8="Yes",'Part VII-Pro Forma'!$G$9="Yes"),"Choose One!",IF('Part VII-Pro Forma'!$G$8="Yes",ROUND((-$K$8*(1+'Part VII-Pro Forma'!$B$6)^('Part VII-Pro Forma'!E71-1)),),IF('Part VII-Pro Forma'!$G$9="Yes",ROUND((-(SUM(E72:E75)*'Part VII-Pro Forma'!$K$9)),),"Choose mgt fee")))</f>
        <v>-45756</v>
      </c>
      <c r="F78" s="23">
        <f>IF(AND('Part VII-Pro Forma'!$G$8="Yes",'Part VII-Pro Forma'!$G$9="Yes"),"Choose One!",IF('Part VII-Pro Forma'!$G$8="Yes",ROUND((-$K$8*(1+'Part VII-Pro Forma'!$B$6)^('Part VII-Pro Forma'!F71-1)),),IF('Part VII-Pro Forma'!$G$9="Yes",ROUND((-(SUM(F72:F75)*'Part VII-Pro Forma'!$K$9)),),"Choose mgt fee")))</f>
        <v>-47128</v>
      </c>
      <c r="G78" s="23">
        <f>IF(AND('Part VII-Pro Forma'!$G$8="Yes",'Part VII-Pro Forma'!$G$9="Yes"),"Choose One!",IF('Part VII-Pro Forma'!$G$8="Yes",ROUND((-$K$8*(1+'Part VII-Pro Forma'!$B$6)^('Part VII-Pro Forma'!G71-1)),),IF('Part VII-Pro Forma'!$G$9="Yes",ROUND((-(SUM(G72:G75)*'Part VII-Pro Forma'!$K$9)),),"Choose mgt fee")))</f>
        <v>-48542</v>
      </c>
      <c r="H78" s="23">
        <f>IF(AND('Part VII-Pro Forma'!$G$8="Yes",'Part VII-Pro Forma'!$G$9="Yes"),"Choose One!",IF('Part VII-Pro Forma'!$G$8="Yes",ROUND((-$K$8*(1+'Part VII-Pro Forma'!$B$6)^('Part VII-Pro Forma'!H71-1)),),IF('Part VII-Pro Forma'!$G$9="Yes",ROUND((-(SUM(H72:H75)*'Part VII-Pro Forma'!$K$9)),),"Choose mgt fee")))</f>
        <v>-49998</v>
      </c>
      <c r="I78" s="23">
        <f>IF(AND('Part VII-Pro Forma'!$G$8="Yes",'Part VII-Pro Forma'!$G$9="Yes"),"Choose One!",IF('Part VII-Pro Forma'!$G$8="Yes",ROUND((-$K$8*(1+'Part VII-Pro Forma'!$B$6)^('Part VII-Pro Forma'!I71-1)),),IF('Part VII-Pro Forma'!$G$9="Yes",ROUND((-(SUM(I72:I75)*'Part VII-Pro Forma'!$K$9)),),"Choose mgt fee")))</f>
        <v>-51498</v>
      </c>
      <c r="J78" s="23">
        <f>IF(AND('Part VII-Pro Forma'!$G$8="Yes",'Part VII-Pro Forma'!$G$9="Yes"),"Choose One!",IF('Part VII-Pro Forma'!$G$8="Yes",ROUND((-$K$8*(1+'Part VII-Pro Forma'!$B$6)^('Part VII-Pro Forma'!J71-1)),),IF('Part VII-Pro Forma'!$G$9="Yes",ROUND((-(SUM(J72:J75)*'Part VII-Pro Forma'!$K$9)),),"Choose mgt fee")))</f>
        <v>-53043</v>
      </c>
      <c r="K78" s="23">
        <f>IF(AND('Part VII-Pro Forma'!$G$8="Yes",'Part VII-Pro Forma'!$G$9="Yes"),"Choose One!",IF('Part VII-Pro Forma'!$G$8="Yes",ROUND((-$K$8*(1+'Part VII-Pro Forma'!$B$6)^('Part VII-Pro Forma'!K71-1)),),IF('Part VII-Pro Forma'!$G$9="Yes",ROUND((-(SUM(K72:K75)*'Part VII-Pro Forma'!$K$9)),),"Choose mgt fee")))</f>
        <v>-54635</v>
      </c>
      <c r="M78" s="2457"/>
      <c r="N78" s="2458"/>
    </row>
    <row r="79" spans="1:14" ht="13.15" customHeight="1">
      <c r="A79" s="22" t="s">
        <v>1259</v>
      </c>
      <c r="B79" s="23">
        <f t="shared" ref="B79:K79" si="33">$B$21*(1+$B$7)^(B71-1)</f>
        <v>-26549.835149640374</v>
      </c>
      <c r="C79" s="23">
        <f t="shared" si="33"/>
        <v>-27346.330204129583</v>
      </c>
      <c r="D79" s="23">
        <f t="shared" si="33"/>
        <v>-28166.720110253471</v>
      </c>
      <c r="E79" s="23">
        <f t="shared" si="33"/>
        <v>-29011.721713561077</v>
      </c>
      <c r="F79" s="23">
        <f t="shared" si="33"/>
        <v>-29882.073364967906</v>
      </c>
      <c r="G79" s="23">
        <f t="shared" si="33"/>
        <v>-30778.535565916944</v>
      </c>
      <c r="H79" s="23">
        <f t="shared" si="33"/>
        <v>-31701.891632894458</v>
      </c>
      <c r="I79" s="23">
        <f t="shared" si="33"/>
        <v>-32652.948381881288</v>
      </c>
      <c r="J79" s="23">
        <f t="shared" si="33"/>
        <v>-33632.536833337726</v>
      </c>
      <c r="K79" s="24">
        <f t="shared" si="33"/>
        <v>-34641.512938337852</v>
      </c>
      <c r="M79" s="2457"/>
      <c r="N79" s="2458"/>
    </row>
    <row r="80" spans="1:14" ht="13.15" customHeight="1">
      <c r="A80" s="22" t="s">
        <v>1260</v>
      </c>
      <c r="B80" s="23">
        <f t="shared" ref="B80:K80" si="34">SUM(B72:B79)</f>
        <v>47314.901336382973</v>
      </c>
      <c r="C80" s="23">
        <f t="shared" si="34"/>
        <v>47267.931025229293</v>
      </c>
      <c r="D80" s="23">
        <f t="shared" si="34"/>
        <v>47272.059457715965</v>
      </c>
      <c r="E80" s="23">
        <f t="shared" si="34"/>
        <v>47421.816153211832</v>
      </c>
      <c r="F80" s="23">
        <f t="shared" si="34"/>
        <v>47412.573647808007</v>
      </c>
      <c r="G80" s="23">
        <f t="shared" si="34"/>
        <v>47436.542327441945</v>
      </c>
      <c r="H80" s="23">
        <f t="shared" si="34"/>
        <v>47388.76509686897</v>
      </c>
      <c r="I80" s="23">
        <f t="shared" si="34"/>
        <v>47362.111879370816</v>
      </c>
      <c r="J80" s="23">
        <f t="shared" si="34"/>
        <v>47350.273941939711</v>
      </c>
      <c r="K80" s="24">
        <f t="shared" si="34"/>
        <v>47145.758040509376</v>
      </c>
      <c r="M80" s="2457"/>
      <c r="N80" s="2458"/>
    </row>
    <row r="81" spans="1:14" ht="13.15" customHeight="1">
      <c r="A81" s="22" t="str">
        <f>$A52</f>
        <v>Mortgage A</v>
      </c>
      <c r="B81" s="2590">
        <f>IF('Part III-Sources of Funds'!$N$36="", 0,-'Part III-Sources of Funds'!$N$36)</f>
        <v>-37855</v>
      </c>
      <c r="C81" s="2590">
        <f>IF('Part III-Sources of Funds'!$N$36="", 0,-'Part III-Sources of Funds'!$N$36)</f>
        <v>-37855</v>
      </c>
      <c r="D81" s="2590">
        <f>IF('Part III-Sources of Funds'!$N$36="", 0,-'Part III-Sources of Funds'!$N$36)</f>
        <v>-37855</v>
      </c>
      <c r="E81" s="2590">
        <f>IF('Part III-Sources of Funds'!$N$36="", 0,-'Part III-Sources of Funds'!$N$36)</f>
        <v>-37855</v>
      </c>
      <c r="F81" s="2590">
        <f>IF('Part III-Sources of Funds'!$N$36="", 0,-'Part III-Sources of Funds'!$N$36)</f>
        <v>-37855</v>
      </c>
      <c r="G81" s="2590">
        <f>IF('Part III-Sources of Funds'!$N$36="", 0,-'Part III-Sources of Funds'!$N$36)</f>
        <v>-37855</v>
      </c>
      <c r="H81" s="2590">
        <f>IF('Part III-Sources of Funds'!$N$36="", 0,-'Part III-Sources of Funds'!$N$36)</f>
        <v>-37855</v>
      </c>
      <c r="I81" s="2590">
        <f>IF('Part III-Sources of Funds'!$N$36="", 0,-'Part III-Sources of Funds'!$N$36)</f>
        <v>-37855</v>
      </c>
      <c r="J81" s="2590">
        <f>IF('Part III-Sources of Funds'!$N$36="", 0,-'Part III-Sources of Funds'!$N$36)</f>
        <v>-37855</v>
      </c>
      <c r="K81" s="2590">
        <f>IF('Part III-Sources of Funds'!$N$36="", 0,-'Part III-Sources of Funds'!$N$36)</f>
        <v>-37855</v>
      </c>
      <c r="M81" s="2457"/>
      <c r="N81" s="2458"/>
    </row>
    <row r="82" spans="1:14" ht="13.15" customHeight="1">
      <c r="A82" s="22" t="str">
        <f>$A53</f>
        <v>Mortgage B</v>
      </c>
      <c r="B82" s="2591">
        <f>IF('Part III-Sources of Funds'!$N$37="", 0,-'Part III-Sources of Funds'!$N$37)</f>
        <v>0</v>
      </c>
      <c r="C82" s="2591">
        <f>IF('Part III-Sources of Funds'!$N$37="", 0,-'Part III-Sources of Funds'!$N$37)</f>
        <v>0</v>
      </c>
      <c r="D82" s="2591">
        <f>IF('Part III-Sources of Funds'!$N$37="", 0,-'Part III-Sources of Funds'!$N$37)</f>
        <v>0</v>
      </c>
      <c r="E82" s="2591">
        <f>IF('Part III-Sources of Funds'!$N$37="", 0,-'Part III-Sources of Funds'!$N$37)</f>
        <v>0</v>
      </c>
      <c r="F82" s="2591">
        <f>IF('Part III-Sources of Funds'!$N$37="", 0,-'Part III-Sources of Funds'!$N$37)</f>
        <v>0</v>
      </c>
      <c r="G82" s="2591">
        <f>IF('Part III-Sources of Funds'!$N$37="", 0,-'Part III-Sources of Funds'!$N$37)</f>
        <v>0</v>
      </c>
      <c r="H82" s="2591">
        <f>IF('Part III-Sources of Funds'!$N$37="", 0,-'Part III-Sources of Funds'!$N$37)</f>
        <v>0</v>
      </c>
      <c r="I82" s="2591">
        <f>IF('Part III-Sources of Funds'!$N$37="", 0,-'Part III-Sources of Funds'!$N$37)</f>
        <v>0</v>
      </c>
      <c r="J82" s="2591">
        <f>IF('Part III-Sources of Funds'!$N$37="", 0,-'Part III-Sources of Funds'!$N$37)</f>
        <v>0</v>
      </c>
      <c r="K82" s="2591">
        <f>IF('Part III-Sources of Funds'!$N$37="", 0,-'Part III-Sources of Funds'!$N$37)</f>
        <v>0</v>
      </c>
      <c r="M82" s="2457"/>
      <c r="N82" s="2458"/>
    </row>
    <row r="83" spans="1:14" ht="13.15" customHeight="1">
      <c r="A83" s="22" t="str">
        <f>$A54</f>
        <v>Mortgage C</v>
      </c>
      <c r="B83" s="2591">
        <f>IF('Part III-Sources of Funds'!$N$38="", 0,-'Part III-Sources of Funds'!$N$38)</f>
        <v>0</v>
      </c>
      <c r="C83" s="2591">
        <f>IF('Part III-Sources of Funds'!$N$38="", 0,-'Part III-Sources of Funds'!$N$38)</f>
        <v>0</v>
      </c>
      <c r="D83" s="2591">
        <f>IF('Part III-Sources of Funds'!$N$38="", 0,-'Part III-Sources of Funds'!$N$38)</f>
        <v>0</v>
      </c>
      <c r="E83" s="2591">
        <f>IF('Part III-Sources of Funds'!$N$38="", 0,-'Part III-Sources of Funds'!$N$38)</f>
        <v>0</v>
      </c>
      <c r="F83" s="2591">
        <f>IF('Part III-Sources of Funds'!$N$38="", 0,-'Part III-Sources of Funds'!$N$38)</f>
        <v>0</v>
      </c>
      <c r="G83" s="2591">
        <f>IF('Part III-Sources of Funds'!$N$38="", 0,-'Part III-Sources of Funds'!$N$38)</f>
        <v>0</v>
      </c>
      <c r="H83" s="2591">
        <f>IF('Part III-Sources of Funds'!$N$38="", 0,-'Part III-Sources of Funds'!$N$38)</f>
        <v>0</v>
      </c>
      <c r="I83" s="2591">
        <f>IF('Part III-Sources of Funds'!$N$38="", 0,-'Part III-Sources of Funds'!$N$38)</f>
        <v>0</v>
      </c>
      <c r="J83" s="2591">
        <f>IF('Part III-Sources of Funds'!$N$38="", 0,-'Part III-Sources of Funds'!$N$38)</f>
        <v>0</v>
      </c>
      <c r="K83" s="2591">
        <f>IF('Part III-Sources of Funds'!$N$38="", 0,-'Part III-Sources of Funds'!$N$38)</f>
        <v>0</v>
      </c>
      <c r="M83" s="2457"/>
      <c r="N83" s="2458"/>
    </row>
    <row r="84" spans="1:14" ht="13.15" customHeight="1">
      <c r="A84" s="22" t="str">
        <f>$A55</f>
        <v>D/S Other Source</v>
      </c>
      <c r="B84" s="2591">
        <f>IF('Part III-Sources of Funds'!$N$39="", 0,-'Part III-Sources of Funds'!$N$39)</f>
        <v>0</v>
      </c>
      <c r="C84" s="2591">
        <f>IF('Part III-Sources of Funds'!$N$39="", 0,-'Part III-Sources of Funds'!$N$39)</f>
        <v>0</v>
      </c>
      <c r="D84" s="2591">
        <f>IF('Part III-Sources of Funds'!$N$39="", 0,-'Part III-Sources of Funds'!$N$39)</f>
        <v>0</v>
      </c>
      <c r="E84" s="2591">
        <f>IF('Part III-Sources of Funds'!$N$39="", 0,-'Part III-Sources of Funds'!$N$39)</f>
        <v>0</v>
      </c>
      <c r="F84" s="2591">
        <f>IF('Part III-Sources of Funds'!$N$39="", 0,-'Part III-Sources of Funds'!$N$39)</f>
        <v>0</v>
      </c>
      <c r="G84" s="2591">
        <f>IF('Part III-Sources of Funds'!$N$39="", 0,-'Part III-Sources of Funds'!$N$39)</f>
        <v>0</v>
      </c>
      <c r="H84" s="2591">
        <f>IF('Part III-Sources of Funds'!$N$39="", 0,-'Part III-Sources of Funds'!$N$39)</f>
        <v>0</v>
      </c>
      <c r="I84" s="2591">
        <f>IF('Part III-Sources of Funds'!$N$39="", 0,-'Part III-Sources of Funds'!$N$39)</f>
        <v>0</v>
      </c>
      <c r="J84" s="2591">
        <f>IF('Part III-Sources of Funds'!$N$39="", 0,-'Part III-Sources of Funds'!$N$39)</f>
        <v>0</v>
      </c>
      <c r="K84" s="2591">
        <f>IF('Part III-Sources of Funds'!$N$39="", 0,-'Part III-Sources of Funds'!$N$39)</f>
        <v>0</v>
      </c>
      <c r="M84" s="2457"/>
      <c r="N84" s="2458"/>
    </row>
    <row r="85" spans="1:14" ht="13.15" customHeight="1">
      <c r="A85" s="22" t="s">
        <v>803</v>
      </c>
      <c r="B85" s="2592"/>
      <c r="C85" s="2592"/>
      <c r="D85" s="2592"/>
      <c r="E85" s="2592"/>
      <c r="F85" s="2592"/>
      <c r="G85" s="2592"/>
      <c r="H85" s="2592"/>
      <c r="I85" s="2592"/>
      <c r="J85" s="2592"/>
      <c r="K85" s="2592"/>
      <c r="M85" s="2457"/>
      <c r="N85" s="2458"/>
    </row>
    <row r="86" spans="1:14" ht="13.15" customHeight="1">
      <c r="A86" s="22" t="s">
        <v>1218</v>
      </c>
      <c r="B86" s="2591">
        <f>+K57</f>
        <v>0</v>
      </c>
      <c r="C86" s="2591">
        <f t="shared" ref="C86:K86" si="35">+B86</f>
        <v>0</v>
      </c>
      <c r="D86" s="2591">
        <f t="shared" si="35"/>
        <v>0</v>
      </c>
      <c r="E86" s="2591">
        <f t="shared" si="35"/>
        <v>0</v>
      </c>
      <c r="F86" s="2591">
        <f t="shared" si="35"/>
        <v>0</v>
      </c>
      <c r="G86" s="2591">
        <f t="shared" si="35"/>
        <v>0</v>
      </c>
      <c r="H86" s="2591">
        <f t="shared" si="35"/>
        <v>0</v>
      </c>
      <c r="I86" s="2591">
        <f t="shared" si="35"/>
        <v>0</v>
      </c>
      <c r="J86" s="2591">
        <f t="shared" si="35"/>
        <v>0</v>
      </c>
      <c r="K86" s="2591">
        <f t="shared" si="35"/>
        <v>0</v>
      </c>
      <c r="M86" s="2457"/>
      <c r="N86" s="2458"/>
    </row>
    <row r="87" spans="1:14" ht="13.15" customHeight="1">
      <c r="A87" s="22" t="s">
        <v>1261</v>
      </c>
      <c r="B87" s="2593">
        <f>IF('Part III-Sources of Funds'!$N$41="", 0,-'Part III-Sources of Funds'!$N$41)</f>
        <v>0</v>
      </c>
      <c r="C87" s="2593">
        <f>IF('Part III-Sources of Funds'!$N$41="", 0,-'Part III-Sources of Funds'!$N$41)</f>
        <v>0</v>
      </c>
      <c r="D87" s="2593">
        <f>IF('Part III-Sources of Funds'!$N$41="", 0,-'Part III-Sources of Funds'!$N$41)</f>
        <v>0</v>
      </c>
      <c r="E87" s="2593">
        <f>IF('Part III-Sources of Funds'!$N$41="", 0,-'Part III-Sources of Funds'!$N$41)</f>
        <v>0</v>
      </c>
      <c r="F87" s="2593">
        <f>IF('Part III-Sources of Funds'!$N$41="", 0,-'Part III-Sources of Funds'!$N$41)</f>
        <v>0</v>
      </c>
      <c r="G87" s="2593">
        <f>IF('Part III-Sources of Funds'!$N$41="", 0,-'Part III-Sources of Funds'!$N$41)</f>
        <v>0</v>
      </c>
      <c r="H87" s="2593">
        <f>IF('Part III-Sources of Funds'!$N$41="", 0,-'Part III-Sources of Funds'!$N$41)</f>
        <v>0</v>
      </c>
      <c r="I87" s="2593">
        <f>IF('Part III-Sources of Funds'!$N$41="", 0,-'Part III-Sources of Funds'!$N$41)</f>
        <v>0</v>
      </c>
      <c r="J87" s="2593">
        <f>IF('Part III-Sources of Funds'!$N$41="", 0,-'Part III-Sources of Funds'!$N$41)</f>
        <v>0</v>
      </c>
      <c r="K87" s="2591">
        <f>IF('Part III-Sources of Funds'!$N$41="", 0,-'Part III-Sources of Funds'!$N$41)</f>
        <v>0</v>
      </c>
      <c r="M87" s="2457"/>
      <c r="N87" s="2458"/>
    </row>
    <row r="88" spans="1:14" ht="13.15" customHeight="1">
      <c r="A88" s="22" t="s">
        <v>1219</v>
      </c>
      <c r="B88" s="23">
        <f t="shared" ref="B88:K88" si="36">SUM(B80:B87)</f>
        <v>9459.9013363829727</v>
      </c>
      <c r="C88" s="23">
        <f t="shared" si="36"/>
        <v>9412.9310252292926</v>
      </c>
      <c r="D88" s="23">
        <f t="shared" si="36"/>
        <v>9417.0594577159645</v>
      </c>
      <c r="E88" s="23">
        <f t="shared" si="36"/>
        <v>9566.816153211832</v>
      </c>
      <c r="F88" s="23">
        <f t="shared" si="36"/>
        <v>9557.5736478080071</v>
      </c>
      <c r="G88" s="23">
        <f t="shared" si="36"/>
        <v>9581.5423274419445</v>
      </c>
      <c r="H88" s="23">
        <f t="shared" si="36"/>
        <v>9533.7650968689704</v>
      </c>
      <c r="I88" s="23">
        <f t="shared" si="36"/>
        <v>9507.1118793708156</v>
      </c>
      <c r="J88" s="23">
        <f t="shared" si="36"/>
        <v>9495.2739419397112</v>
      </c>
      <c r="K88" s="21">
        <f t="shared" si="36"/>
        <v>9290.7580405093759</v>
      </c>
      <c r="M88" s="2457"/>
      <c r="N88" s="2458"/>
    </row>
    <row r="89" spans="1:14" ht="13.15" customHeight="1">
      <c r="A89" s="22" t="str">
        <f>$A60</f>
        <v>DCR Mortgage A</v>
      </c>
      <c r="B89" s="25">
        <f>IF(B81=0,"",-B80/B81)</f>
        <v>1.2498983314326502</v>
      </c>
      <c r="C89" s="25">
        <f t="shared" ref="C89:K89" si="37">IF(C81=0,"",-C80/C81)</f>
        <v>1.2486575359986605</v>
      </c>
      <c r="D89" s="25">
        <f t="shared" si="37"/>
        <v>1.2487665951054276</v>
      </c>
      <c r="E89" s="25">
        <f t="shared" si="37"/>
        <v>1.2527226562729317</v>
      </c>
      <c r="F89" s="25">
        <f t="shared" si="37"/>
        <v>1.2524785008006343</v>
      </c>
      <c r="G89" s="25">
        <f t="shared" si="37"/>
        <v>1.2531116715742159</v>
      </c>
      <c r="H89" s="25">
        <f t="shared" si="37"/>
        <v>1.2518495600810717</v>
      </c>
      <c r="I89" s="25">
        <f t="shared" si="37"/>
        <v>1.2511454729724163</v>
      </c>
      <c r="J89" s="25">
        <f t="shared" si="37"/>
        <v>1.2508327550373719</v>
      </c>
      <c r="K89" s="26">
        <f t="shared" si="37"/>
        <v>1.2454301423988741</v>
      </c>
      <c r="M89" s="2457"/>
      <c r="N89" s="2458"/>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457"/>
      <c r="N90" s="2458"/>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457"/>
      <c r="N91" s="2458"/>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457"/>
      <c r="N92" s="2458"/>
    </row>
    <row r="93" spans="1:14" ht="13.15" customHeight="1">
      <c r="A93" s="22" t="s">
        <v>810</v>
      </c>
      <c r="B93" s="296">
        <f>IF(OR(B78="Choose mgt fee",B78="Choose One!"),"",(B72+B73+B74+B75+B76) / -(B77+B78+B79))</f>
        <v>1.1619564473087607</v>
      </c>
      <c r="C93" s="296">
        <f t="shared" ref="C93:K93" si="41">IF(OR(C78="Choose mgt fee",C78="Choose One!"),"",(C72+C73+C74+C75+C76) / -(C77+C78+C79))</f>
        <v>1.1570832743072128</v>
      </c>
      <c r="D93" s="296">
        <f t="shared" si="41"/>
        <v>1.1525212895519372</v>
      </c>
      <c r="E93" s="296">
        <f t="shared" si="41"/>
        <v>1.1485478879451887</v>
      </c>
      <c r="F93" s="296">
        <f t="shared" si="41"/>
        <v>1.144193439929001</v>
      </c>
      <c r="G93" s="296">
        <f t="shared" si="41"/>
        <v>1.1400643364034382</v>
      </c>
      <c r="H93" s="296">
        <f t="shared" si="41"/>
        <v>1.1358479324441833</v>
      </c>
      <c r="I93" s="296">
        <f t="shared" si="41"/>
        <v>1.1318169939836926</v>
      </c>
      <c r="J93" s="296">
        <f t="shared" si="41"/>
        <v>1.1279456559023453</v>
      </c>
      <c r="K93" s="297">
        <f t="shared" si="41"/>
        <v>1.1236823243928127</v>
      </c>
      <c r="M93" s="2457"/>
      <c r="N93" s="2458"/>
    </row>
    <row r="94" spans="1:14" ht="13.15" customHeight="1">
      <c r="A94" s="471" t="s">
        <v>2744</v>
      </c>
      <c r="B94" s="2594">
        <f>IF('Part III-Sources of Funds'!$I$36="","",-FV('Part III-Sources of Funds'!$K$36/12,12,B81/12,K65))</f>
        <v>755752.95776606002</v>
      </c>
      <c r="C94" s="2594">
        <f>IF('Part III-Sources of Funds'!$I$36="","",-FV('Part III-Sources of Funds'!$K$36/12,12,C81/12,B94))</f>
        <v>725316.2374817268</v>
      </c>
      <c r="D94" s="2594">
        <f>IF('Part III-Sources of Funds'!$I$36="","",-FV('Part III-Sources of Funds'!$K$36/12,12,D81/12,C94))</f>
        <v>694573.75109588308</v>
      </c>
      <c r="E94" s="2594">
        <f>IF('Part III-Sources of Funds'!$I$36="","",-FV('Part III-Sources of Funds'!$K$36/12,12,E81/12,D94))</f>
        <v>663522.42689423251</v>
      </c>
      <c r="F94" s="2594">
        <f>IF('Part III-Sources of Funds'!$I$36="","",-FV('Part III-Sources of Funds'!$K$36/12,12,F81/12,E94))</f>
        <v>632159.16230415704</v>
      </c>
      <c r="G94" s="2594">
        <f>IF('Part III-Sources of Funds'!$I$36="","",-FV('Part III-Sources of Funds'!$K$36/12,12,G81/12,F94))</f>
        <v>600480.82358471537</v>
      </c>
      <c r="H94" s="2594">
        <f>IF('Part III-Sources of Funds'!$I$36="","",-FV('Part III-Sources of Funds'!$K$36/12,12,H81/12,G94))</f>
        <v>568484.2455135273</v>
      </c>
      <c r="I94" s="2594">
        <f>IF('Part III-Sources of Funds'!$I$36="","",-FV('Part III-Sources of Funds'!$K$36/12,12,I81/12,H94))</f>
        <v>536166.23107051244</v>
      </c>
      <c r="J94" s="2594">
        <f>IF('Part III-Sources of Funds'!$I$36="","",-FV('Part III-Sources of Funds'!$K$36/12,12,J81/12,I94))</f>
        <v>503523.55111845181</v>
      </c>
      <c r="K94" s="2594">
        <f>IF('Part III-Sources of Funds'!$I$36="","",-FV('Part III-Sources of Funds'!$K$36/12,12,K81/12,J94))</f>
        <v>470552.94408033998</v>
      </c>
      <c r="M94" s="2457"/>
      <c r="N94" s="2458"/>
    </row>
    <row r="95" spans="1:14" ht="13.15" customHeight="1">
      <c r="A95" s="471" t="s">
        <v>2745</v>
      </c>
      <c r="B95" s="2591" t="str">
        <f>IF('Part III-Sources of Funds'!$I$37="","",-FV('Part III-Sources of Funds'!$K$37/12,12,B82/12,K66))</f>
        <v/>
      </c>
      <c r="C95" s="2591" t="str">
        <f>IF('Part III-Sources of Funds'!$I$37="","",-FV('Part III-Sources of Funds'!$K$37/12,12,C82/12,B95))</f>
        <v/>
      </c>
      <c r="D95" s="2591" t="str">
        <f>IF('Part III-Sources of Funds'!$I$37="","",-FV('Part III-Sources of Funds'!$K$37/12,12,D82/12,C95))</f>
        <v/>
      </c>
      <c r="E95" s="2591" t="str">
        <f>IF('Part III-Sources of Funds'!$I$37="","",-FV('Part III-Sources of Funds'!$K$37/12,12,E82/12,D95))</f>
        <v/>
      </c>
      <c r="F95" s="2591" t="str">
        <f>IF('Part III-Sources of Funds'!$I$37="","",-FV('Part III-Sources of Funds'!$K$37/12,12,F82/12,E95))</f>
        <v/>
      </c>
      <c r="G95" s="2591" t="str">
        <f>IF('Part III-Sources of Funds'!$I$37="","",-FV('Part III-Sources of Funds'!$K$37/12,12,G82/12,F95))</f>
        <v/>
      </c>
      <c r="H95" s="2591" t="str">
        <f>IF('Part III-Sources of Funds'!$I$37="","",-FV('Part III-Sources of Funds'!$K$37/12,12,H82/12,G95))</f>
        <v/>
      </c>
      <c r="I95" s="2591" t="str">
        <f>IF('Part III-Sources of Funds'!$I$37="","",-FV('Part III-Sources of Funds'!$K$37/12,12,I82/12,H95))</f>
        <v/>
      </c>
      <c r="J95" s="2591" t="str">
        <f>IF('Part III-Sources of Funds'!$I$37="","",-FV('Part III-Sources of Funds'!$K$37/12,12,J82/12,I95))</f>
        <v/>
      </c>
      <c r="K95" s="2591" t="str">
        <f>IF('Part III-Sources of Funds'!$I$37="","",-FV('Part III-Sources of Funds'!$K$37/12,12,K82/12,J95))</f>
        <v/>
      </c>
      <c r="M95" s="2457"/>
      <c r="N95" s="2458"/>
    </row>
    <row r="96" spans="1:14" ht="13.15" customHeight="1">
      <c r="A96" s="471" t="s">
        <v>2746</v>
      </c>
      <c r="B96" s="2591" t="str">
        <f>IF('Part III-Sources of Funds'!$I$38="","",-FV('Part III-Sources of Funds'!$K$38/12,12,B83/12,K67))</f>
        <v/>
      </c>
      <c r="C96" s="2591" t="str">
        <f>IF('Part III-Sources of Funds'!$I$38="","",-FV('Part III-Sources of Funds'!$K$38/12,12,C83/12,B96))</f>
        <v/>
      </c>
      <c r="D96" s="2591" t="str">
        <f>IF('Part III-Sources of Funds'!$I$38="","",-FV('Part III-Sources of Funds'!$K$38/12,12,D83/12,C96))</f>
        <v/>
      </c>
      <c r="E96" s="2591" t="str">
        <f>IF('Part III-Sources of Funds'!$I$38="","",-FV('Part III-Sources of Funds'!$K$38/12,12,E83/12,D96))</f>
        <v/>
      </c>
      <c r="F96" s="2591" t="str">
        <f>IF('Part III-Sources of Funds'!$I$38="","",-FV('Part III-Sources of Funds'!$K$38/12,12,F83/12,E96))</f>
        <v/>
      </c>
      <c r="G96" s="2591" t="str">
        <f>IF('Part III-Sources of Funds'!$I$38="","",-FV('Part III-Sources of Funds'!$K$38/12,12,G83/12,F96))</f>
        <v/>
      </c>
      <c r="H96" s="2591" t="str">
        <f>IF('Part III-Sources of Funds'!$I$38="","",-FV('Part III-Sources of Funds'!$K$38/12,12,H83/12,G96))</f>
        <v/>
      </c>
      <c r="I96" s="2591" t="str">
        <f>IF('Part III-Sources of Funds'!$I$38="","",-FV('Part III-Sources of Funds'!$K$38/12,12,I83/12,H96))</f>
        <v/>
      </c>
      <c r="J96" s="2591" t="str">
        <f>IF('Part III-Sources of Funds'!$I$38="","",-FV('Part III-Sources of Funds'!$K$38/12,12,J83/12,I96))</f>
        <v/>
      </c>
      <c r="K96" s="2591" t="str">
        <f>IF('Part III-Sources of Funds'!$I$38="","",-FV('Part III-Sources of Funds'!$K$38/12,12,K83/12,J96))</f>
        <v/>
      </c>
      <c r="M96" s="2457"/>
      <c r="N96" s="2458"/>
    </row>
    <row r="97" spans="1:14" ht="13.15" customHeight="1">
      <c r="A97" s="22" t="s">
        <v>825</v>
      </c>
      <c r="B97" s="2591" t="str">
        <f>IF('Part III-Sources of Funds'!$I$39="","",-FV('Part III-Sources of Funds'!$K$39/12,12,B84/12,K68))</f>
        <v/>
      </c>
      <c r="C97" s="2591" t="str">
        <f>IF('Part III-Sources of Funds'!$I$39="","",-FV('Part III-Sources of Funds'!$K$39/12,12,C84/12,B97))</f>
        <v/>
      </c>
      <c r="D97" s="2591" t="str">
        <f>IF('Part III-Sources of Funds'!$I$39="","",-FV('Part III-Sources of Funds'!$K$39/12,12,D84/12,C97))</f>
        <v/>
      </c>
      <c r="E97" s="2591" t="str">
        <f>IF('Part III-Sources of Funds'!$I$39="","",-FV('Part III-Sources of Funds'!$K$39/12,12,E84/12,D97))</f>
        <v/>
      </c>
      <c r="F97" s="2591" t="str">
        <f>IF('Part III-Sources of Funds'!$I$39="","",-FV('Part III-Sources of Funds'!$K$39/12,12,F84/12,E97))</f>
        <v/>
      </c>
      <c r="G97" s="2591" t="str">
        <f>IF('Part III-Sources of Funds'!$I$39="","",-FV('Part III-Sources of Funds'!$K$39/12,12,G84/12,F97))</f>
        <v/>
      </c>
      <c r="H97" s="2591" t="str">
        <f>IF('Part III-Sources of Funds'!$I$39="","",-FV('Part III-Sources of Funds'!$K$39/12,12,H84/12,G97))</f>
        <v/>
      </c>
      <c r="I97" s="2591" t="str">
        <f>IF('Part III-Sources of Funds'!$I$39="","",-FV('Part III-Sources of Funds'!$K$39/12,12,I84/12,H97))</f>
        <v/>
      </c>
      <c r="J97" s="2591" t="str">
        <f>IF('Part III-Sources of Funds'!$I$39="","",-FV('Part III-Sources of Funds'!$K$39/12,12,J84/12,I97))</f>
        <v/>
      </c>
      <c r="K97" s="2591" t="str">
        <f>IF('Part III-Sources of Funds'!$I$39="","",-FV('Part III-Sources of Funds'!$K$39/12,12,K84/12,J97))</f>
        <v/>
      </c>
      <c r="M97" s="2457"/>
      <c r="N97" s="2458"/>
    </row>
    <row r="98" spans="1:14" ht="13.15" customHeight="1">
      <c r="A98" s="27" t="s">
        <v>1296</v>
      </c>
      <c r="B98" s="2593" t="str">
        <f>IF('Part III-Sources of Funds'!$I$41="","",-FV('Part III-Sources of Funds'!$K$41/12,12,B87/12,K69))</f>
        <v/>
      </c>
      <c r="C98" s="2593" t="str">
        <f>IF('Part III-Sources of Funds'!$I$41="","",-FV('Part III-Sources of Funds'!$K$41/12,12,C87/12,B98))</f>
        <v/>
      </c>
      <c r="D98" s="2593" t="str">
        <f>IF('Part III-Sources of Funds'!$I$41="","",-FV('Part III-Sources of Funds'!$K$41/12,12,D87/12,C98))</f>
        <v/>
      </c>
      <c r="E98" s="2593" t="str">
        <f>IF('Part III-Sources of Funds'!$I$41="","",-FV('Part III-Sources of Funds'!$K$41/12,12,E87/12,D98))</f>
        <v/>
      </c>
      <c r="F98" s="2593" t="str">
        <f>IF('Part III-Sources of Funds'!$I$41="","",-FV('Part III-Sources of Funds'!$K$41/12,12,F87/12,E98))</f>
        <v/>
      </c>
      <c r="G98" s="2593" t="str">
        <f>IF('Part III-Sources of Funds'!$I$41="","",-FV('Part III-Sources of Funds'!$K$41/12,12,G87/12,F98))</f>
        <v/>
      </c>
      <c r="H98" s="2593" t="str">
        <f>IF('Part III-Sources of Funds'!$I$41="","",-FV('Part III-Sources of Funds'!$K$41/12,12,H87/12,G98))</f>
        <v/>
      </c>
      <c r="I98" s="2593" t="str">
        <f>IF('Part III-Sources of Funds'!$I$41="","",-FV('Part III-Sources of Funds'!$K$41/12,12,I87/12,H98))</f>
        <v/>
      </c>
      <c r="J98" s="2593" t="str">
        <f>IF('Part III-Sources of Funds'!$I$41="","",-FV('Part III-Sources of Funds'!$K$41/12,12,J87/12,I98))</f>
        <v/>
      </c>
      <c r="K98" s="2593" t="str">
        <f>IF('Part III-Sources of Funds'!$I$41="","",-FV('Part III-Sources of Funds'!$K$41/12,12,K87/12,J98))</f>
        <v/>
      </c>
      <c r="M98" s="2460"/>
      <c r="N98" s="2461"/>
    </row>
    <row r="99" spans="1:14" ht="4.1500000000000004" customHeight="1">
      <c r="B99" s="18"/>
      <c r="C99" s="18"/>
      <c r="D99" s="18"/>
      <c r="E99" s="18"/>
      <c r="F99" s="18"/>
      <c r="G99" s="18"/>
      <c r="H99" s="18"/>
      <c r="I99" s="18"/>
      <c r="J99" s="18"/>
      <c r="K99" s="18"/>
    </row>
    <row r="100" spans="1:14" ht="14.45" customHeight="1">
      <c r="A100" s="14" t="s">
        <v>2602</v>
      </c>
      <c r="B100" s="16">
        <f>K71+1</f>
        <v>31</v>
      </c>
      <c r="C100" s="16">
        <f>B100+1</f>
        <v>32</v>
      </c>
      <c r="D100" s="16">
        <f>C100+1</f>
        <v>33</v>
      </c>
      <c r="E100" s="16">
        <f>D100+1</f>
        <v>34</v>
      </c>
      <c r="F100" s="16">
        <f>E100+1</f>
        <v>35</v>
      </c>
      <c r="G100" s="18"/>
      <c r="H100" s="18"/>
      <c r="I100" s="18"/>
      <c r="J100" s="18"/>
      <c r="K100" s="18"/>
      <c r="M100" s="1449" t="s">
        <v>2750</v>
      </c>
      <c r="N100" s="1449"/>
    </row>
    <row r="101" spans="1:14" ht="13.15" customHeight="1">
      <c r="A101" s="19" t="s">
        <v>2521</v>
      </c>
      <c r="B101" s="20">
        <f>$B$14*(1+$B$5)^(B100-1)</f>
        <v>367344.12925616006</v>
      </c>
      <c r="C101" s="20">
        <f>$B$14*(1+$B$5)^(C100-1)</f>
        <v>374691.01184128318</v>
      </c>
      <c r="D101" s="20">
        <f>$B$14*(1+$B$5)^(D100-1)</f>
        <v>382184.83207810891</v>
      </c>
      <c r="E101" s="20">
        <f>$B$14*(1+$B$5)^(E100-1)</f>
        <v>389828.52871967113</v>
      </c>
      <c r="F101" s="899">
        <f>$B$14*(1+$B$5)^(F100-1)</f>
        <v>397625.09929406451</v>
      </c>
      <c r="G101" s="18"/>
      <c r="H101" s="18"/>
      <c r="I101" s="18"/>
      <c r="J101" s="18"/>
      <c r="K101" s="18"/>
      <c r="M101" s="2455"/>
      <c r="N101" s="2456"/>
    </row>
    <row r="102" spans="1:14" ht="13.15" customHeight="1">
      <c r="A102" s="22" t="s">
        <v>1065</v>
      </c>
      <c r="B102" s="23">
        <f>$B$15*(1+$B$5)^(B100-1)</f>
        <v>7346.8825851232014</v>
      </c>
      <c r="C102" s="23">
        <f>$B$15*(1+$B$5)^(C100-1)</f>
        <v>7493.8202368256643</v>
      </c>
      <c r="D102" s="23">
        <f>$B$15*(1+$B$5)^(D100-1)</f>
        <v>7643.6966415621791</v>
      </c>
      <c r="E102" s="23">
        <f>$B$15*(1+$B$5)^(E100-1)</f>
        <v>7796.5705743934232</v>
      </c>
      <c r="F102" s="24">
        <f>$B$15*(1+$B$5)^(F100-1)</f>
        <v>7952.5019858812902</v>
      </c>
      <c r="G102" s="18"/>
      <c r="H102" s="18"/>
      <c r="I102" s="18"/>
      <c r="J102" s="18"/>
      <c r="K102" s="18"/>
      <c r="M102" s="2457"/>
      <c r="N102" s="2458"/>
    </row>
    <row r="103" spans="1:14" ht="13.15" customHeight="1">
      <c r="A103" s="22" t="s">
        <v>2522</v>
      </c>
      <c r="B103" s="23">
        <f>-(B101+B102)*$B$8</f>
        <v>-26228.370828889831</v>
      </c>
      <c r="C103" s="23">
        <f>-(C101+C102)*$B$8</f>
        <v>-26752.938245467623</v>
      </c>
      <c r="D103" s="23">
        <f>-(D101+D102)*$B$8</f>
        <v>-27287.997010376977</v>
      </c>
      <c r="E103" s="23">
        <f>-(E101+E102)*$B$8</f>
        <v>-27833.756950584524</v>
      </c>
      <c r="F103" s="24">
        <f>-(F101+F102)*$B$8</f>
        <v>-28390.432089596208</v>
      </c>
      <c r="G103" s="18"/>
      <c r="H103" s="18"/>
      <c r="I103" s="18"/>
      <c r="J103" s="18"/>
      <c r="K103" s="18"/>
      <c r="M103" s="2457"/>
      <c r="N103" s="2458"/>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57"/>
      <c r="N104" s="2458"/>
    </row>
    <row r="105" spans="1:14" ht="13.15" customHeight="1">
      <c r="A105" s="22" t="s">
        <v>55</v>
      </c>
      <c r="B105" s="23">
        <f>'Part VI-Revenues &amp; Expenses'!G161</f>
        <v>91300</v>
      </c>
      <c r="C105" s="23">
        <f>'Part VI-Revenues &amp; Expenses'!H161</f>
        <v>96200</v>
      </c>
      <c r="D105" s="23">
        <f>'Part VI-Revenues &amp; Expenses'!I161</f>
        <v>101200</v>
      </c>
      <c r="E105" s="23">
        <f>'Part VI-Revenues &amp; Expenses'!J161</f>
        <v>106500</v>
      </c>
      <c r="F105" s="24">
        <f>'Part VI-Revenues &amp; Expenses'!K161</f>
        <v>112000</v>
      </c>
      <c r="G105" s="18"/>
      <c r="H105" s="18"/>
      <c r="I105" s="18"/>
      <c r="J105" s="18"/>
      <c r="K105" s="18"/>
      <c r="M105" s="2457"/>
      <c r="N105" s="2458"/>
    </row>
    <row r="106" spans="1:14" ht="13.15" customHeight="1">
      <c r="A106" s="22" t="s">
        <v>644</v>
      </c>
      <c r="B106" s="23">
        <f>$B$19*(1+$B$6)^(B100-1)</f>
        <v>-300665.00230626308</v>
      </c>
      <c r="C106" s="23">
        <f>$B$19*(1+$B$6)^(C100-1)</f>
        <v>-309684.95237545104</v>
      </c>
      <c r="D106" s="23">
        <f>$B$19*(1+$B$6)^(D100-1)</f>
        <v>-318975.50094671448</v>
      </c>
      <c r="E106" s="23">
        <f>$B$19*(1+$B$6)^(E100-1)</f>
        <v>-328544.76597511594</v>
      </c>
      <c r="F106" s="24">
        <f>$B$19*(1+$B$6)^(F100-1)</f>
        <v>-338401.10895436938</v>
      </c>
      <c r="G106" s="18"/>
      <c r="H106" s="18"/>
      <c r="I106" s="18"/>
      <c r="J106" s="18"/>
      <c r="K106" s="18"/>
      <c r="M106" s="2457"/>
      <c r="N106" s="2458"/>
    </row>
    <row r="107" spans="1:14" ht="13.15" customHeight="1">
      <c r="A107" s="22" t="s">
        <v>1165</v>
      </c>
      <c r="B107" s="23">
        <f>IF(AND('Part VII-Pro Forma'!$G$8="Yes",'Part VII-Pro Forma'!$G$9="Yes"),"Choose One!",IF('Part VII-Pro Forma'!$G$8="Yes",ROUND((-$K$8*(1+'Part VII-Pro Forma'!$B$6)^('Part VII-Pro Forma'!B100-1)),),IF('Part VII-Pro Forma'!$G$9="Yes",ROUND((-(SUM(B101:B104)*'Part VII-Pro Forma'!$K$9)),),"Choose mgt fee")))</f>
        <v>-56274</v>
      </c>
      <c r="C107" s="23">
        <f>IF(AND('Part VII-Pro Forma'!$G$8="Yes",'Part VII-Pro Forma'!$G$9="Yes"),"Choose One!",IF('Part VII-Pro Forma'!$G$8="Yes",ROUND((-$K$8*(1+'Part VII-Pro Forma'!$B$6)^('Part VII-Pro Forma'!C100-1)),),IF('Part VII-Pro Forma'!$G$9="Yes",ROUND((-(SUM(C101:C104)*'Part VII-Pro Forma'!$K$9)),),"Choose mgt fee")))</f>
        <v>-57962</v>
      </c>
      <c r="D107" s="23">
        <f>IF(AND('Part VII-Pro Forma'!$G$8="Yes",'Part VII-Pro Forma'!$G$9="Yes"),"Choose One!",IF('Part VII-Pro Forma'!$G$8="Yes",ROUND((-$K$8*(1+'Part VII-Pro Forma'!$B$6)^('Part VII-Pro Forma'!D100-1)),),IF('Part VII-Pro Forma'!$G$9="Yes",ROUND((-(SUM(D101:D104)*'Part VII-Pro Forma'!$K$9)),),"Choose mgt fee")))</f>
        <v>-59701</v>
      </c>
      <c r="E107" s="23">
        <f>IF(AND('Part VII-Pro Forma'!$G$8="Yes",'Part VII-Pro Forma'!$G$9="Yes"),"Choose One!",IF('Part VII-Pro Forma'!$G$8="Yes",ROUND((-$K$8*(1+'Part VII-Pro Forma'!$B$6)^('Part VII-Pro Forma'!E100-1)),),IF('Part VII-Pro Forma'!$G$9="Yes",ROUND((-(SUM(E101:E104)*'Part VII-Pro Forma'!$K$9)),),"Choose mgt fee")))</f>
        <v>-61492</v>
      </c>
      <c r="F107" s="24">
        <f>IF(AND('Part VII-Pro Forma'!$G$8="Yes",'Part VII-Pro Forma'!$G$9="Yes"),"Choose One!",IF('Part VII-Pro Forma'!$G$8="Yes",ROUND((-$K$8*(1+'Part VII-Pro Forma'!$B$6)^('Part VII-Pro Forma'!F100-1)),),IF('Part VII-Pro Forma'!$G$9="Yes",ROUND((-(SUM(F101:F104)*'Part VII-Pro Forma'!$K$9)),),"Choose mgt fee")))</f>
        <v>-63336</v>
      </c>
      <c r="G107" s="18"/>
      <c r="H107" s="18"/>
      <c r="I107" s="18"/>
      <c r="J107" s="18"/>
      <c r="K107" s="18"/>
      <c r="M107" s="2457"/>
      <c r="N107" s="2458"/>
    </row>
    <row r="108" spans="1:14" ht="13.15" customHeight="1">
      <c r="A108" s="22" t="s">
        <v>1259</v>
      </c>
      <c r="B108" s="23">
        <f>$B$21*(1+$B$7)^(B100-1)</f>
        <v>-35680.758326487987</v>
      </c>
      <c r="C108" s="23">
        <f>$B$21*(1+$B$7)^(C100-1)</f>
        <v>-36751.181076282635</v>
      </c>
      <c r="D108" s="23">
        <f>$B$21*(1+$B$7)^(D100-1)</f>
        <v>-37853.716508571109</v>
      </c>
      <c r="E108" s="23">
        <f>$B$21*(1+$B$7)^(E100-1)</f>
        <v>-38989.328003828239</v>
      </c>
      <c r="F108" s="24">
        <f>$B$21*(1+$B$7)^(F100-1)</f>
        <v>-40159.00784394308</v>
      </c>
      <c r="G108" s="18"/>
      <c r="H108" s="18"/>
      <c r="I108" s="18"/>
      <c r="J108" s="18"/>
      <c r="K108" s="18"/>
      <c r="M108" s="2457"/>
      <c r="N108" s="2458"/>
    </row>
    <row r="109" spans="1:14" ht="13.15" customHeight="1">
      <c r="A109" s="22" t="s">
        <v>1260</v>
      </c>
      <c r="B109" s="23">
        <f>SUM(B101:B108)</f>
        <v>47142.880379642338</v>
      </c>
      <c r="C109" s="23">
        <f>SUM(C101:C108)</f>
        <v>47233.760380907566</v>
      </c>
      <c r="D109" s="23">
        <f>SUM(D101:D108)</f>
        <v>47210.314254008474</v>
      </c>
      <c r="E109" s="23">
        <f>SUM(E101:E108)</f>
        <v>47265.248364535859</v>
      </c>
      <c r="F109" s="24">
        <f>SUM(F101:F108)</f>
        <v>47291.05239203712</v>
      </c>
      <c r="G109" s="18"/>
      <c r="H109" s="18"/>
      <c r="I109" s="18"/>
      <c r="J109" s="18"/>
      <c r="K109" s="18"/>
      <c r="M109" s="2457"/>
      <c r="N109" s="2458"/>
    </row>
    <row r="110" spans="1:14" ht="13.15" customHeight="1">
      <c r="A110" s="22" t="str">
        <f>$A81</f>
        <v>Mortgage A</v>
      </c>
      <c r="B110" s="2590">
        <f>IF('Part III-Sources of Funds'!$N$36="", 0,-'Part III-Sources of Funds'!$N$36)</f>
        <v>-37855</v>
      </c>
      <c r="C110" s="2590">
        <f>IF('Part III-Sources of Funds'!$N$36="", 0,-'Part III-Sources of Funds'!$N$36)</f>
        <v>-37855</v>
      </c>
      <c r="D110" s="2590">
        <f>IF('Part III-Sources of Funds'!$N$36="", 0,-'Part III-Sources of Funds'!$N$36)</f>
        <v>-37855</v>
      </c>
      <c r="E110" s="2590">
        <f>IF('Part III-Sources of Funds'!$N$36="", 0,-'Part III-Sources of Funds'!$N$36)</f>
        <v>-37855</v>
      </c>
      <c r="F110" s="2590">
        <f>IF('Part III-Sources of Funds'!$N$36="", 0,-'Part III-Sources of Funds'!$N$36)</f>
        <v>-37855</v>
      </c>
      <c r="G110" s="18"/>
      <c r="H110" s="18"/>
      <c r="I110" s="18"/>
      <c r="J110" s="18"/>
      <c r="K110" s="18"/>
      <c r="M110" s="2457"/>
      <c r="N110" s="2458"/>
    </row>
    <row r="111" spans="1:14" ht="13.15" customHeight="1">
      <c r="A111" s="22" t="str">
        <f>$A82</f>
        <v>Mortgage B</v>
      </c>
      <c r="B111" s="2591">
        <f>IF('Part III-Sources of Funds'!$N$37="", 0,-'Part III-Sources of Funds'!$N$37)</f>
        <v>0</v>
      </c>
      <c r="C111" s="2591">
        <f>IF('Part III-Sources of Funds'!$N$37="", 0,-'Part III-Sources of Funds'!$N$37)</f>
        <v>0</v>
      </c>
      <c r="D111" s="2591">
        <f>IF('Part III-Sources of Funds'!$N$37="", 0,-'Part III-Sources of Funds'!$N$37)</f>
        <v>0</v>
      </c>
      <c r="E111" s="2591">
        <f>IF('Part III-Sources of Funds'!$N$37="", 0,-'Part III-Sources of Funds'!$N$37)</f>
        <v>0</v>
      </c>
      <c r="F111" s="2591">
        <f>IF('Part III-Sources of Funds'!$N$37="", 0,-'Part III-Sources of Funds'!$N$37)</f>
        <v>0</v>
      </c>
      <c r="G111" s="18"/>
      <c r="H111" s="18"/>
      <c r="I111" s="18"/>
      <c r="J111" s="18"/>
      <c r="K111" s="18"/>
      <c r="M111" s="2457"/>
      <c r="N111" s="2458"/>
    </row>
    <row r="112" spans="1:14" ht="13.15" customHeight="1">
      <c r="A112" s="22" t="str">
        <f>$A83</f>
        <v>Mortgage C</v>
      </c>
      <c r="B112" s="2591">
        <f>IF('Part III-Sources of Funds'!$N$38="", 0,-'Part III-Sources of Funds'!$N$38)</f>
        <v>0</v>
      </c>
      <c r="C112" s="2591">
        <f>IF('Part III-Sources of Funds'!$N$38="", 0,-'Part III-Sources of Funds'!$N$38)</f>
        <v>0</v>
      </c>
      <c r="D112" s="2591">
        <f>IF('Part III-Sources of Funds'!$N$38="", 0,-'Part III-Sources of Funds'!$N$38)</f>
        <v>0</v>
      </c>
      <c r="E112" s="2591">
        <f>IF('Part III-Sources of Funds'!$N$38="", 0,-'Part III-Sources of Funds'!$N$38)</f>
        <v>0</v>
      </c>
      <c r="F112" s="2591">
        <f>IF('Part III-Sources of Funds'!$N$38="", 0,-'Part III-Sources of Funds'!$N$38)</f>
        <v>0</v>
      </c>
      <c r="G112" s="18"/>
      <c r="H112" s="18"/>
      <c r="I112" s="18"/>
      <c r="J112" s="18"/>
      <c r="K112" s="18"/>
      <c r="M112" s="2457"/>
      <c r="N112" s="2458"/>
    </row>
    <row r="113" spans="1:14" ht="13.15" customHeight="1">
      <c r="A113" s="22" t="str">
        <f>$A84</f>
        <v>D/S Other Source</v>
      </c>
      <c r="B113" s="2591">
        <f>IF('Part III-Sources of Funds'!$N$39="", 0,-'Part III-Sources of Funds'!$N$39)</f>
        <v>0</v>
      </c>
      <c r="C113" s="2591">
        <f>IF('Part III-Sources of Funds'!$N$39="", 0,-'Part III-Sources of Funds'!$N$39)</f>
        <v>0</v>
      </c>
      <c r="D113" s="2591">
        <f>IF('Part III-Sources of Funds'!$N$39="", 0,-'Part III-Sources of Funds'!$N$39)</f>
        <v>0</v>
      </c>
      <c r="E113" s="2591">
        <f>IF('Part III-Sources of Funds'!$N$39="", 0,-'Part III-Sources of Funds'!$N$39)</f>
        <v>0</v>
      </c>
      <c r="F113" s="2591">
        <f>IF('Part III-Sources of Funds'!$N$39="", 0,-'Part III-Sources of Funds'!$N$39)</f>
        <v>0</v>
      </c>
      <c r="G113" s="18"/>
      <c r="H113" s="18"/>
      <c r="I113" s="18"/>
      <c r="J113" s="18"/>
      <c r="K113" s="18"/>
      <c r="M113" s="2457"/>
      <c r="N113" s="2458"/>
    </row>
    <row r="114" spans="1:14" ht="13.15" customHeight="1">
      <c r="A114" s="22" t="s">
        <v>803</v>
      </c>
      <c r="B114" s="2592"/>
      <c r="C114" s="2592"/>
      <c r="D114" s="2592"/>
      <c r="E114" s="2592"/>
      <c r="F114" s="2592"/>
      <c r="G114" s="18"/>
      <c r="H114" s="18"/>
      <c r="I114" s="18"/>
      <c r="J114" s="18"/>
      <c r="K114" s="18"/>
      <c r="M114" s="2457"/>
      <c r="N114" s="2458"/>
    </row>
    <row r="115" spans="1:14" ht="13.15" customHeight="1">
      <c r="A115" s="22" t="s">
        <v>1218</v>
      </c>
      <c r="B115" s="2591">
        <f>+K86</f>
        <v>0</v>
      </c>
      <c r="C115" s="2591">
        <f>+B115</f>
        <v>0</v>
      </c>
      <c r="D115" s="2591">
        <f>+C115</f>
        <v>0</v>
      </c>
      <c r="E115" s="2591">
        <f>+D115</f>
        <v>0</v>
      </c>
      <c r="F115" s="2591">
        <f>+E115</f>
        <v>0</v>
      </c>
      <c r="G115" s="18"/>
      <c r="H115" s="18"/>
      <c r="I115" s="18"/>
      <c r="J115" s="18"/>
      <c r="K115" s="18"/>
      <c r="M115" s="2457"/>
      <c r="N115" s="2458"/>
    </row>
    <row r="116" spans="1:14" ht="13.15" customHeight="1">
      <c r="A116" s="22" t="s">
        <v>1261</v>
      </c>
      <c r="B116" s="2593">
        <f>IF('Part III-Sources of Funds'!$N$41="", 0,-'Part III-Sources of Funds'!$N$41)</f>
        <v>0</v>
      </c>
      <c r="C116" s="2593">
        <f>IF('Part III-Sources of Funds'!$N$41="", 0,-'Part III-Sources of Funds'!$N$41)</f>
        <v>0</v>
      </c>
      <c r="D116" s="2593">
        <f>IF('Part III-Sources of Funds'!$N$41="", 0,-'Part III-Sources of Funds'!$N$41)</f>
        <v>0</v>
      </c>
      <c r="E116" s="2593">
        <f>IF('Part III-Sources of Funds'!$N$41="", 0,-'Part III-Sources of Funds'!$N$41)</f>
        <v>0</v>
      </c>
      <c r="F116" s="2593">
        <f>IF('Part III-Sources of Funds'!$N$41="", 0,-'Part III-Sources of Funds'!$N$41)</f>
        <v>0</v>
      </c>
      <c r="G116" s="18"/>
      <c r="H116" s="18"/>
      <c r="I116" s="18"/>
      <c r="J116" s="18"/>
      <c r="K116" s="18"/>
      <c r="M116" s="2457"/>
      <c r="N116" s="2458"/>
    </row>
    <row r="117" spans="1:14" ht="13.15" customHeight="1">
      <c r="A117" s="22" t="s">
        <v>1219</v>
      </c>
      <c r="B117" s="23">
        <f>SUM(B109:B116)</f>
        <v>9287.8803796423381</v>
      </c>
      <c r="C117" s="23">
        <f>SUM(C109:C116)</f>
        <v>9378.7603809075663</v>
      </c>
      <c r="D117" s="23">
        <f>SUM(D109:D116)</f>
        <v>9355.3142540084737</v>
      </c>
      <c r="E117" s="23">
        <f>SUM(E109:E116)</f>
        <v>9410.2483645358589</v>
      </c>
      <c r="F117" s="24">
        <f>SUM(F109:F116)</f>
        <v>9436.0523920371197</v>
      </c>
      <c r="G117" s="18"/>
      <c r="H117" s="18"/>
      <c r="I117" s="18"/>
      <c r="J117" s="18"/>
      <c r="K117" s="18"/>
      <c r="M117" s="2457"/>
      <c r="N117" s="2458"/>
    </row>
    <row r="118" spans="1:14" ht="13.15" customHeight="1">
      <c r="A118" s="22" t="str">
        <f>$A89</f>
        <v>DCR Mortgage A</v>
      </c>
      <c r="B118" s="25">
        <f>IF(B110=0,"",-B109/B110)</f>
        <v>1.2453541244126889</v>
      </c>
      <c r="C118" s="25">
        <f>IF(C110=0,"",-C109/C110)</f>
        <v>1.2477548641106213</v>
      </c>
      <c r="D118" s="25">
        <f>IF(D110=0,"",-D109/D110)</f>
        <v>1.2471354973981899</v>
      </c>
      <c r="E118" s="25">
        <f>IF(E110=0,"",-E109/E110)</f>
        <v>1.2485866692520369</v>
      </c>
      <c r="F118" s="26">
        <f>IF(F110=0,"",-F109/F110)</f>
        <v>1.2492683236570366</v>
      </c>
      <c r="G118" s="18"/>
      <c r="H118" s="18"/>
      <c r="I118" s="18"/>
      <c r="J118" s="18"/>
      <c r="K118" s="18"/>
      <c r="M118" s="2457"/>
      <c r="N118" s="2458"/>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57"/>
      <c r="N119" s="2458"/>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57"/>
      <c r="N120" s="2458"/>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57"/>
      <c r="N121" s="2458"/>
    </row>
    <row r="122" spans="1:14" ht="13.15" customHeight="1">
      <c r="A122" s="22" t="s">
        <v>810</v>
      </c>
      <c r="B122" s="296">
        <f>IF(OR(B107="Choose mgt fee",B107="Choose One!"),"",(B101+B102+B103+B104+B105) / -(B106+B107+B108))</f>
        <v>1.1200726125034213</v>
      </c>
      <c r="C122" s="296">
        <f>IF(OR(C107="Choose mgt fee",C107="Choose One!"),"",(C101+C102+C103+C104+C105) / -(C106+C107+C108))</f>
        <v>1.1168001443966731</v>
      </c>
      <c r="D122" s="296">
        <f>IF(OR(D107="Choose mgt fee",D107="Choose One!"),"",(D101+D102+D103+D104+D105) / -(D106+D107+D108))</f>
        <v>1.1133418711910774</v>
      </c>
      <c r="E122" s="296">
        <f>IF(OR(E107="Choose mgt fee",E107="Choose One!"),"",(E101+E102+E103+E104+E105) / -(E106+E107+E108))</f>
        <v>1.1101687030879188</v>
      </c>
      <c r="F122" s="900">
        <f>IF(OR(F107="Choose mgt fee",F107="Choose One!"),"",(F101+F102+F103+F104+F105) / -(F106+F107+F108))</f>
        <v>1.1070184837438195</v>
      </c>
      <c r="G122" s="18"/>
      <c r="H122" s="18"/>
      <c r="I122" s="18"/>
      <c r="J122" s="18"/>
      <c r="K122" s="18"/>
      <c r="M122" s="2457"/>
      <c r="N122" s="2458"/>
    </row>
    <row r="123" spans="1:14" ht="13.15" customHeight="1">
      <c r="A123" s="471" t="s">
        <v>2744</v>
      </c>
      <c r="B123" s="2594">
        <f>IF('Part III-Sources of Funds'!$I$36="","",-FV('Part III-Sources of Funds'!$K$36/12,12,B110/12,K94))</f>
        <v>437251.11561349669</v>
      </c>
      <c r="C123" s="2594">
        <f>IF('Part III-Sources of Funds'!$I$36="","",-FV('Part III-Sources of Funds'!$K$36/12,12,C110/12,B123))</f>
        <v>403614.73828040389</v>
      </c>
      <c r="D123" s="2594">
        <f>IF('Part III-Sources of Funds'!$I$36="","",-FV('Part III-Sources of Funds'!$K$36/12,12,D110/12,C123))</f>
        <v>369640.4512162364</v>
      </c>
      <c r="E123" s="2594">
        <f>IF('Part III-Sources of Funds'!$I$36="","",-FV('Part III-Sources of Funds'!$K$36/12,12,E110/12,D123))</f>
        <v>335324.85979305243</v>
      </c>
      <c r="F123" s="2594">
        <f>IF('Part III-Sources of Funds'!$I$36="","",-FV('Part III-Sources of Funds'!$K$36/12,12,F110/12,E123))</f>
        <v>300664.53528061073</v>
      </c>
      <c r="G123" s="18"/>
      <c r="H123" s="18"/>
      <c r="I123" s="18"/>
      <c r="J123" s="18"/>
      <c r="K123" s="18"/>
      <c r="M123" s="2457"/>
      <c r="N123" s="2458"/>
    </row>
    <row r="124" spans="1:14" ht="13.15" customHeight="1">
      <c r="A124" s="471" t="s">
        <v>2745</v>
      </c>
      <c r="B124" s="2591" t="str">
        <f>IF('Part III-Sources of Funds'!$I$37="","",-FV('Part III-Sources of Funds'!$K$37/12,12,B111/12,K95))</f>
        <v/>
      </c>
      <c r="C124" s="2591" t="str">
        <f>IF('Part III-Sources of Funds'!$I$37="","",-FV('Part III-Sources of Funds'!$K$37/12,12,C111/12,B124))</f>
        <v/>
      </c>
      <c r="D124" s="2591" t="str">
        <f>IF('Part III-Sources of Funds'!$I$37="","",-FV('Part III-Sources of Funds'!$K$37/12,12,D111/12,C124))</f>
        <v/>
      </c>
      <c r="E124" s="2591" t="str">
        <f>IF('Part III-Sources of Funds'!$I$37="","",-FV('Part III-Sources of Funds'!$K$37/12,12,E111/12,D124))</f>
        <v/>
      </c>
      <c r="F124" s="2591" t="str">
        <f>IF('Part III-Sources of Funds'!$I$37="","",-FV('Part III-Sources of Funds'!$K$37/12,12,F111/12,E124))</f>
        <v/>
      </c>
      <c r="G124" s="18"/>
      <c r="H124" s="18"/>
      <c r="I124" s="18"/>
      <c r="J124" s="18"/>
      <c r="K124" s="18"/>
      <c r="M124" s="2457"/>
      <c r="N124" s="2458"/>
    </row>
    <row r="125" spans="1:14" ht="13.15" customHeight="1">
      <c r="A125" s="471" t="s">
        <v>2746</v>
      </c>
      <c r="B125" s="2591" t="str">
        <f>IF('Part III-Sources of Funds'!$I$38="","",-FV('Part III-Sources of Funds'!$K$38/12,12,B112/12,K96))</f>
        <v/>
      </c>
      <c r="C125" s="2591" t="str">
        <f>IF('Part III-Sources of Funds'!$I$38="","",-FV('Part III-Sources of Funds'!$K$38/12,12,C112/12,B125))</f>
        <v/>
      </c>
      <c r="D125" s="2591" t="str">
        <f>IF('Part III-Sources of Funds'!$I$38="","",-FV('Part III-Sources of Funds'!$K$38/12,12,D112/12,C125))</f>
        <v/>
      </c>
      <c r="E125" s="2591" t="str">
        <f>IF('Part III-Sources of Funds'!$I$38="","",-FV('Part III-Sources of Funds'!$K$38/12,12,E112/12,D125))</f>
        <v/>
      </c>
      <c r="F125" s="2591" t="str">
        <f>IF('Part III-Sources of Funds'!$I$38="","",-FV('Part III-Sources of Funds'!$K$38/12,12,F112/12,E125))</f>
        <v/>
      </c>
      <c r="G125" s="18"/>
      <c r="H125" s="18"/>
      <c r="I125" s="18"/>
      <c r="J125" s="18"/>
      <c r="K125" s="18"/>
      <c r="M125" s="2457"/>
      <c r="N125" s="2458"/>
    </row>
    <row r="126" spans="1:14" ht="13.15" customHeight="1">
      <c r="A126" s="22" t="s">
        <v>825</v>
      </c>
      <c r="B126" s="2591" t="str">
        <f>IF('Part III-Sources of Funds'!$I$39="","",-FV('Part III-Sources of Funds'!$K$39/12,12,B113/12,K97))</f>
        <v/>
      </c>
      <c r="C126" s="2591" t="str">
        <f>IF('Part III-Sources of Funds'!$I$39="","",-FV('Part III-Sources of Funds'!$K$39/12,12,C113/12,B126))</f>
        <v/>
      </c>
      <c r="D126" s="2591" t="str">
        <f>IF('Part III-Sources of Funds'!$I$39="","",-FV('Part III-Sources of Funds'!$K$39/12,12,D113/12,C126))</f>
        <v/>
      </c>
      <c r="E126" s="2591" t="str">
        <f>IF('Part III-Sources of Funds'!$I$39="","",-FV('Part III-Sources of Funds'!$K$39/12,12,E113/12,D126))</f>
        <v/>
      </c>
      <c r="F126" s="2591" t="str">
        <f>IF('Part III-Sources of Funds'!$I$39="","",-FV('Part III-Sources of Funds'!$K$39/12,12,F113/12,E126))</f>
        <v/>
      </c>
      <c r="G126" s="18"/>
      <c r="H126" s="18"/>
      <c r="I126" s="18"/>
      <c r="J126" s="18"/>
      <c r="K126" s="18"/>
      <c r="M126" s="2457"/>
      <c r="N126" s="2458"/>
    </row>
    <row r="127" spans="1:14" ht="13.15" customHeight="1">
      <c r="A127" s="27" t="s">
        <v>1296</v>
      </c>
      <c r="B127" s="2593" t="str">
        <f>IF('Part III-Sources of Funds'!$I$41="","",-FV('Part III-Sources of Funds'!$K$41/12,12,B116/12,K98))</f>
        <v/>
      </c>
      <c r="C127" s="2593" t="str">
        <f>IF('Part III-Sources of Funds'!$I$41="","",-FV('Part III-Sources of Funds'!$K$41/12,12,C116/12,B127))</f>
        <v/>
      </c>
      <c r="D127" s="2593" t="str">
        <f>IF('Part III-Sources of Funds'!$I$41="","",-FV('Part III-Sources of Funds'!$K$41/12,12,D116/12,C127))</f>
        <v/>
      </c>
      <c r="E127" s="2593" t="str">
        <f>IF('Part III-Sources of Funds'!$I$41="","",-FV('Part III-Sources of Funds'!$K$41/12,12,E116/12,D127))</f>
        <v/>
      </c>
      <c r="F127" s="2593" t="str">
        <f>IF('Part III-Sources of Funds'!$I$41="","",-FV('Part III-Sources of Funds'!$K$41/12,12,F116/12,E127))</f>
        <v/>
      </c>
      <c r="G127" s="18"/>
      <c r="H127" s="18"/>
      <c r="I127" s="18"/>
      <c r="J127" s="18"/>
      <c r="K127" s="18"/>
      <c r="M127" s="2460"/>
      <c r="N127" s="2461"/>
    </row>
    <row r="128" spans="1:14" ht="4.1500000000000004" customHeight="1"/>
    <row r="129" spans="1:14" ht="12" customHeight="1">
      <c r="A129" s="14" t="s">
        <v>597</v>
      </c>
      <c r="B129" s="14"/>
      <c r="G129" s="14" t="s">
        <v>1080</v>
      </c>
    </row>
    <row r="130" spans="1:14" ht="12" customHeight="1">
      <c r="B130" s="30"/>
    </row>
    <row r="131" spans="1:14" ht="210" customHeight="1">
      <c r="A131" s="2284" t="s">
        <v>4544</v>
      </c>
      <c r="B131" s="2595"/>
      <c r="C131" s="2595"/>
      <c r="D131" s="2595"/>
      <c r="E131" s="2595"/>
      <c r="F131" s="2596"/>
      <c r="G131" s="2597"/>
      <c r="H131" s="2598"/>
      <c r="I131" s="2598"/>
      <c r="J131" s="2598"/>
      <c r="K131" s="2599"/>
      <c r="M131" s="1447" t="s">
        <v>2853</v>
      </c>
      <c r="N131" s="1447"/>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3nPHoxuhavhkUcqYL9/WwRRAv1fL8x2aKHlIQRJpmfhM49/kCQevXrFFLFzNVUWCZ5rgIwEOF+z/ZJFCI5I16g==" saltValue="dEB2E5LZBMbkCPu05TgPaQ=="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6"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53" t="str">
        <f>CONCATENATE("PART EIGHT - THRESHOLD CRITERIA","  -  ",'Part I-Project Information'!$O$4," ",'Part I-Project Information'!$F$24,", ",'Part I-Project Information'!F28,", ",'Part I-Project Information'!J29," County")</f>
        <v>PART EIGHT - THRESHOLD CRITERIA  -  2015-026 Arbor Trace Apartments Phase II, Lake Park, Lowndes County</v>
      </c>
      <c r="B1" s="1454"/>
      <c r="C1" s="1454"/>
      <c r="D1" s="1454"/>
      <c r="E1" s="1454"/>
      <c r="F1" s="1454"/>
      <c r="G1" s="1454"/>
      <c r="H1" s="1454"/>
      <c r="I1" s="1454"/>
      <c r="J1" s="1454"/>
      <c r="K1" s="1454"/>
      <c r="L1" s="1454"/>
      <c r="M1" s="1454"/>
      <c r="N1" s="1454"/>
      <c r="O1" s="1454"/>
      <c r="P1" s="1454"/>
      <c r="Q1" s="1454"/>
    </row>
    <row r="2" spans="1:32" s="28" customFormat="1" ht="3" customHeight="1">
      <c r="S2" s="35"/>
      <c r="T2" s="35"/>
      <c r="AE2" s="125"/>
      <c r="AF2" s="125"/>
    </row>
    <row r="3" spans="1:32" ht="13.5" customHeight="1">
      <c r="A3" s="1712"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712"/>
      <c r="C3" s="1712"/>
      <c r="D3" s="1712"/>
      <c r="E3" s="1712"/>
      <c r="F3" s="1712"/>
      <c r="G3" s="1712"/>
      <c r="H3" s="1712"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712"/>
      <c r="J3" s="1712"/>
      <c r="K3" s="1712"/>
      <c r="L3" s="1712"/>
      <c r="M3" s="1712"/>
      <c r="N3" s="1713"/>
      <c r="O3" s="1714" t="s">
        <v>978</v>
      </c>
      <c r="P3" s="1715"/>
      <c r="Q3" s="635" t="s">
        <v>1934</v>
      </c>
    </row>
    <row r="4" spans="1:32" ht="3" customHeight="1">
      <c r="A4" s="1238"/>
      <c r="B4" s="1711"/>
      <c r="C4" s="1711"/>
      <c r="D4" s="1711"/>
      <c r="E4" s="1238"/>
      <c r="F4" s="1238"/>
      <c r="G4" s="1238"/>
      <c r="H4" s="1238"/>
      <c r="I4" s="1238"/>
      <c r="J4" s="1238"/>
      <c r="K4" s="1238"/>
      <c r="L4" s="1238"/>
      <c r="M4" s="1238"/>
      <c r="N4" s="1238"/>
      <c r="P4" s="1238"/>
      <c r="Q4" s="1238"/>
    </row>
    <row r="5" spans="1:32" ht="10.9" hidden="1" customHeight="1">
      <c r="A5" s="1238"/>
      <c r="B5" s="1238"/>
      <c r="C5" s="1238"/>
      <c r="D5" s="1238"/>
      <c r="E5" s="1238"/>
      <c r="F5" s="1238"/>
      <c r="G5" s="1238"/>
      <c r="H5" s="1238"/>
      <c r="I5" s="1238"/>
      <c r="J5" s="1238"/>
      <c r="K5" s="1238"/>
      <c r="L5" s="1238"/>
      <c r="M5" s="1238"/>
      <c r="N5" s="1238"/>
      <c r="P5" s="1238"/>
      <c r="Q5" s="1238"/>
    </row>
    <row r="6" spans="1:32" ht="15" customHeight="1">
      <c r="A6" s="137" t="s">
        <v>590</v>
      </c>
      <c r="J6" s="1238"/>
      <c r="K6" s="1724" t="s">
        <v>4383</v>
      </c>
      <c r="L6" s="1725"/>
      <c r="M6" s="1726"/>
      <c r="N6" s="1238"/>
      <c r="P6" s="2600"/>
      <c r="Q6" s="2601"/>
    </row>
    <row r="7" spans="1:32" ht="12.6" customHeight="1">
      <c r="A7" s="138" t="s">
        <v>4033</v>
      </c>
      <c r="C7" s="139"/>
      <c r="D7" s="139"/>
      <c r="J7" s="1238"/>
      <c r="K7" s="1238"/>
      <c r="L7" s="1238"/>
      <c r="M7" s="1238"/>
      <c r="N7" s="1238"/>
    </row>
    <row r="8" spans="1:32" ht="24.6" customHeight="1">
      <c r="A8" s="2602" t="s">
        <v>1478</v>
      </c>
      <c r="B8" s="2603"/>
      <c r="C8" s="2603"/>
      <c r="D8" s="2603"/>
      <c r="E8" s="2603"/>
      <c r="F8" s="2603"/>
      <c r="G8" s="2603"/>
      <c r="H8" s="2603"/>
      <c r="I8" s="2603"/>
      <c r="J8" s="2603"/>
      <c r="K8" s="2603"/>
      <c r="L8" s="2603"/>
      <c r="M8" s="2603"/>
      <c r="N8" s="2603"/>
      <c r="O8" s="2603"/>
      <c r="P8" s="2603"/>
      <c r="Q8" s="2604"/>
      <c r="R8" s="1584" t="s">
        <v>2129</v>
      </c>
      <c r="S8" s="1353"/>
    </row>
    <row r="9" spans="1:32" ht="24.6" customHeight="1">
      <c r="A9" s="2605" t="s">
        <v>235</v>
      </c>
      <c r="B9" s="2606"/>
      <c r="C9" s="2606"/>
      <c r="D9" s="2606"/>
      <c r="E9" s="2606"/>
      <c r="F9" s="2606"/>
      <c r="G9" s="2606"/>
      <c r="H9" s="2606"/>
      <c r="I9" s="2606"/>
      <c r="J9" s="2606"/>
      <c r="K9" s="2606"/>
      <c r="L9" s="2606"/>
      <c r="M9" s="2606"/>
      <c r="N9" s="2606"/>
      <c r="O9" s="2606"/>
      <c r="P9" s="2606"/>
      <c r="Q9" s="2607"/>
      <c r="R9" s="1584"/>
      <c r="S9" s="1353"/>
    </row>
    <row r="10" spans="1:32" ht="24.6" customHeight="1">
      <c r="A10" s="2605" t="s">
        <v>1474</v>
      </c>
      <c r="B10" s="2606"/>
      <c r="C10" s="2606"/>
      <c r="D10" s="2606"/>
      <c r="E10" s="2606"/>
      <c r="F10" s="2606"/>
      <c r="G10" s="2606"/>
      <c r="H10" s="2606"/>
      <c r="I10" s="2606"/>
      <c r="J10" s="2606"/>
      <c r="K10" s="2606"/>
      <c r="L10" s="2606"/>
      <c r="M10" s="2606"/>
      <c r="N10" s="2606"/>
      <c r="O10" s="2606"/>
      <c r="P10" s="2606"/>
      <c r="Q10" s="2607"/>
      <c r="R10" s="1584"/>
      <c r="S10" s="1353"/>
    </row>
    <row r="11" spans="1:32" ht="24.6" customHeight="1">
      <c r="A11" s="2605" t="s">
        <v>1475</v>
      </c>
      <c r="B11" s="2606"/>
      <c r="C11" s="2606"/>
      <c r="D11" s="2606"/>
      <c r="E11" s="2606"/>
      <c r="F11" s="2606"/>
      <c r="G11" s="2606"/>
      <c r="H11" s="2606"/>
      <c r="I11" s="2606"/>
      <c r="J11" s="2606"/>
      <c r="K11" s="2606"/>
      <c r="L11" s="2606"/>
      <c r="M11" s="2606"/>
      <c r="N11" s="2606"/>
      <c r="O11" s="2606"/>
      <c r="P11" s="2606"/>
      <c r="Q11" s="2607"/>
      <c r="R11" s="1584"/>
      <c r="S11" s="1353"/>
    </row>
    <row r="12" spans="1:32" ht="24" customHeight="1">
      <c r="A12" s="2605" t="s">
        <v>1476</v>
      </c>
      <c r="B12" s="2606"/>
      <c r="C12" s="2606"/>
      <c r="D12" s="2606"/>
      <c r="E12" s="2606"/>
      <c r="F12" s="2606"/>
      <c r="G12" s="2606"/>
      <c r="H12" s="2606"/>
      <c r="I12" s="2606"/>
      <c r="J12" s="2606"/>
      <c r="K12" s="2606"/>
      <c r="L12" s="2606"/>
      <c r="M12" s="2606"/>
      <c r="N12" s="2606"/>
      <c r="O12" s="2606"/>
      <c r="P12" s="2606"/>
      <c r="Q12" s="2607"/>
      <c r="R12" s="1211"/>
      <c r="S12" s="1211"/>
    </row>
    <row r="13" spans="1:32" ht="11.25" customHeight="1">
      <c r="A13" s="2605" t="s">
        <v>1477</v>
      </c>
      <c r="B13" s="2606"/>
      <c r="C13" s="2606"/>
      <c r="D13" s="2606"/>
      <c r="E13" s="2606"/>
      <c r="F13" s="2606"/>
      <c r="G13" s="2606"/>
      <c r="H13" s="2606"/>
      <c r="I13" s="2606"/>
      <c r="J13" s="2606"/>
      <c r="K13" s="2606"/>
      <c r="L13" s="2606"/>
      <c r="M13" s="2606"/>
      <c r="N13" s="2606"/>
      <c r="O13" s="2606"/>
      <c r="P13" s="2606"/>
      <c r="Q13" s="2607"/>
      <c r="R13" s="1211"/>
      <c r="S13" s="1211"/>
    </row>
    <row r="14" spans="1:32" ht="11.25" customHeight="1">
      <c r="A14" s="2605" t="s">
        <v>1479</v>
      </c>
      <c r="B14" s="2606"/>
      <c r="C14" s="2606"/>
      <c r="D14" s="2606"/>
      <c r="E14" s="2606"/>
      <c r="F14" s="2606"/>
      <c r="G14" s="2606"/>
      <c r="H14" s="2606"/>
      <c r="I14" s="2606"/>
      <c r="J14" s="2606"/>
      <c r="K14" s="2606"/>
      <c r="L14" s="2606"/>
      <c r="M14" s="2606"/>
      <c r="N14" s="2606"/>
      <c r="O14" s="2606"/>
      <c r="P14" s="2606"/>
      <c r="Q14" s="2607"/>
    </row>
    <row r="15" spans="1:32" ht="11.25" customHeight="1">
      <c r="A15" s="2605" t="s">
        <v>2116</v>
      </c>
      <c r="B15" s="2606"/>
      <c r="C15" s="2606"/>
      <c r="D15" s="2606"/>
      <c r="E15" s="2606"/>
      <c r="F15" s="2606"/>
      <c r="G15" s="2606"/>
      <c r="H15" s="2606"/>
      <c r="I15" s="2606"/>
      <c r="J15" s="2606"/>
      <c r="K15" s="2606"/>
      <c r="L15" s="2606"/>
      <c r="M15" s="2606"/>
      <c r="N15" s="2606"/>
      <c r="O15" s="2606"/>
      <c r="P15" s="2606"/>
      <c r="Q15" s="2607"/>
      <c r="R15" s="1584" t="s">
        <v>2129</v>
      </c>
      <c r="S15" s="1585"/>
    </row>
    <row r="16" spans="1:32" ht="11.25" customHeight="1">
      <c r="A16" s="2605" t="s">
        <v>2117</v>
      </c>
      <c r="B16" s="2606"/>
      <c r="C16" s="2606"/>
      <c r="D16" s="2606"/>
      <c r="E16" s="2606"/>
      <c r="F16" s="2606"/>
      <c r="G16" s="2606"/>
      <c r="H16" s="2606"/>
      <c r="I16" s="2606"/>
      <c r="J16" s="2606"/>
      <c r="K16" s="2606"/>
      <c r="L16" s="2606"/>
      <c r="M16" s="2606"/>
      <c r="N16" s="2606"/>
      <c r="O16" s="2606"/>
      <c r="P16" s="2606"/>
      <c r="Q16" s="2607"/>
      <c r="R16" s="1584"/>
      <c r="S16" s="1585"/>
    </row>
    <row r="17" spans="1:19" ht="11.25" customHeight="1">
      <c r="A17" s="2605" t="s">
        <v>2118</v>
      </c>
      <c r="B17" s="2606"/>
      <c r="C17" s="2606"/>
      <c r="D17" s="2606"/>
      <c r="E17" s="2606"/>
      <c r="F17" s="2606"/>
      <c r="G17" s="2606"/>
      <c r="H17" s="2606"/>
      <c r="I17" s="2606"/>
      <c r="J17" s="2606"/>
      <c r="K17" s="2606"/>
      <c r="L17" s="2606"/>
      <c r="M17" s="2606"/>
      <c r="N17" s="2606"/>
      <c r="O17" s="2606"/>
      <c r="P17" s="2606"/>
      <c r="Q17" s="2607"/>
      <c r="R17" s="1584"/>
      <c r="S17" s="1585"/>
    </row>
    <row r="18" spans="1:19" ht="11.25" customHeight="1">
      <c r="A18" s="2605" t="s">
        <v>2119</v>
      </c>
      <c r="B18" s="2606"/>
      <c r="C18" s="2606"/>
      <c r="D18" s="2606"/>
      <c r="E18" s="2606"/>
      <c r="F18" s="2606"/>
      <c r="G18" s="2606"/>
      <c r="H18" s="2606"/>
      <c r="I18" s="2606"/>
      <c r="J18" s="2606"/>
      <c r="K18" s="2606"/>
      <c r="L18" s="2606"/>
      <c r="M18" s="2606"/>
      <c r="N18" s="2606"/>
      <c r="O18" s="2606"/>
      <c r="P18" s="2606"/>
      <c r="Q18" s="2607"/>
      <c r="R18" s="1584"/>
      <c r="S18" s="1585"/>
    </row>
    <row r="19" spans="1:19" ht="11.25" customHeight="1">
      <c r="A19" s="2605" t="s">
        <v>2120</v>
      </c>
      <c r="B19" s="2606"/>
      <c r="C19" s="2606"/>
      <c r="D19" s="2606"/>
      <c r="E19" s="2606"/>
      <c r="F19" s="2606"/>
      <c r="G19" s="2606"/>
      <c r="H19" s="2606"/>
      <c r="I19" s="2606"/>
      <c r="J19" s="2606"/>
      <c r="K19" s="2606"/>
      <c r="L19" s="2606"/>
      <c r="M19" s="2606"/>
      <c r="N19" s="2606"/>
      <c r="O19" s="2606"/>
      <c r="P19" s="2606"/>
      <c r="Q19" s="2607"/>
      <c r="R19" s="1584"/>
      <c r="S19" s="1585"/>
    </row>
    <row r="20" spans="1:19" ht="11.25" customHeight="1">
      <c r="A20" s="2605" t="s">
        <v>2121</v>
      </c>
      <c r="B20" s="2606"/>
      <c r="C20" s="2606"/>
      <c r="D20" s="2606"/>
      <c r="E20" s="2606"/>
      <c r="F20" s="2606"/>
      <c r="G20" s="2606"/>
      <c r="H20" s="2606"/>
      <c r="I20" s="2606"/>
      <c r="J20" s="2606"/>
      <c r="K20" s="2606"/>
      <c r="L20" s="2606"/>
      <c r="M20" s="2606"/>
      <c r="N20" s="2606"/>
      <c r="O20" s="2606"/>
      <c r="P20" s="2606"/>
      <c r="Q20" s="2607"/>
      <c r="R20" s="1584"/>
      <c r="S20" s="1585"/>
    </row>
    <row r="21" spans="1:19" ht="11.25" customHeight="1">
      <c r="A21" s="2605" t="s">
        <v>2122</v>
      </c>
      <c r="B21" s="2606"/>
      <c r="C21" s="2606"/>
      <c r="D21" s="2606"/>
      <c r="E21" s="2606"/>
      <c r="F21" s="2606"/>
      <c r="G21" s="2606"/>
      <c r="H21" s="2606"/>
      <c r="I21" s="2606"/>
      <c r="J21" s="2606"/>
      <c r="K21" s="2606"/>
      <c r="L21" s="2606"/>
      <c r="M21" s="2606"/>
      <c r="N21" s="2606"/>
      <c r="O21" s="2606"/>
      <c r="P21" s="2606"/>
      <c r="Q21" s="2607"/>
    </row>
    <row r="22" spans="1:19" ht="11.25" customHeight="1">
      <c r="A22" s="2605" t="s">
        <v>2123</v>
      </c>
      <c r="B22" s="2606"/>
      <c r="C22" s="2606"/>
      <c r="D22" s="2606"/>
      <c r="E22" s="2606"/>
      <c r="F22" s="2606"/>
      <c r="G22" s="2606"/>
      <c r="H22" s="2606"/>
      <c r="I22" s="2606"/>
      <c r="J22" s="2606"/>
      <c r="K22" s="2606"/>
      <c r="L22" s="2606"/>
      <c r="M22" s="2606"/>
      <c r="N22" s="2606"/>
      <c r="O22" s="2606"/>
      <c r="P22" s="2606"/>
      <c r="Q22" s="2607"/>
      <c r="R22" s="1584" t="s">
        <v>2129</v>
      </c>
      <c r="S22" s="1585"/>
    </row>
    <row r="23" spans="1:19" ht="11.25" customHeight="1">
      <c r="A23" s="2605" t="s">
        <v>2124</v>
      </c>
      <c r="B23" s="2606"/>
      <c r="C23" s="2606"/>
      <c r="D23" s="2606"/>
      <c r="E23" s="2606"/>
      <c r="F23" s="2606"/>
      <c r="G23" s="2606"/>
      <c r="H23" s="2606"/>
      <c r="I23" s="2606"/>
      <c r="J23" s="2606"/>
      <c r="K23" s="2606"/>
      <c r="L23" s="2606"/>
      <c r="M23" s="2606"/>
      <c r="N23" s="2606"/>
      <c r="O23" s="2606"/>
      <c r="P23" s="2606"/>
      <c r="Q23" s="2607"/>
      <c r="R23" s="1584"/>
      <c r="S23" s="1585"/>
    </row>
    <row r="24" spans="1:19" ht="11.25" customHeight="1">
      <c r="A24" s="2605" t="s">
        <v>2125</v>
      </c>
      <c r="B24" s="2606"/>
      <c r="C24" s="2606"/>
      <c r="D24" s="2606"/>
      <c r="E24" s="2606"/>
      <c r="F24" s="2606"/>
      <c r="G24" s="2606"/>
      <c r="H24" s="2606"/>
      <c r="I24" s="2606"/>
      <c r="J24" s="2606"/>
      <c r="K24" s="2606"/>
      <c r="L24" s="2606"/>
      <c r="M24" s="2606"/>
      <c r="N24" s="2606"/>
      <c r="O24" s="2606"/>
      <c r="P24" s="2606"/>
      <c r="Q24" s="2607"/>
      <c r="R24" s="1584"/>
      <c r="S24" s="1585"/>
    </row>
    <row r="25" spans="1:19" ht="11.25" customHeight="1">
      <c r="A25" s="2605" t="s">
        <v>2126</v>
      </c>
      <c r="B25" s="2606"/>
      <c r="C25" s="2606"/>
      <c r="D25" s="2606"/>
      <c r="E25" s="2606"/>
      <c r="F25" s="2606"/>
      <c r="G25" s="2606"/>
      <c r="H25" s="2606"/>
      <c r="I25" s="2606"/>
      <c r="J25" s="2606"/>
      <c r="K25" s="2606"/>
      <c r="L25" s="2606"/>
      <c r="M25" s="2606"/>
      <c r="N25" s="2606"/>
      <c r="O25" s="2606"/>
      <c r="P25" s="2606"/>
      <c r="Q25" s="2607"/>
      <c r="R25" s="1584"/>
      <c r="S25" s="1585"/>
    </row>
    <row r="26" spans="1:19" ht="11.25" customHeight="1">
      <c r="A26" s="2605" t="s">
        <v>2127</v>
      </c>
      <c r="B26" s="2606"/>
      <c r="C26" s="2606"/>
      <c r="D26" s="2606"/>
      <c r="E26" s="2606"/>
      <c r="F26" s="2606"/>
      <c r="G26" s="2606"/>
      <c r="H26" s="2606"/>
      <c r="I26" s="2606"/>
      <c r="J26" s="2606"/>
      <c r="K26" s="2606"/>
      <c r="L26" s="2606"/>
      <c r="M26" s="2606"/>
      <c r="N26" s="2606"/>
      <c r="O26" s="2606"/>
      <c r="P26" s="2606"/>
      <c r="Q26" s="2607"/>
      <c r="R26" s="1584"/>
      <c r="S26" s="1585"/>
    </row>
    <row r="27" spans="1:19" ht="11.25" customHeight="1">
      <c r="A27" s="2608" t="s">
        <v>2128</v>
      </c>
      <c r="B27" s="2609"/>
      <c r="C27" s="2609"/>
      <c r="D27" s="2609"/>
      <c r="E27" s="2609"/>
      <c r="F27" s="2609"/>
      <c r="G27" s="2609"/>
      <c r="H27" s="2609"/>
      <c r="I27" s="2609"/>
      <c r="J27" s="2609"/>
      <c r="K27" s="2609"/>
      <c r="L27" s="2609"/>
      <c r="M27" s="2609"/>
      <c r="N27" s="2609"/>
      <c r="O27" s="2609"/>
      <c r="P27" s="2609"/>
      <c r="Q27" s="2610"/>
      <c r="R27" s="1584"/>
      <c r="S27" s="1585"/>
    </row>
    <row r="28" spans="1:19" ht="6" customHeight="1"/>
    <row r="29" spans="1:19" ht="13.9" customHeight="1">
      <c r="A29" s="140">
        <v>1</v>
      </c>
      <c r="B29" s="141" t="s">
        <v>2788</v>
      </c>
      <c r="C29" s="142"/>
      <c r="D29" s="91"/>
      <c r="E29" s="91"/>
      <c r="F29" s="91"/>
      <c r="G29" s="91"/>
      <c r="I29" s="787"/>
      <c r="J29" s="787"/>
      <c r="K29" s="787"/>
      <c r="L29" s="1238"/>
      <c r="M29" s="1238"/>
      <c r="O29" s="143" t="s">
        <v>1960</v>
      </c>
      <c r="P29" s="1642"/>
      <c r="Q29" s="1674"/>
    </row>
    <row r="30" spans="1:19" ht="3" customHeight="1"/>
    <row r="31" spans="1:19" ht="12" customHeight="1">
      <c r="B31" s="154" t="s">
        <v>2080</v>
      </c>
      <c r="C31" s="53" t="s">
        <v>3807</v>
      </c>
      <c r="E31" s="1275"/>
      <c r="F31" s="1275"/>
      <c r="G31" s="1275"/>
      <c r="H31" s="1275"/>
      <c r="I31" s="42"/>
      <c r="J31" s="32"/>
      <c r="K31" s="42"/>
      <c r="L31" s="32"/>
      <c r="M31" s="32"/>
      <c r="O31" s="69" t="s">
        <v>624</v>
      </c>
      <c r="P31" s="1287" t="s">
        <v>3424</v>
      </c>
      <c r="Q31" s="2611"/>
    </row>
    <row r="32" spans="1:19" ht="12" customHeight="1">
      <c r="B32" s="47" t="s">
        <v>2083</v>
      </c>
      <c r="C32" s="53" t="s">
        <v>755</v>
      </c>
      <c r="E32" s="1275"/>
      <c r="F32" s="1275"/>
      <c r="G32" s="1275"/>
      <c r="H32" s="1275"/>
      <c r="J32" s="1694" t="s">
        <v>2258</v>
      </c>
      <c r="K32" s="1695"/>
      <c r="L32" s="1695"/>
      <c r="M32" s="1695"/>
      <c r="N32" s="1696"/>
      <c r="O32" s="69"/>
      <c r="P32" s="69"/>
      <c r="Q32" s="69"/>
    </row>
    <row r="33" spans="1:295" ht="11.25" customHeight="1">
      <c r="B33" s="70" t="s">
        <v>1958</v>
      </c>
      <c r="C33" s="70"/>
      <c r="D33" s="70"/>
      <c r="E33" s="70"/>
      <c r="F33" s="70"/>
      <c r="G33" s="787"/>
      <c r="H33" s="787"/>
      <c r="I33" s="787"/>
      <c r="J33" s="787"/>
      <c r="K33" s="1238"/>
      <c r="L33" s="1238"/>
      <c r="M33" s="1238"/>
      <c r="N33" s="1238"/>
      <c r="O33" s="1238"/>
      <c r="P33" s="1274"/>
      <c r="S33" s="173"/>
      <c r="T33" s="173"/>
    </row>
    <row r="34" spans="1:295" ht="36" customHeight="1">
      <c r="A34" s="1598" t="s">
        <v>4437</v>
      </c>
      <c r="B34" s="1599"/>
      <c r="C34" s="1599"/>
      <c r="D34" s="1599"/>
      <c r="E34" s="1599"/>
      <c r="F34" s="1599"/>
      <c r="G34" s="1599"/>
      <c r="H34" s="1599"/>
      <c r="I34" s="1599"/>
      <c r="J34" s="1599"/>
      <c r="K34" s="1599"/>
      <c r="L34" s="1599"/>
      <c r="M34" s="1599"/>
      <c r="N34" s="1599"/>
      <c r="O34" s="1599"/>
      <c r="P34" s="1599"/>
      <c r="Q34" s="1600"/>
      <c r="R34" s="501" t="s">
        <v>1313</v>
      </c>
      <c r="S34" s="502"/>
      <c r="T34" s="173"/>
      <c r="U34" s="148"/>
      <c r="V34" s="148"/>
      <c r="W34" s="148"/>
      <c r="X34" s="148"/>
      <c r="Y34" s="148"/>
      <c r="Z34" s="148"/>
      <c r="AA34" s="148"/>
      <c r="AB34" s="148"/>
      <c r="AC34" s="148"/>
      <c r="AD34" s="148"/>
      <c r="AE34" s="533"/>
    </row>
    <row r="35" spans="1:295" ht="11.25" customHeight="1">
      <c r="B35" s="149" t="s">
        <v>1959</v>
      </c>
      <c r="C35" s="150"/>
      <c r="D35" s="1244"/>
      <c r="E35" s="1244"/>
      <c r="F35" s="1244"/>
      <c r="G35" s="1244"/>
      <c r="H35" s="1244"/>
      <c r="I35" s="1244"/>
      <c r="J35" s="1244"/>
      <c r="K35" s="1244"/>
      <c r="L35" s="1244"/>
      <c r="M35" s="1244"/>
      <c r="N35" s="1244"/>
      <c r="O35" s="1244"/>
      <c r="P35" s="1244"/>
    </row>
    <row r="36" spans="1:295" ht="36" customHeight="1">
      <c r="A36" s="2612"/>
      <c r="B36" s="2612"/>
      <c r="C36" s="2612"/>
      <c r="D36" s="2612"/>
      <c r="E36" s="2612"/>
      <c r="F36" s="2612"/>
      <c r="G36" s="2612"/>
      <c r="H36" s="2612"/>
      <c r="I36" s="2612"/>
      <c r="J36" s="2612"/>
      <c r="K36" s="2612"/>
      <c r="L36" s="2612"/>
      <c r="M36" s="2612"/>
      <c r="N36" s="2612"/>
      <c r="O36" s="2612"/>
      <c r="P36" s="2612"/>
      <c r="Q36" s="2612"/>
      <c r="R36" s="501" t="s">
        <v>1313</v>
      </c>
      <c r="S36" s="502"/>
    </row>
    <row r="37" spans="1:295" ht="3" customHeight="1">
      <c r="B37" s="787"/>
      <c r="C37" s="1244"/>
      <c r="D37" s="1244"/>
      <c r="E37" s="1244"/>
      <c r="F37" s="1244"/>
      <c r="G37" s="1244"/>
      <c r="H37" s="1244"/>
      <c r="I37" s="1244"/>
      <c r="J37" s="1244"/>
      <c r="K37" s="1244"/>
      <c r="L37" s="1244"/>
      <c r="M37" s="1244"/>
      <c r="N37" s="1244"/>
      <c r="O37" s="1244"/>
      <c r="P37" s="1244"/>
      <c r="Q37" s="1238"/>
    </row>
    <row r="38" spans="1:295" ht="12.75" customHeight="1">
      <c r="A38" s="1246">
        <v>2</v>
      </c>
      <c r="B38" s="4" t="s">
        <v>2882</v>
      </c>
      <c r="C38" s="4"/>
      <c r="D38" s="4"/>
      <c r="E38" s="1244"/>
      <c r="G38" s="860"/>
      <c r="H38" s="860"/>
      <c r="I38" s="860"/>
      <c r="J38" s="42"/>
      <c r="L38" s="861"/>
      <c r="M38" s="861"/>
      <c r="N38" s="861"/>
      <c r="O38" s="143" t="s">
        <v>1960</v>
      </c>
      <c r="P38" s="1642"/>
      <c r="Q38" s="1674"/>
    </row>
    <row r="39" spans="1:295" ht="11.25" customHeight="1">
      <c r="A39" s="1705" t="s">
        <v>4037</v>
      </c>
      <c r="B39" s="1705"/>
      <c r="C39" s="1705"/>
      <c r="D39" s="1705"/>
      <c r="E39" s="1705"/>
      <c r="F39" s="1705"/>
      <c r="G39" s="1738" t="s">
        <v>2886</v>
      </c>
      <c r="H39" s="1739"/>
      <c r="I39" s="876"/>
      <c r="J39" s="42"/>
      <c r="K39" s="1604" t="s">
        <v>4035</v>
      </c>
      <c r="L39" s="1605"/>
      <c r="M39" s="1605"/>
      <c r="N39" s="1606"/>
    </row>
    <row r="40" spans="1:295" ht="11.25" customHeight="1">
      <c r="A40" s="1705"/>
      <c r="B40" s="1705"/>
      <c r="C40" s="1705"/>
      <c r="D40" s="1705"/>
      <c r="E40" s="1705"/>
      <c r="F40" s="1705"/>
      <c r="G40" s="1736" t="s">
        <v>359</v>
      </c>
      <c r="H40" s="1737"/>
      <c r="I40" s="876"/>
      <c r="J40" s="42"/>
      <c r="K40" s="1601" t="s">
        <v>4036</v>
      </c>
      <c r="L40" s="1602"/>
      <c r="M40" s="1602"/>
      <c r="N40" s="1603"/>
      <c r="P40" s="615" t="s">
        <v>2921</v>
      </c>
      <c r="Q40" s="1287" t="s">
        <v>3421</v>
      </c>
    </row>
    <row r="41" spans="1:295" ht="4.5" customHeight="1">
      <c r="A41" s="1705"/>
      <c r="B41" s="1705"/>
      <c r="C41" s="1705"/>
      <c r="D41" s="1705"/>
      <c r="E41" s="1705"/>
      <c r="F41" s="1705"/>
      <c r="G41" s="237"/>
      <c r="H41" s="237"/>
      <c r="I41" s="237"/>
      <c r="J41" s="42"/>
      <c r="K41" s="1607"/>
      <c r="L41" s="1607"/>
      <c r="M41" s="1607"/>
      <c r="N41" s="1607"/>
    </row>
    <row r="42" spans="1:295" s="86" customFormat="1" ht="10.5" customHeight="1">
      <c r="D42" s="877" t="s">
        <v>2885</v>
      </c>
      <c r="E42" s="35"/>
      <c r="F42" s="878" t="s">
        <v>4039</v>
      </c>
      <c r="G42" s="1727" t="s">
        <v>4038</v>
      </c>
      <c r="H42" s="1727"/>
      <c r="I42" s="1727"/>
      <c r="J42" s="35"/>
      <c r="K42" s="878" t="s">
        <v>4039</v>
      </c>
      <c r="L42" s="1727" t="s">
        <v>4038</v>
      </c>
      <c r="M42" s="1727"/>
      <c r="N42" s="1727"/>
      <c r="O42" s="35"/>
      <c r="R42" s="456"/>
      <c r="U42" s="35"/>
      <c r="V42" s="508"/>
      <c r="W42" s="508"/>
      <c r="X42" s="511"/>
      <c r="Y42" s="508"/>
      <c r="Z42" s="522"/>
      <c r="AA42" s="523"/>
      <c r="AB42" s="523"/>
      <c r="AC42" s="523"/>
      <c r="AD42" s="523"/>
      <c r="AE42" s="523"/>
      <c r="AF42" s="523"/>
      <c r="AG42" s="926"/>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728" t="s">
        <v>3814</v>
      </c>
      <c r="B43" s="1728"/>
      <c r="C43" s="1728"/>
      <c r="D43" s="1187" t="s">
        <v>591</v>
      </c>
      <c r="E43" s="1188">
        <v>0</v>
      </c>
      <c r="F43" s="1189">
        <f>'Part VI-Revenues &amp; Expenses'!H$104</f>
        <v>0</v>
      </c>
      <c r="G43" s="1190">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0" t="str">
        <f>CONCATENATE("x ", F43," units = ")</f>
        <v xml:space="preserve">x 0 units = </v>
      </c>
      <c r="I43" s="1191">
        <f>F43*G43</f>
        <v>0</v>
      </c>
      <c r="J43" s="42"/>
      <c r="K43" s="1189">
        <f>'Part VI-Revenues &amp; Expenses'!H$105</f>
        <v>0</v>
      </c>
      <c r="L43" s="1190">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0" t="str">
        <f>CONCATENATE("x ", K43," units = ")</f>
        <v xml:space="preserve">x 0 units = </v>
      </c>
      <c r="N43" s="1191">
        <f>K43*L43</f>
        <v>0</v>
      </c>
      <c r="O43" s="1244"/>
      <c r="P43" s="1706" t="s">
        <v>3816</v>
      </c>
      <c r="Q43" s="1706"/>
      <c r="R43" s="456"/>
      <c r="U43" s="35"/>
      <c r="V43" s="508"/>
      <c r="W43" s="508"/>
      <c r="X43" s="511"/>
      <c r="Y43" s="508"/>
      <c r="Z43" s="522"/>
      <c r="AA43" s="523"/>
      <c r="AB43" s="523"/>
      <c r="AC43" s="523"/>
      <c r="AD43" s="523"/>
      <c r="AE43" s="523"/>
      <c r="AF43" s="523"/>
      <c r="AG43" s="926"/>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728"/>
      <c r="B44" s="1728"/>
      <c r="C44" s="1728"/>
      <c r="D44" s="1187" t="s">
        <v>2560</v>
      </c>
      <c r="E44" s="1188">
        <v>1</v>
      </c>
      <c r="F44" s="1189">
        <f>'Part VI-Revenues &amp; Expenses'!I$104</f>
        <v>0</v>
      </c>
      <c r="G44" s="1190">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0" t="str">
        <f>CONCATENATE("x ", F44," units = ")</f>
        <v xml:space="preserve">x 0 units = </v>
      </c>
      <c r="I44" s="1191">
        <f>F44*G44</f>
        <v>0</v>
      </c>
      <c r="J44" s="42"/>
      <c r="K44" s="1189">
        <f>'Part VI-Revenues &amp; Expenses'!I$105</f>
        <v>0</v>
      </c>
      <c r="L44" s="1190">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0" t="str">
        <f>CONCATENATE("x ", K44," units = ")</f>
        <v xml:space="preserve">x 0 units = </v>
      </c>
      <c r="N44" s="1191">
        <f>K44*L44</f>
        <v>0</v>
      </c>
      <c r="O44" s="1244"/>
      <c r="P44" s="1706"/>
      <c r="Q44" s="1706"/>
      <c r="R44" s="456"/>
      <c r="U44" s="35"/>
      <c r="V44" s="508"/>
      <c r="W44" s="508"/>
      <c r="X44" s="511"/>
      <c r="Y44" s="508"/>
      <c r="Z44" s="522"/>
      <c r="AA44" s="523"/>
      <c r="AB44" s="523"/>
      <c r="AC44" s="523"/>
      <c r="AD44" s="523"/>
      <c r="AE44" s="523"/>
      <c r="AF44" s="523"/>
      <c r="AG44" s="926"/>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728"/>
      <c r="B45" s="1728"/>
      <c r="C45" s="1728"/>
      <c r="D45" s="1187" t="s">
        <v>2561</v>
      </c>
      <c r="E45" s="1188">
        <v>2</v>
      </c>
      <c r="F45" s="1189">
        <f>'Part VI-Revenues &amp; Expenses'!J$104</f>
        <v>0</v>
      </c>
      <c r="G45" s="1190">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0" t="str">
        <f>CONCATENATE("x ", F45," units = ")</f>
        <v xml:space="preserve">x 0 units = </v>
      </c>
      <c r="I45" s="1191">
        <f>F45*G45</f>
        <v>0</v>
      </c>
      <c r="J45" s="42"/>
      <c r="K45" s="1189">
        <f>'Part VI-Revenues &amp; Expenses'!J$105</f>
        <v>0</v>
      </c>
      <c r="L45" s="1190">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0" t="str">
        <f>CONCATENATE("x ", K45," units = ")</f>
        <v xml:space="preserve">x 0 units = </v>
      </c>
      <c r="N45" s="1191">
        <f>K45*L45</f>
        <v>0</v>
      </c>
      <c r="O45" s="1244"/>
      <c r="P45" s="1706"/>
      <c r="Q45" s="1706"/>
      <c r="U45" s="35"/>
      <c r="V45" s="508"/>
      <c r="W45" s="508"/>
      <c r="X45" s="511"/>
      <c r="Y45" s="508"/>
      <c r="Z45" s="522"/>
      <c r="AA45" s="523"/>
      <c r="AB45" s="523"/>
      <c r="AC45" s="523"/>
      <c r="AD45" s="523"/>
      <c r="AE45" s="523"/>
      <c r="AF45" s="523"/>
      <c r="AG45" s="926"/>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728"/>
      <c r="B46" s="1728"/>
      <c r="C46" s="1728"/>
      <c r="D46" s="1187" t="s">
        <v>2562</v>
      </c>
      <c r="E46" s="1188">
        <v>3</v>
      </c>
      <c r="F46" s="1189">
        <f>'Part VI-Revenues &amp; Expenses'!K$104</f>
        <v>0</v>
      </c>
      <c r="G46" s="1190">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0" t="str">
        <f>CONCATENATE("x ", F46," units = ")</f>
        <v xml:space="preserve">x 0 units = </v>
      </c>
      <c r="I46" s="1191">
        <f>F46*G46</f>
        <v>0</v>
      </c>
      <c r="J46" s="42"/>
      <c r="K46" s="1189">
        <f>'Part VI-Revenues &amp; Expenses'!K$105</f>
        <v>0</v>
      </c>
      <c r="L46" s="1190">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0" t="str">
        <f>CONCATENATE("x ", K46," units = ")</f>
        <v xml:space="preserve">x 0 units = </v>
      </c>
      <c r="N46" s="1191">
        <f>K46*L46</f>
        <v>0</v>
      </c>
      <c r="O46" s="1244"/>
      <c r="P46" s="1608"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609"/>
      <c r="U46" s="35"/>
      <c r="V46" s="508"/>
      <c r="W46" s="508"/>
      <c r="X46" s="511"/>
      <c r="Y46" s="508"/>
      <c r="Z46" s="522"/>
      <c r="AA46" s="523"/>
      <c r="AB46" s="523"/>
      <c r="AC46" s="523"/>
      <c r="AD46" s="523"/>
      <c r="AE46" s="523"/>
      <c r="AF46" s="523"/>
      <c r="AG46" s="926"/>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2" t="s">
        <v>2563</v>
      </c>
      <c r="E47" s="1188">
        <v>4</v>
      </c>
      <c r="F47" s="1189">
        <f>'Part VI-Revenues &amp; Expenses'!L$104</f>
        <v>0</v>
      </c>
      <c r="G47" s="1190">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0" t="str">
        <f>CONCATENATE("x ", F47," units = ")</f>
        <v xml:space="preserve">x 0 units = </v>
      </c>
      <c r="I47" s="1191">
        <f>F47*G47</f>
        <v>0</v>
      </c>
      <c r="J47" s="42"/>
      <c r="K47" s="1189">
        <f>'Part VI-Revenues &amp; Expenses'!L$105</f>
        <v>0</v>
      </c>
      <c r="L47" s="1190">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0" t="str">
        <f>CONCATENATE("x ", K47," units = ")</f>
        <v xml:space="preserve">x 0 units = </v>
      </c>
      <c r="N47" s="1191">
        <f>K47*L47</f>
        <v>0</v>
      </c>
      <c r="O47" s="1244"/>
      <c r="P47" s="1610"/>
      <c r="Q47" s="1611"/>
      <c r="T47" s="35"/>
      <c r="U47" s="35"/>
      <c r="V47" s="508"/>
      <c r="W47" s="508"/>
      <c r="X47" s="511"/>
      <c r="Y47" s="508"/>
      <c r="Z47" s="522"/>
      <c r="AA47" s="523"/>
      <c r="AB47" s="523"/>
      <c r="AC47" s="523"/>
      <c r="AD47" s="523"/>
      <c r="AE47" s="523"/>
      <c r="AF47" s="523"/>
      <c r="AG47" s="926"/>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3825</v>
      </c>
      <c r="E48" s="35"/>
      <c r="F48" s="848">
        <f>SUM(F43:F47)</f>
        <v>0</v>
      </c>
      <c r="G48" s="879"/>
      <c r="H48" s="849"/>
      <c r="I48" s="850">
        <f>SUM(I43:I47)</f>
        <v>0</v>
      </c>
      <c r="J48" s="851"/>
      <c r="K48" s="848">
        <f>SUM(K43:K47)</f>
        <v>0</v>
      </c>
      <c r="L48" s="851"/>
      <c r="M48" s="849"/>
      <c r="N48" s="850">
        <f>SUM(N43:N47)</f>
        <v>0</v>
      </c>
      <c r="O48" s="1244"/>
      <c r="P48" s="166"/>
      <c r="Q48" s="166"/>
      <c r="T48" s="35"/>
      <c r="U48" s="35"/>
      <c r="V48" s="508"/>
      <c r="W48" s="508"/>
      <c r="X48" s="511"/>
      <c r="Y48" s="508"/>
      <c r="Z48" s="522"/>
      <c r="AA48" s="523"/>
      <c r="AB48" s="523"/>
      <c r="AC48" s="523"/>
      <c r="AD48" s="523"/>
      <c r="AE48" s="523"/>
      <c r="AF48" s="523"/>
      <c r="AG48" s="926"/>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6"/>
      <c r="J49" s="139"/>
      <c r="K49" s="880"/>
      <c r="L49" s="139"/>
      <c r="M49" s="1244"/>
      <c r="N49" s="1256"/>
      <c r="O49" s="1244"/>
      <c r="P49" s="1612" t="str">
        <f>IF('Part IV-Uses of Funds'!$G$130&gt;P60,"CHECK TDC !!!","")</f>
        <v/>
      </c>
      <c r="Q49" s="1612"/>
      <c r="R49" s="456"/>
      <c r="S49" s="456"/>
      <c r="T49" s="35"/>
      <c r="U49" s="35"/>
      <c r="V49" s="508"/>
      <c r="W49" s="508"/>
      <c r="X49" s="511"/>
      <c r="Y49" s="508"/>
      <c r="Z49" s="522"/>
      <c r="AA49" s="523"/>
      <c r="AB49" s="523"/>
      <c r="AC49" s="523"/>
      <c r="AD49" s="523"/>
      <c r="AE49" s="523"/>
      <c r="AF49" s="523"/>
      <c r="AG49" s="926"/>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728" t="s">
        <v>3809</v>
      </c>
      <c r="B50" s="1728"/>
      <c r="C50" s="1728"/>
      <c r="D50" s="1187" t="s">
        <v>591</v>
      </c>
      <c r="E50" s="1193">
        <f>'Part VI-Revenues &amp; Expenses'!H106</f>
        <v>0</v>
      </c>
      <c r="F50" s="1189">
        <f>'Part VI-Revenues &amp; Expenses'!H$106</f>
        <v>0</v>
      </c>
      <c r="G50" s="1190">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0" t="str">
        <f>CONCATENATE("x ", F50," units = ")</f>
        <v xml:space="preserve">x 0 units = </v>
      </c>
      <c r="I50" s="1191">
        <f>F50*G50</f>
        <v>0</v>
      </c>
      <c r="J50" s="42"/>
      <c r="K50" s="1189">
        <f>'Part VI-Revenues &amp; Expenses'!H$107</f>
        <v>0</v>
      </c>
      <c r="L50" s="1190">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0" t="str">
        <f>CONCATENATE("x ", K50," units = ")</f>
        <v xml:space="preserve">x 0 units = </v>
      </c>
      <c r="N50" s="1191">
        <f>K50*L50</f>
        <v>0</v>
      </c>
      <c r="P50" s="1731" t="s">
        <v>3827</v>
      </c>
      <c r="Q50" s="1732"/>
      <c r="R50" s="456"/>
      <c r="S50" s="456"/>
      <c r="T50" s="35"/>
      <c r="U50" s="35"/>
      <c r="V50" s="508"/>
      <c r="W50" s="508"/>
      <c r="X50" s="511"/>
      <c r="Y50" s="508"/>
      <c r="Z50" s="522"/>
      <c r="AA50" s="523"/>
      <c r="AB50" s="523"/>
      <c r="AC50" s="523"/>
      <c r="AD50" s="523"/>
      <c r="AE50" s="523"/>
      <c r="AF50" s="523"/>
      <c r="AG50" s="926"/>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728"/>
      <c r="B51" s="1728"/>
      <c r="C51" s="1728"/>
      <c r="D51" s="1187" t="s">
        <v>2560</v>
      </c>
      <c r="E51" s="1188">
        <v>1</v>
      </c>
      <c r="F51" s="1189">
        <f>'Part VI-Revenues &amp; Expenses'!I$106</f>
        <v>4</v>
      </c>
      <c r="G51" s="1190">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0" t="str">
        <f>CONCATENATE("x ", F51," units = ")</f>
        <v xml:space="preserve">x 4 units = </v>
      </c>
      <c r="I51" s="1191">
        <f>F51*G51</f>
        <v>565388</v>
      </c>
      <c r="J51" s="42"/>
      <c r="K51" s="1189">
        <f>'Part VI-Revenues &amp; Expenses'!I$107</f>
        <v>0</v>
      </c>
      <c r="L51" s="1190">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0" t="str">
        <f>CONCATENATE("x ", K51," units = ")</f>
        <v xml:space="preserve">x 0 units = </v>
      </c>
      <c r="N51" s="1191">
        <f>K51*L51</f>
        <v>0</v>
      </c>
      <c r="P51" s="1613">
        <f>'Part IV-Uses of Funds'!$G$130</f>
        <v>6245106</v>
      </c>
      <c r="Q51" s="1614"/>
      <c r="R51" s="456"/>
      <c r="S51" s="456"/>
      <c r="T51" s="35"/>
      <c r="U51" s="35"/>
      <c r="V51" s="508"/>
      <c r="W51" s="508"/>
      <c r="X51" s="511"/>
      <c r="Y51" s="508"/>
      <c r="Z51" s="522"/>
      <c r="AA51" s="523"/>
      <c r="AB51" s="523"/>
      <c r="AC51" s="523"/>
      <c r="AD51" s="523"/>
      <c r="AE51" s="523"/>
      <c r="AF51" s="523"/>
      <c r="AG51" s="926"/>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728"/>
      <c r="B52" s="1728"/>
      <c r="C52" s="1728"/>
      <c r="D52" s="1187" t="s">
        <v>2561</v>
      </c>
      <c r="E52" s="1188">
        <v>2</v>
      </c>
      <c r="F52" s="1189">
        <f>'Part VI-Revenues &amp; Expenses'!J$106</f>
        <v>30</v>
      </c>
      <c r="G52" s="1190">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0" t="str">
        <f>CONCATENATE("x ", F52," units = ")</f>
        <v xml:space="preserve">x 30 units = </v>
      </c>
      <c r="I52" s="1191">
        <f>F52*G52</f>
        <v>5102100</v>
      </c>
      <c r="J52" s="42"/>
      <c r="K52" s="1189">
        <f>'Part VI-Revenues &amp; Expenses'!J$107</f>
        <v>0</v>
      </c>
      <c r="L52" s="1190">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0" t="str">
        <f>CONCATENATE("x ", K52," units = ")</f>
        <v xml:space="preserve">x 0 units = </v>
      </c>
      <c r="N52" s="1191">
        <f>K52*L52</f>
        <v>0</v>
      </c>
      <c r="O52" s="735"/>
      <c r="P52" s="862"/>
      <c r="Q52" s="863"/>
      <c r="R52" s="456"/>
      <c r="S52" s="456"/>
      <c r="T52" s="35"/>
      <c r="U52" s="35"/>
      <c r="V52" s="508"/>
      <c r="W52" s="508"/>
      <c r="X52" s="511"/>
      <c r="Y52" s="508"/>
      <c r="Z52" s="522"/>
      <c r="AA52" s="523"/>
      <c r="AB52" s="523"/>
      <c r="AC52" s="523"/>
      <c r="AD52" s="523"/>
      <c r="AE52" s="523"/>
      <c r="AF52" s="523"/>
      <c r="AG52" s="926"/>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7" t="s">
        <v>2562</v>
      </c>
      <c r="E53" s="1188">
        <v>3</v>
      </c>
      <c r="F53" s="1189">
        <f>'Part VI-Revenues &amp; Expenses'!K$106</f>
        <v>8</v>
      </c>
      <c r="G53" s="1190">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0" t="str">
        <f>CONCATENATE("x ", F53," units = ")</f>
        <v xml:space="preserve">x 8 units = </v>
      </c>
      <c r="I53" s="1191">
        <f>F53*G53</f>
        <v>1650232</v>
      </c>
      <c r="J53" s="42"/>
      <c r="K53" s="1189">
        <f>'Part VI-Revenues &amp; Expenses'!K$107</f>
        <v>0</v>
      </c>
      <c r="L53" s="1190">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0" t="str">
        <f>CONCATENATE("x ", K53," units = ")</f>
        <v xml:space="preserve">x 0 units = </v>
      </c>
      <c r="N53" s="1191">
        <f>K53*L53</f>
        <v>0</v>
      </c>
      <c r="O53" s="735"/>
      <c r="P53" s="1729" t="s">
        <v>4040</v>
      </c>
      <c r="Q53" s="1730"/>
      <c r="R53" s="456"/>
      <c r="S53" s="456"/>
      <c r="T53" s="35"/>
      <c r="U53" s="35"/>
      <c r="V53" s="508"/>
      <c r="W53" s="508"/>
      <c r="X53" s="511"/>
      <c r="Y53" s="508"/>
      <c r="Z53" s="522"/>
      <c r="AA53" s="523"/>
      <c r="AB53" s="523"/>
      <c r="AC53" s="523"/>
      <c r="AD53" s="523"/>
      <c r="AE53" s="523"/>
      <c r="AF53" s="523"/>
      <c r="AG53" s="926"/>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2" t="s">
        <v>2563</v>
      </c>
      <c r="E54" s="1188">
        <v>4</v>
      </c>
      <c r="F54" s="1189">
        <f>'Part VI-Revenues &amp; Expenses'!L$106</f>
        <v>0</v>
      </c>
      <c r="G54" s="1190">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0" t="str">
        <f>CONCATENATE("x ", F54," units = ")</f>
        <v xml:space="preserve">x 0 units = </v>
      </c>
      <c r="I54" s="1191">
        <f>F54*G54</f>
        <v>0</v>
      </c>
      <c r="J54" s="42"/>
      <c r="K54" s="1189">
        <f>'Part VI-Revenues &amp; Expenses'!L$107</f>
        <v>0</v>
      </c>
      <c r="L54" s="1190">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0" t="str">
        <f>CONCATENATE("x ", K54," units = ")</f>
        <v xml:space="preserve">x 0 units = </v>
      </c>
      <c r="N54" s="1191">
        <f>K54*L54</f>
        <v>0</v>
      </c>
      <c r="O54" s="735"/>
      <c r="P54" s="1615">
        <f>'Part I-Project Information'!$O$165</f>
        <v>0</v>
      </c>
      <c r="Q54" s="1616"/>
      <c r="R54" s="456"/>
      <c r="S54" s="456"/>
      <c r="T54" s="35"/>
      <c r="U54" s="35"/>
      <c r="V54" s="508"/>
      <c r="W54" s="508"/>
      <c r="X54" s="511"/>
      <c r="Y54" s="508"/>
      <c r="Z54" s="522"/>
      <c r="AA54" s="523"/>
      <c r="AB54" s="523"/>
      <c r="AC54" s="523"/>
      <c r="AD54" s="523"/>
      <c r="AE54" s="523"/>
      <c r="AF54" s="523"/>
      <c r="AG54" s="926"/>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3825</v>
      </c>
      <c r="E55" s="35"/>
      <c r="F55" s="848">
        <f>SUM(F50:F54)</f>
        <v>42</v>
      </c>
      <c r="G55" s="879"/>
      <c r="H55" s="849"/>
      <c r="I55" s="850">
        <f>SUM(I50:I54)</f>
        <v>7317720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926"/>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6"/>
      <c r="J56" s="35"/>
      <c r="K56" s="880"/>
      <c r="L56" s="35"/>
      <c r="M56" s="1244"/>
      <c r="N56" s="1256"/>
      <c r="O56" s="735"/>
      <c r="R56" s="456"/>
      <c r="S56" s="456"/>
      <c r="T56" s="35"/>
      <c r="U56" s="35"/>
      <c r="V56" s="508"/>
      <c r="W56" s="508"/>
      <c r="X56" s="511"/>
      <c r="Y56" s="508"/>
      <c r="Z56" s="522"/>
      <c r="AA56" s="523"/>
      <c r="AB56" s="523"/>
      <c r="AC56" s="523"/>
      <c r="AD56" s="523"/>
      <c r="AE56" s="523"/>
      <c r="AF56" s="523"/>
      <c r="AG56" s="926"/>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3810</v>
      </c>
      <c r="B57" s="755"/>
      <c r="C57" s="1"/>
      <c r="D57" s="1187" t="s">
        <v>591</v>
      </c>
      <c r="E57" s="1188">
        <v>0</v>
      </c>
      <c r="F57" s="1189">
        <f>'Part VI-Revenues &amp; Expenses'!H$108</f>
        <v>0</v>
      </c>
      <c r="G57" s="1190">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0" t="str">
        <f>CONCATENATE("x ", F57," units = ")</f>
        <v xml:space="preserve">x 0 units = </v>
      </c>
      <c r="I57" s="1191">
        <f>F57*G57</f>
        <v>0</v>
      </c>
      <c r="J57" s="42"/>
      <c r="K57" s="1189">
        <f>'Part VI-Revenues &amp; Expenses'!H$109</f>
        <v>0</v>
      </c>
      <c r="L57" s="1190">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0" t="str">
        <f>CONCATENATE("x ", K57," units = ")</f>
        <v xml:space="preserve">x 0 units = </v>
      </c>
      <c r="N57" s="1191">
        <f>K57*L57</f>
        <v>0</v>
      </c>
      <c r="O57" s="735"/>
      <c r="P57" s="1617" t="s">
        <v>3071</v>
      </c>
      <c r="Q57" s="1617"/>
      <c r="R57" s="456"/>
      <c r="U57" s="35"/>
      <c r="V57" s="508"/>
      <c r="W57" s="508"/>
      <c r="X57" s="511"/>
      <c r="Y57" s="508"/>
      <c r="Z57" s="522"/>
      <c r="AA57" s="523"/>
      <c r="AB57" s="523"/>
      <c r="AC57" s="523"/>
      <c r="AD57" s="523"/>
      <c r="AE57" s="523"/>
      <c r="AF57" s="523"/>
      <c r="AG57" s="926"/>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7" t="s">
        <v>2560</v>
      </c>
      <c r="E58" s="1188">
        <v>1</v>
      </c>
      <c r="F58" s="1189">
        <f>'Part VI-Revenues &amp; Expenses'!I$108</f>
        <v>0</v>
      </c>
      <c r="G58" s="1190">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0" t="str">
        <f>CONCATENATE("x ", F58," units = ")</f>
        <v xml:space="preserve">x 0 units = </v>
      </c>
      <c r="I58" s="1191">
        <f>F58*G58</f>
        <v>0</v>
      </c>
      <c r="J58" s="42"/>
      <c r="K58" s="1189">
        <f>'Part VI-Revenues &amp; Expenses'!I$109</f>
        <v>0</v>
      </c>
      <c r="L58" s="1190">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0" t="str">
        <f>CONCATENATE("x ", K58," units = ")</f>
        <v xml:space="preserve">x 0 units = </v>
      </c>
      <c r="N58" s="1191">
        <f>K58*L58</f>
        <v>0</v>
      </c>
      <c r="P58" s="1617"/>
      <c r="Q58" s="1617"/>
      <c r="U58" s="35"/>
      <c r="V58" s="508"/>
      <c r="W58" s="508"/>
      <c r="X58" s="511"/>
      <c r="Y58" s="508"/>
      <c r="Z58" s="522"/>
      <c r="AA58" s="523"/>
      <c r="AB58" s="523"/>
      <c r="AC58" s="523"/>
      <c r="AD58" s="523"/>
      <c r="AE58" s="523"/>
      <c r="AF58" s="523"/>
      <c r="AG58" s="926"/>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7" t="s">
        <v>2561</v>
      </c>
      <c r="E59" s="1188">
        <v>2</v>
      </c>
      <c r="F59" s="1189">
        <f>'Part VI-Revenues &amp; Expenses'!J$108</f>
        <v>0</v>
      </c>
      <c r="G59" s="1190">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0" t="str">
        <f>CONCATENATE("x ", F59," units = ")</f>
        <v xml:space="preserve">x 0 units = </v>
      </c>
      <c r="I59" s="1191">
        <f>F59*G59</f>
        <v>0</v>
      </c>
      <c r="J59" s="42"/>
      <c r="K59" s="1189">
        <f>'Part VI-Revenues &amp; Expenses'!J$109</f>
        <v>0</v>
      </c>
      <c r="L59" s="1190">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0" t="str">
        <f>CONCATENATE("x ", K59," units = ")</f>
        <v xml:space="preserve">x 0 units = </v>
      </c>
      <c r="N59" s="1191">
        <f>K59*L59</f>
        <v>0</v>
      </c>
      <c r="P59" s="1617"/>
      <c r="Q59" s="1617"/>
      <c r="U59" s="35"/>
      <c r="V59" s="508"/>
      <c r="W59" s="508"/>
      <c r="X59" s="511"/>
      <c r="Y59" s="508"/>
      <c r="Z59" s="522"/>
      <c r="AA59" s="523"/>
      <c r="AB59" s="523"/>
      <c r="AC59" s="523"/>
      <c r="AD59" s="523"/>
      <c r="AE59" s="523"/>
      <c r="AF59" s="523"/>
      <c r="AG59" s="926"/>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7" t="s">
        <v>2562</v>
      </c>
      <c r="E60" s="1188">
        <v>3</v>
      </c>
      <c r="F60" s="1189">
        <f>'Part VI-Revenues &amp; Expenses'!K$108</f>
        <v>0</v>
      </c>
      <c r="G60" s="1190">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0" t="str">
        <f>CONCATENATE("x ", F60," units = ")</f>
        <v xml:space="preserve">x 0 units = </v>
      </c>
      <c r="I60" s="1191">
        <f>F60*G60</f>
        <v>0</v>
      </c>
      <c r="J60" s="42"/>
      <c r="K60" s="1189">
        <f>'Part VI-Revenues &amp; Expenses'!K$109</f>
        <v>0</v>
      </c>
      <c r="L60" s="1190">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0" t="str">
        <f>CONCATENATE("x ", K60," units = ")</f>
        <v xml:space="preserve">x 0 units = </v>
      </c>
      <c r="N60" s="1191">
        <f>K60*L60</f>
        <v>0</v>
      </c>
      <c r="O60" s="735"/>
      <c r="P60" s="1707">
        <f>IF(AND('Part I-Project Information'!I165="Yes",'Part I-Project Information'!O165&gt;1),'Part I-Project Information'!O165, IF(AND('Part IV-Uses of Funds'!$T$163="Yes",'Part IX A-Scoring Criteria'!$O$300&gt;0),I71+N71,I71))</f>
        <v>7317720</v>
      </c>
      <c r="Q60" s="1708"/>
      <c r="U60" s="35"/>
      <c r="V60" s="508"/>
      <c r="W60" s="508"/>
      <c r="X60" s="511"/>
      <c r="Y60" s="508"/>
      <c r="Z60" s="522"/>
      <c r="AA60" s="523"/>
      <c r="AB60" s="523"/>
      <c r="AC60" s="523"/>
      <c r="AD60" s="523"/>
      <c r="AE60" s="523"/>
      <c r="AF60" s="523"/>
      <c r="AG60" s="926"/>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2" t="s">
        <v>2563</v>
      </c>
      <c r="E61" s="1188">
        <v>4</v>
      </c>
      <c r="F61" s="1189">
        <f>'Part VI-Revenues &amp; Expenses'!L$108</f>
        <v>0</v>
      </c>
      <c r="G61" s="1190">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0" t="str">
        <f>CONCATENATE("x ", F61," units = ")</f>
        <v xml:space="preserve">x 0 units = </v>
      </c>
      <c r="I61" s="1191">
        <f>F61*G61</f>
        <v>0</v>
      </c>
      <c r="J61" s="42"/>
      <c r="K61" s="1189">
        <f>'Part VI-Revenues &amp; Expenses'!L$109</f>
        <v>0</v>
      </c>
      <c r="L61" s="1190">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0" t="str">
        <f>CONCATENATE("x ", K61," units = ")</f>
        <v xml:space="preserve">x 0 units = </v>
      </c>
      <c r="N61" s="1191">
        <f>K61*L61</f>
        <v>0</v>
      </c>
      <c r="O61" s="735"/>
      <c r="P61" s="1709"/>
      <c r="Q61" s="1710"/>
      <c r="R61" s="456"/>
      <c r="U61" s="35"/>
      <c r="V61" s="508"/>
      <c r="W61" s="508"/>
      <c r="X61" s="511"/>
      <c r="Y61" s="508"/>
      <c r="Z61" s="522"/>
      <c r="AA61" s="523"/>
      <c r="AB61" s="523"/>
      <c r="AC61" s="523"/>
      <c r="AD61" s="523"/>
      <c r="AE61" s="523"/>
      <c r="AF61" s="523"/>
      <c r="AG61" s="926"/>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3825</v>
      </c>
      <c r="E62" s="35"/>
      <c r="F62" s="848">
        <f>SUM(F57:F61)</f>
        <v>0</v>
      </c>
      <c r="G62" s="879"/>
      <c r="H62" s="849"/>
      <c r="I62" s="850">
        <f>SUM(I57:I61)</f>
        <v>0</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926"/>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6"/>
      <c r="J63" s="35"/>
      <c r="K63" s="880"/>
      <c r="L63" s="35"/>
      <c r="M63" s="1244"/>
      <c r="N63" s="1256"/>
      <c r="O63" s="735"/>
      <c r="Q63" s="456"/>
      <c r="R63" s="456"/>
      <c r="U63" s="35"/>
      <c r="V63" s="508"/>
      <c r="W63" s="508"/>
      <c r="X63" s="511"/>
      <c r="Y63" s="508"/>
      <c r="Z63" s="522"/>
      <c r="AA63" s="523"/>
      <c r="AB63" s="523"/>
      <c r="AC63" s="523"/>
      <c r="AD63" s="523"/>
      <c r="AE63" s="523"/>
      <c r="AF63" s="523"/>
      <c r="AG63" s="926"/>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3811</v>
      </c>
      <c r="B64" s="8"/>
      <c r="C64" s="1"/>
      <c r="D64" s="1187" t="s">
        <v>591</v>
      </c>
      <c r="E64" s="1188">
        <v>0</v>
      </c>
      <c r="F64" s="1189">
        <f>'Part VI-Revenues &amp; Expenses'!H$110</f>
        <v>0</v>
      </c>
      <c r="G64" s="1190">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0" t="str">
        <f>CONCATENATE("x ", F64," units = ")</f>
        <v xml:space="preserve">x 0 units = </v>
      </c>
      <c r="I64" s="1191">
        <f>F64*G64</f>
        <v>0</v>
      </c>
      <c r="J64" s="42"/>
      <c r="K64" s="1189">
        <f>'Part VI-Revenues &amp; Expenses'!H$111</f>
        <v>0</v>
      </c>
      <c r="L64" s="1190">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0" t="str">
        <f>CONCATENATE("x ", K64," units = ")</f>
        <v xml:space="preserve">x 0 units = </v>
      </c>
      <c r="N64" s="1191">
        <f>K64*L64</f>
        <v>0</v>
      </c>
      <c r="O64" s="735"/>
      <c r="P64" s="1620" t="s">
        <v>2917</v>
      </c>
      <c r="Q64" s="1620"/>
      <c r="R64" s="456"/>
      <c r="S64" s="456"/>
      <c r="T64" s="35"/>
      <c r="U64" s="35"/>
      <c r="V64" s="508"/>
      <c r="W64" s="508"/>
      <c r="X64" s="511"/>
      <c r="Y64" s="508"/>
      <c r="Z64" s="522"/>
      <c r="AA64" s="523"/>
      <c r="AB64" s="523"/>
      <c r="AC64" s="523"/>
      <c r="AD64" s="523"/>
      <c r="AE64" s="523"/>
      <c r="AF64" s="523"/>
      <c r="AG64" s="926"/>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7" t="s">
        <v>2560</v>
      </c>
      <c r="E65" s="1188">
        <v>1</v>
      </c>
      <c r="F65" s="1189">
        <f>'Part VI-Revenues &amp; Expenses'!I$110</f>
        <v>0</v>
      </c>
      <c r="G65" s="1190">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0" t="str">
        <f>CONCATENATE("x ", F65," units = ")</f>
        <v xml:space="preserve">x 0 units = </v>
      </c>
      <c r="I65" s="1191">
        <f>F65*G65</f>
        <v>0</v>
      </c>
      <c r="J65" s="42"/>
      <c r="K65" s="1189">
        <f>'Part VI-Revenues &amp; Expenses'!I$111</f>
        <v>0</v>
      </c>
      <c r="L65" s="1190">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0" t="str">
        <f>CONCATENATE("x ", K65," units = ")</f>
        <v xml:space="preserve">x 0 units = </v>
      </c>
      <c r="N65" s="1191">
        <f>K65*L65</f>
        <v>0</v>
      </c>
      <c r="O65" s="735"/>
      <c r="P65" s="1620"/>
      <c r="Q65" s="1620"/>
      <c r="R65" s="456"/>
      <c r="U65" s="35"/>
      <c r="V65" s="508"/>
      <c r="W65" s="508"/>
      <c r="X65" s="511"/>
      <c r="Y65" s="508"/>
      <c r="Z65" s="522"/>
      <c r="AA65" s="523"/>
      <c r="AB65" s="523"/>
      <c r="AC65" s="523"/>
      <c r="AD65" s="523"/>
      <c r="AE65" s="523"/>
      <c r="AF65" s="523"/>
      <c r="AG65" s="926"/>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7" t="s">
        <v>2561</v>
      </c>
      <c r="E66" s="1188">
        <v>2</v>
      </c>
      <c r="F66" s="1189">
        <f>'Part VI-Revenues &amp; Expenses'!J$110</f>
        <v>0</v>
      </c>
      <c r="G66" s="1190">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0" t="str">
        <f>CONCATENATE("x ", F66," units = ")</f>
        <v xml:space="preserve">x 0 units = </v>
      </c>
      <c r="I66" s="1191">
        <f>F66*G66</f>
        <v>0</v>
      </c>
      <c r="J66" s="42"/>
      <c r="K66" s="1189">
        <f>'Part VI-Revenues &amp; Expenses'!J$111</f>
        <v>0</v>
      </c>
      <c r="L66" s="1190">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0" t="str">
        <f>CONCATENATE("x ", K66," units = ")</f>
        <v xml:space="preserve">x 0 units = </v>
      </c>
      <c r="N66" s="1191">
        <f>K66*L66</f>
        <v>0</v>
      </c>
      <c r="P66" s="1620"/>
      <c r="Q66" s="1620"/>
      <c r="R66" s="456"/>
      <c r="U66" s="35"/>
      <c r="V66" s="508"/>
      <c r="W66" s="508"/>
      <c r="X66" s="511"/>
      <c r="Y66" s="508"/>
      <c r="Z66" s="522"/>
      <c r="AA66" s="523"/>
      <c r="AB66" s="523"/>
      <c r="AC66" s="523"/>
      <c r="AD66" s="523"/>
      <c r="AE66" s="523"/>
      <c r="AF66" s="523"/>
      <c r="AG66" s="926"/>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7" t="s">
        <v>2562</v>
      </c>
      <c r="E67" s="1188">
        <v>3</v>
      </c>
      <c r="F67" s="1189">
        <f>'Part VI-Revenues &amp; Expenses'!K$110</f>
        <v>0</v>
      </c>
      <c r="G67" s="1190">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0" t="str">
        <f>CONCATENATE("x ", F67," units = ")</f>
        <v xml:space="preserve">x 0 units = </v>
      </c>
      <c r="I67" s="1191">
        <f>F67*G67</f>
        <v>0</v>
      </c>
      <c r="J67" s="42"/>
      <c r="K67" s="1189">
        <f>'Part VI-Revenues &amp; Expenses'!K$111</f>
        <v>0</v>
      </c>
      <c r="L67" s="1190">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0" t="str">
        <f>CONCATENATE("x ", K67," units = ")</f>
        <v xml:space="preserve">x 0 units = </v>
      </c>
      <c r="N67" s="1191">
        <f>K67*L67</f>
        <v>0</v>
      </c>
      <c r="P67" s="1620"/>
      <c r="Q67" s="1620"/>
      <c r="R67" s="456"/>
      <c r="U67" s="35"/>
      <c r="V67" s="508"/>
      <c r="W67" s="508"/>
      <c r="X67" s="511"/>
      <c r="Y67" s="508"/>
      <c r="Z67" s="522"/>
      <c r="AA67" s="523"/>
      <c r="AB67" s="523"/>
      <c r="AC67" s="523"/>
      <c r="AD67" s="523"/>
      <c r="AE67" s="523"/>
      <c r="AF67" s="523"/>
      <c r="AG67" s="926"/>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2" t="s">
        <v>2563</v>
      </c>
      <c r="E68" s="1188">
        <v>4</v>
      </c>
      <c r="F68" s="1189">
        <f>'Part VI-Revenues &amp; Expenses'!L$110</f>
        <v>0</v>
      </c>
      <c r="G68" s="1190">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0" t="str">
        <f>CONCATENATE("x ", F68," units = ")</f>
        <v xml:space="preserve">x 0 units = </v>
      </c>
      <c r="I68" s="1191">
        <f>F68*G68</f>
        <v>0</v>
      </c>
      <c r="J68" s="42"/>
      <c r="K68" s="1189">
        <f>'Part VI-Revenues &amp; Expenses'!L$111</f>
        <v>0</v>
      </c>
      <c r="L68" s="1190">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0" t="str">
        <f>CONCATENATE("x ", K68," units = ")</f>
        <v xml:space="preserve">x 0 units = </v>
      </c>
      <c r="N68" s="1191">
        <f>K68*L68</f>
        <v>0</v>
      </c>
      <c r="O68" s="735"/>
      <c r="P68" s="1620"/>
      <c r="Q68" s="1620"/>
      <c r="R68" s="456"/>
      <c r="U68" s="35"/>
      <c r="V68" s="508"/>
      <c r="W68" s="508"/>
      <c r="X68" s="511"/>
      <c r="Y68" s="508"/>
      <c r="Z68" s="522"/>
      <c r="AA68" s="523"/>
      <c r="AB68" s="523"/>
      <c r="AC68" s="523"/>
      <c r="AD68" s="523"/>
      <c r="AE68" s="523"/>
      <c r="AF68" s="523"/>
      <c r="AG68" s="926"/>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3825</v>
      </c>
      <c r="E69" s="35"/>
      <c r="F69" s="848">
        <f>SUM(F64:F68)</f>
        <v>0</v>
      </c>
      <c r="G69" s="879"/>
      <c r="H69" s="849"/>
      <c r="I69" s="850">
        <f>SUM(I64:I68)</f>
        <v>0</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926"/>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82"/>
      <c r="O70" s="735"/>
      <c r="R70" s="456"/>
      <c r="S70" s="456"/>
      <c r="T70" s="35"/>
      <c r="U70" s="35"/>
      <c r="V70" s="508"/>
      <c r="W70" s="508"/>
      <c r="X70" s="511"/>
      <c r="Y70" s="508"/>
      <c r="Z70" s="522"/>
      <c r="AA70" s="523"/>
      <c r="AB70" s="523"/>
      <c r="AC70" s="523"/>
      <c r="AD70" s="523"/>
      <c r="AE70" s="523"/>
      <c r="AF70" s="523"/>
      <c r="AG70" s="926"/>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3826</v>
      </c>
      <c r="B71" s="1"/>
      <c r="C71" s="1"/>
      <c r="D71" s="95"/>
      <c r="E71" s="116"/>
      <c r="F71" s="858">
        <f>F48+F55+F62+F69</f>
        <v>42</v>
      </c>
      <c r="G71" s="370"/>
      <c r="H71" s="859"/>
      <c r="I71" s="858">
        <f>I48+I55+I62+I69</f>
        <v>7317720</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926"/>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1958</v>
      </c>
      <c r="D72" s="101"/>
      <c r="E72" s="101"/>
      <c r="F72" s="101"/>
      <c r="G72" s="101"/>
      <c r="H72" s="40"/>
      <c r="I72" s="787"/>
      <c r="J72" s="787"/>
      <c r="K72" s="149" t="s">
        <v>1959</v>
      </c>
      <c r="L72" s="1238"/>
      <c r="M72" s="1238"/>
      <c r="N72" s="1238"/>
      <c r="O72" s="1238"/>
      <c r="P72" s="1238"/>
      <c r="Q72" s="1274"/>
    </row>
    <row r="73" spans="1:295" ht="10.5" customHeight="1">
      <c r="A73" s="1598" t="s">
        <v>4440</v>
      </c>
      <c r="B73" s="1599"/>
      <c r="C73" s="1599"/>
      <c r="D73" s="1599"/>
      <c r="E73" s="1599"/>
      <c r="F73" s="1599"/>
      <c r="G73" s="1599"/>
      <c r="H73" s="1599"/>
      <c r="I73" s="1599"/>
      <c r="J73" s="1600"/>
      <c r="K73" s="1644"/>
      <c r="L73" s="1645"/>
      <c r="M73" s="1645"/>
      <c r="N73" s="1645"/>
      <c r="O73" s="1645"/>
      <c r="P73" s="1645"/>
      <c r="Q73" s="1646"/>
      <c r="R73" s="501" t="s">
        <v>1313</v>
      </c>
      <c r="U73" s="148"/>
      <c r="V73" s="148"/>
      <c r="W73" s="148"/>
      <c r="X73" s="148"/>
      <c r="Y73" s="148"/>
      <c r="Z73" s="148"/>
      <c r="AA73" s="148"/>
      <c r="AB73" s="148"/>
      <c r="AC73" s="148"/>
      <c r="AD73" s="148"/>
      <c r="AE73" s="533"/>
    </row>
    <row r="74" spans="1:295" ht="3" customHeight="1">
      <c r="B74" s="787"/>
      <c r="C74" s="1244"/>
      <c r="D74" s="1244"/>
      <c r="E74" s="1244"/>
      <c r="F74" s="1244"/>
      <c r="G74" s="1244"/>
      <c r="H74" s="1244"/>
      <c r="I74" s="1244"/>
      <c r="J74" s="1244"/>
      <c r="K74" s="1244"/>
      <c r="L74" s="1244"/>
      <c r="M74" s="1244"/>
      <c r="N74" s="1244"/>
      <c r="O74" s="1244"/>
      <c r="P74" s="1244"/>
      <c r="Q74" s="1238"/>
    </row>
    <row r="75" spans="1:295" ht="12.75" customHeight="1">
      <c r="A75" s="1246">
        <v>3</v>
      </c>
      <c r="B75" s="4" t="s">
        <v>1246</v>
      </c>
      <c r="C75" s="4"/>
      <c r="D75" s="4"/>
      <c r="E75" s="1244"/>
      <c r="F75" s="1244"/>
      <c r="G75" s="152" t="s">
        <v>101</v>
      </c>
      <c r="H75" s="1244"/>
      <c r="K75" s="2613" t="str">
        <f>'Part I-Project Information'!$H$67</f>
        <v>Family</v>
      </c>
      <c r="L75" s="2614"/>
      <c r="M75" s="2615"/>
      <c r="O75" s="143" t="s">
        <v>1960</v>
      </c>
      <c r="P75" s="1642"/>
      <c r="Q75" s="1674"/>
    </row>
    <row r="76" spans="1:295" ht="10.5" customHeight="1">
      <c r="B76" s="101" t="s">
        <v>1958</v>
      </c>
      <c r="D76" s="101"/>
      <c r="E76" s="101"/>
      <c r="F76" s="101"/>
      <c r="G76" s="101"/>
      <c r="H76" s="40"/>
      <c r="I76" s="787"/>
      <c r="J76" s="787"/>
      <c r="K76" s="149" t="s">
        <v>1959</v>
      </c>
      <c r="L76" s="1238"/>
      <c r="M76" s="1238"/>
      <c r="N76" s="1238"/>
      <c r="O76" s="1238"/>
      <c r="P76" s="1238"/>
      <c r="Q76" s="1274"/>
    </row>
    <row r="77" spans="1:295" ht="10.5" customHeight="1">
      <c r="A77" s="1598" t="s">
        <v>4441</v>
      </c>
      <c r="B77" s="1599"/>
      <c r="C77" s="1599"/>
      <c r="D77" s="1599"/>
      <c r="E77" s="1599"/>
      <c r="F77" s="1599"/>
      <c r="G77" s="1599"/>
      <c r="H77" s="1599"/>
      <c r="I77" s="1599"/>
      <c r="J77" s="1600"/>
      <c r="K77" s="1644"/>
      <c r="L77" s="1645"/>
      <c r="M77" s="1645"/>
      <c r="N77" s="1645"/>
      <c r="O77" s="1645"/>
      <c r="P77" s="1645"/>
      <c r="Q77" s="1646"/>
      <c r="R77" s="501" t="s">
        <v>1313</v>
      </c>
      <c r="U77" s="148"/>
      <c r="V77" s="148"/>
      <c r="W77" s="148"/>
      <c r="X77" s="148"/>
      <c r="Y77" s="148"/>
      <c r="Z77" s="148"/>
      <c r="AA77" s="148"/>
      <c r="AB77" s="148"/>
      <c r="AC77" s="148"/>
      <c r="AD77" s="148"/>
      <c r="AE77" s="533"/>
    </row>
    <row r="78" spans="1:295" ht="3" customHeight="1">
      <c r="A78" s="1238"/>
      <c r="B78" s="787"/>
      <c r="C78" s="1244"/>
      <c r="D78" s="1244"/>
      <c r="E78" s="1244"/>
      <c r="F78" s="1244"/>
      <c r="G78" s="1244"/>
      <c r="H78" s="1244"/>
      <c r="I78" s="1244"/>
      <c r="J78" s="1244"/>
      <c r="K78" s="1244"/>
      <c r="L78" s="1244"/>
      <c r="M78" s="1244"/>
      <c r="N78" s="1244"/>
      <c r="O78" s="1244"/>
      <c r="P78" s="1244"/>
      <c r="Q78" s="1238"/>
    </row>
    <row r="79" spans="1:295" ht="12.75" customHeight="1">
      <c r="A79" s="1246">
        <v>4</v>
      </c>
      <c r="B79" s="1246" t="s">
        <v>2789</v>
      </c>
      <c r="C79" s="121"/>
      <c r="D79" s="1244"/>
      <c r="E79" s="1244"/>
      <c r="F79" s="1244"/>
      <c r="G79" s="1244"/>
      <c r="H79" s="1244"/>
      <c r="I79" s="1244"/>
      <c r="J79" s="1244"/>
      <c r="K79" s="1244"/>
      <c r="L79" s="1244"/>
      <c r="M79" s="1244"/>
      <c r="O79" s="143" t="s">
        <v>1960</v>
      </c>
      <c r="P79" s="1642"/>
      <c r="Q79" s="1674"/>
    </row>
    <row r="80" spans="1:295" ht="1.5" customHeight="1"/>
    <row r="81" spans="1:31" ht="10.5" customHeight="1">
      <c r="B81" s="914" t="s">
        <v>2080</v>
      </c>
      <c r="C81" s="1554" t="s">
        <v>3828</v>
      </c>
      <c r="D81" s="1697"/>
      <c r="E81" s="1697"/>
      <c r="F81" s="1697"/>
      <c r="G81" s="1697"/>
      <c r="H81" s="1697"/>
      <c r="I81" s="1697"/>
      <c r="J81" s="1697"/>
      <c r="K81" s="1697"/>
      <c r="L81" s="1697"/>
      <c r="M81" s="1697"/>
      <c r="O81" s="155"/>
      <c r="P81" s="1287" t="s">
        <v>4442</v>
      </c>
    </row>
    <row r="82" spans="1:31" ht="10.5" customHeight="1">
      <c r="B82" s="121" t="s">
        <v>2083</v>
      </c>
      <c r="C82" s="1275" t="s">
        <v>2893</v>
      </c>
      <c r="D82" s="1275"/>
      <c r="E82" s="1275"/>
      <c r="F82" s="1275"/>
      <c r="G82" s="1275"/>
      <c r="H82" s="1275"/>
      <c r="I82" s="1275"/>
      <c r="J82" s="1275"/>
      <c r="K82" s="1275"/>
      <c r="L82" s="1275"/>
      <c r="M82" s="1275"/>
      <c r="O82" s="1275"/>
      <c r="P82" s="1275"/>
      <c r="Q82" s="1275"/>
    </row>
    <row r="83" spans="1:31" ht="10.9" customHeight="1">
      <c r="A83" s="156"/>
      <c r="B83" s="69" t="s">
        <v>1824</v>
      </c>
      <c r="C83" s="1275" t="s">
        <v>4225</v>
      </c>
      <c r="E83" s="1239"/>
      <c r="F83" s="1239"/>
      <c r="G83" s="1239"/>
      <c r="H83" s="32"/>
      <c r="I83" s="36" t="s">
        <v>2874</v>
      </c>
      <c r="J83" s="1592" t="s">
        <v>4443</v>
      </c>
      <c r="K83" s="1593"/>
      <c r="L83" s="1593"/>
      <c r="M83" s="1593"/>
      <c r="N83" s="1593"/>
      <c r="O83" s="1593"/>
      <c r="P83" s="1593"/>
      <c r="Q83" s="1594"/>
    </row>
    <row r="84" spans="1:31" ht="10.9" customHeight="1">
      <c r="A84" s="156"/>
      <c r="B84" s="69" t="s">
        <v>1825</v>
      </c>
      <c r="C84" s="1275" t="s">
        <v>1898</v>
      </c>
      <c r="E84" s="1239"/>
      <c r="F84" s="1239"/>
      <c r="G84" s="1239"/>
      <c r="H84" s="32"/>
      <c r="I84" s="36" t="s">
        <v>2874</v>
      </c>
      <c r="J84" s="1589"/>
      <c r="K84" s="1590"/>
      <c r="L84" s="1590"/>
      <c r="M84" s="1590"/>
      <c r="N84" s="1590"/>
      <c r="O84" s="1590"/>
      <c r="P84" s="1590"/>
      <c r="Q84" s="1591"/>
    </row>
    <row r="85" spans="1:31" ht="10.9" customHeight="1">
      <c r="A85" s="156"/>
      <c r="B85" s="69" t="s">
        <v>1826</v>
      </c>
      <c r="C85" s="1275" t="s">
        <v>3829</v>
      </c>
      <c r="E85" s="1239"/>
      <c r="F85" s="1239"/>
      <c r="G85" s="1239"/>
      <c r="H85" s="32"/>
      <c r="I85" s="36" t="s">
        <v>2874</v>
      </c>
      <c r="J85" s="1589"/>
      <c r="K85" s="1590"/>
      <c r="L85" s="1590"/>
      <c r="M85" s="1590"/>
      <c r="N85" s="1590"/>
      <c r="O85" s="1590"/>
      <c r="P85" s="1590"/>
      <c r="Q85" s="1591"/>
    </row>
    <row r="86" spans="1:31" ht="10.9" customHeight="1">
      <c r="A86" s="156"/>
      <c r="B86" s="531" t="s">
        <v>2476</v>
      </c>
      <c r="C86" s="1275" t="s">
        <v>3830</v>
      </c>
      <c r="E86" s="1239"/>
      <c r="I86" s="36" t="s">
        <v>2874</v>
      </c>
      <c r="J86" s="1586"/>
      <c r="K86" s="1587"/>
      <c r="L86" s="1587"/>
      <c r="M86" s="1587"/>
      <c r="N86" s="1587"/>
      <c r="O86" s="1587"/>
      <c r="P86" s="1587"/>
      <c r="Q86" s="1588"/>
    </row>
    <row r="87" spans="1:31" ht="10.9" customHeight="1">
      <c r="A87" s="156"/>
      <c r="B87" s="121" t="s">
        <v>788</v>
      </c>
      <c r="C87" s="40" t="s">
        <v>4365</v>
      </c>
      <c r="D87" s="1275"/>
      <c r="E87" s="1239"/>
      <c r="J87" s="36"/>
      <c r="K87" s="36"/>
      <c r="L87" s="36"/>
      <c r="M87" s="36"/>
      <c r="N87" s="36"/>
      <c r="O87" s="36"/>
      <c r="P87" s="36"/>
      <c r="Q87" s="36"/>
    </row>
    <row r="88" spans="1:31" ht="10.9" customHeight="1">
      <c r="A88" s="156"/>
      <c r="B88" s="47"/>
      <c r="C88" s="56" t="s">
        <v>4226</v>
      </c>
      <c r="D88" s="145"/>
      <c r="E88" s="145"/>
      <c r="F88" s="145"/>
      <c r="G88" s="145"/>
      <c r="H88" s="145"/>
      <c r="I88" s="42"/>
      <c r="J88" s="42"/>
      <c r="K88" s="531" t="s">
        <v>788</v>
      </c>
      <c r="L88" s="1595" t="s">
        <v>1016</v>
      </c>
      <c r="M88" s="1596"/>
      <c r="N88" s="1596"/>
      <c r="O88" s="1596"/>
      <c r="P88" s="1597"/>
      <c r="Q88" s="2616"/>
    </row>
    <row r="89" spans="1:31" ht="10.5" customHeight="1">
      <c r="B89" s="101" t="s">
        <v>1958</v>
      </c>
      <c r="D89" s="101"/>
      <c r="E89" s="101"/>
      <c r="F89" s="101"/>
      <c r="G89" s="101"/>
      <c r="H89" s="40"/>
      <c r="I89" s="787"/>
      <c r="J89" s="787"/>
      <c r="K89" s="149" t="s">
        <v>1959</v>
      </c>
      <c r="L89" s="1238"/>
      <c r="M89" s="1238"/>
      <c r="N89" s="1238"/>
      <c r="O89" s="1238"/>
      <c r="P89" s="1238"/>
      <c r="Q89" s="1274"/>
    </row>
    <row r="90" spans="1:31" ht="10.5" customHeight="1">
      <c r="A90" s="1598" t="s">
        <v>4444</v>
      </c>
      <c r="B90" s="1599"/>
      <c r="C90" s="1599"/>
      <c r="D90" s="1599"/>
      <c r="E90" s="1599"/>
      <c r="F90" s="1599"/>
      <c r="G90" s="1599"/>
      <c r="H90" s="1599"/>
      <c r="I90" s="1599"/>
      <c r="J90" s="1600"/>
      <c r="K90" s="1644"/>
      <c r="L90" s="1645"/>
      <c r="M90" s="1645"/>
      <c r="N90" s="1645"/>
      <c r="O90" s="1645"/>
      <c r="P90" s="1645"/>
      <c r="Q90" s="1646"/>
      <c r="R90" s="501" t="s">
        <v>1313</v>
      </c>
      <c r="U90" s="148"/>
      <c r="V90" s="148"/>
      <c r="W90" s="148"/>
      <c r="X90" s="148"/>
      <c r="Y90" s="148"/>
      <c r="Z90" s="148"/>
      <c r="AA90" s="148"/>
      <c r="AB90" s="148"/>
      <c r="AC90" s="148"/>
      <c r="AD90" s="148"/>
      <c r="AE90" s="533"/>
    </row>
    <row r="91" spans="1:31" ht="3" customHeight="1">
      <c r="A91" s="1238"/>
      <c r="B91" s="787"/>
      <c r="C91" s="1244"/>
      <c r="D91" s="1244"/>
      <c r="E91" s="1244"/>
      <c r="F91" s="1244"/>
      <c r="G91" s="1244"/>
      <c r="H91" s="1244"/>
      <c r="I91" s="1244"/>
      <c r="J91" s="1244"/>
      <c r="K91" s="1244"/>
      <c r="L91" s="1244"/>
      <c r="M91" s="1244"/>
      <c r="N91" s="1244"/>
      <c r="O91" s="1244"/>
      <c r="P91" s="1244"/>
      <c r="Q91" s="1238"/>
    </row>
    <row r="92" spans="1:31" ht="13.9" customHeight="1">
      <c r="A92" s="1246">
        <v>5</v>
      </c>
      <c r="B92" s="1246" t="s">
        <v>2790</v>
      </c>
      <c r="C92" s="1246"/>
      <c r="D92" s="1244"/>
      <c r="E92" s="1244"/>
      <c r="F92" s="1244"/>
      <c r="G92" s="1244"/>
      <c r="H92" s="1244"/>
      <c r="I92" s="1244"/>
      <c r="J92" s="1244"/>
      <c r="K92" s="1244"/>
      <c r="O92" s="143" t="s">
        <v>1960</v>
      </c>
      <c r="P92" s="1642"/>
      <c r="Q92" s="1674"/>
    </row>
    <row r="93" spans="1:31" ht="3" customHeight="1"/>
    <row r="94" spans="1:31" ht="12" customHeight="1">
      <c r="B94" s="47" t="s">
        <v>2080</v>
      </c>
      <c r="C94" s="157" t="s">
        <v>2580</v>
      </c>
      <c r="D94" s="145"/>
      <c r="E94" s="145"/>
      <c r="F94" s="145"/>
      <c r="G94" s="145"/>
      <c r="H94" s="145"/>
      <c r="I94" s="42"/>
      <c r="J94" s="42"/>
      <c r="K94" s="42"/>
      <c r="L94" s="531" t="s">
        <v>2080</v>
      </c>
      <c r="M94" s="1662" t="s">
        <v>4545</v>
      </c>
      <c r="N94" s="1663"/>
      <c r="O94" s="1663"/>
      <c r="P94" s="1698"/>
      <c r="Q94" s="631"/>
    </row>
    <row r="95" spans="1:31" ht="12" customHeight="1">
      <c r="B95" s="47" t="s">
        <v>2083</v>
      </c>
      <c r="C95" s="53" t="s">
        <v>2135</v>
      </c>
      <c r="D95" s="145"/>
      <c r="E95" s="145"/>
      <c r="F95" s="145"/>
      <c r="L95" s="531" t="s">
        <v>2083</v>
      </c>
      <c r="M95" s="1699" t="s">
        <v>4564</v>
      </c>
      <c r="N95" s="1700"/>
      <c r="O95" s="1700"/>
      <c r="P95" s="1701"/>
      <c r="Q95" s="632"/>
    </row>
    <row r="96" spans="1:31" ht="12" customHeight="1">
      <c r="B96" s="47" t="s">
        <v>788</v>
      </c>
      <c r="C96" s="53" t="s">
        <v>3263</v>
      </c>
      <c r="D96" s="145"/>
      <c r="E96" s="145"/>
      <c r="F96" s="145"/>
      <c r="L96" s="531" t="s">
        <v>788</v>
      </c>
      <c r="M96" s="1733">
        <v>0.97899999999999998</v>
      </c>
      <c r="N96" s="1734"/>
      <c r="O96" s="1734"/>
      <c r="P96" s="1735"/>
      <c r="Q96" s="632"/>
    </row>
    <row r="97" spans="1:31" ht="12" customHeight="1">
      <c r="B97" s="47" t="s">
        <v>2215</v>
      </c>
      <c r="C97" s="53" t="s">
        <v>2581</v>
      </c>
      <c r="D97" s="145"/>
      <c r="E97" s="145"/>
      <c r="F97" s="145"/>
      <c r="L97" s="531" t="s">
        <v>2215</v>
      </c>
      <c r="M97" s="1639">
        <v>1.9E-2</v>
      </c>
      <c r="N97" s="1640"/>
      <c r="O97" s="1640"/>
      <c r="P97" s="1641"/>
      <c r="Q97" s="633"/>
    </row>
    <row r="98" spans="1:31" ht="12" customHeight="1">
      <c r="B98" s="154" t="s">
        <v>1822</v>
      </c>
      <c r="C98" s="1618" t="s">
        <v>4075</v>
      </c>
      <c r="D98" s="1618"/>
      <c r="E98" s="1618"/>
      <c r="F98" s="1618"/>
      <c r="G98" s="1618"/>
      <c r="H98" s="1618"/>
      <c r="I98" s="1618"/>
      <c r="J98" s="1618"/>
      <c r="K98" s="1618"/>
      <c r="L98" s="1618"/>
      <c r="M98" s="1618"/>
      <c r="N98" s="1618"/>
      <c r="O98" s="1618"/>
      <c r="P98" s="1618"/>
      <c r="Q98" s="1618"/>
    </row>
    <row r="99" spans="1:31" ht="12" customHeight="1">
      <c r="B99" s="47"/>
      <c r="C99" s="53"/>
      <c r="D99" s="1251" t="s">
        <v>2491</v>
      </c>
      <c r="E99" s="1275" t="s">
        <v>647</v>
      </c>
      <c r="F99" s="1275"/>
      <c r="H99" s="53"/>
      <c r="I99" s="1251" t="s">
        <v>2491</v>
      </c>
      <c r="J99" s="1275" t="s">
        <v>647</v>
      </c>
      <c r="K99" s="1275"/>
      <c r="M99" s="53"/>
      <c r="N99" s="1251" t="s">
        <v>2491</v>
      </c>
      <c r="O99" s="1275" t="s">
        <v>647</v>
      </c>
      <c r="P99" s="1275"/>
      <c r="Q99" s="531"/>
    </row>
    <row r="100" spans="1:31" ht="12" customHeight="1">
      <c r="B100" s="47"/>
      <c r="C100" s="53">
        <v>1</v>
      </c>
      <c r="D100" s="1288"/>
      <c r="E100" s="1716" t="s">
        <v>4445</v>
      </c>
      <c r="F100" s="1716"/>
      <c r="G100" s="1716"/>
      <c r="H100" s="53">
        <v>3</v>
      </c>
      <c r="I100" s="1288"/>
      <c r="J100" s="1716"/>
      <c r="K100" s="1716"/>
      <c r="L100" s="1716"/>
      <c r="M100" s="53">
        <v>5</v>
      </c>
      <c r="N100" s="1288"/>
      <c r="O100" s="1716"/>
      <c r="P100" s="1716"/>
      <c r="Q100" s="1716"/>
    </row>
    <row r="101" spans="1:31" ht="12" customHeight="1">
      <c r="B101" s="47"/>
      <c r="C101" s="53">
        <v>2</v>
      </c>
      <c r="D101" s="1289"/>
      <c r="E101" s="1719"/>
      <c r="F101" s="1719"/>
      <c r="G101" s="1719"/>
      <c r="H101" s="53">
        <v>4</v>
      </c>
      <c r="I101" s="1289"/>
      <c r="J101" s="1719"/>
      <c r="K101" s="1719"/>
      <c r="L101" s="1719"/>
      <c r="M101" s="53">
        <v>6</v>
      </c>
      <c r="N101" s="1289"/>
      <c r="O101" s="1719"/>
      <c r="P101" s="1719"/>
      <c r="Q101" s="1719"/>
    </row>
    <row r="102" spans="1:31" ht="12" customHeight="1">
      <c r="B102" s="47" t="s">
        <v>1823</v>
      </c>
      <c r="C102" s="53" t="s">
        <v>0</v>
      </c>
      <c r="D102" s="145"/>
      <c r="E102" s="145"/>
      <c r="F102" s="145"/>
      <c r="G102" s="145"/>
      <c r="H102" s="145"/>
      <c r="I102" s="42"/>
      <c r="J102" s="42"/>
      <c r="K102" s="145"/>
      <c r="L102" s="1239"/>
      <c r="M102" s="1239"/>
      <c r="O102" s="531" t="s">
        <v>1823</v>
      </c>
      <c r="P102" s="1290"/>
      <c r="Q102" s="2617"/>
    </row>
    <row r="103" spans="1:31" ht="11.25" customHeight="1">
      <c r="B103" s="153" t="s">
        <v>1958</v>
      </c>
      <c r="D103" s="153"/>
      <c r="E103" s="153"/>
      <c r="F103" s="153"/>
      <c r="G103" s="153"/>
      <c r="H103" s="40"/>
      <c r="I103" s="787"/>
      <c r="J103" s="787"/>
      <c r="K103" s="787"/>
      <c r="L103" s="1238"/>
      <c r="M103" s="1238"/>
      <c r="N103" s="1238"/>
      <c r="O103" s="1238"/>
      <c r="P103" s="1238"/>
      <c r="Q103" s="1274"/>
    </row>
    <row r="104" spans="1:31" ht="44.25" customHeight="1">
      <c r="A104" s="1598" t="s">
        <v>4565</v>
      </c>
      <c r="B104" s="1599"/>
      <c r="C104" s="1599"/>
      <c r="D104" s="1599"/>
      <c r="E104" s="1599"/>
      <c r="F104" s="1599"/>
      <c r="G104" s="1599"/>
      <c r="H104" s="1599"/>
      <c r="I104" s="1599"/>
      <c r="J104" s="1599"/>
      <c r="K104" s="1599"/>
      <c r="L104" s="1599"/>
      <c r="M104" s="1599"/>
      <c r="N104" s="1599"/>
      <c r="O104" s="1599"/>
      <c r="P104" s="1599"/>
      <c r="Q104" s="1600"/>
      <c r="U104" s="148"/>
      <c r="V104" s="148"/>
      <c r="W104" s="148"/>
      <c r="X104" s="148"/>
      <c r="Y104" s="148"/>
      <c r="Z104" s="148"/>
      <c r="AA104" s="148"/>
      <c r="AB104" s="148"/>
      <c r="AC104" s="148"/>
      <c r="AD104" s="148"/>
      <c r="AE104" s="533"/>
    </row>
    <row r="105" spans="1:31" ht="11.25" customHeight="1">
      <c r="B105" s="149" t="s">
        <v>1959</v>
      </c>
      <c r="C105" s="150"/>
      <c r="D105" s="1244"/>
      <c r="E105" s="1244"/>
      <c r="F105" s="1244"/>
      <c r="G105" s="1244"/>
      <c r="H105" s="1244"/>
      <c r="I105" s="1244"/>
      <c r="J105" s="1244"/>
      <c r="K105" s="1244"/>
      <c r="L105" s="1244"/>
      <c r="M105" s="1244"/>
      <c r="N105" s="1244"/>
      <c r="O105" s="1244"/>
      <c r="P105" s="1244"/>
      <c r="Q105" s="1244"/>
    </row>
    <row r="106" spans="1:31" ht="44.25" customHeight="1">
      <c r="A106" s="1644"/>
      <c r="B106" s="1645"/>
      <c r="C106" s="1645"/>
      <c r="D106" s="1645"/>
      <c r="E106" s="1645"/>
      <c r="F106" s="1645"/>
      <c r="G106" s="1645"/>
      <c r="H106" s="1645"/>
      <c r="I106" s="1645"/>
      <c r="J106" s="1645"/>
      <c r="K106" s="1645"/>
      <c r="L106" s="1645"/>
      <c r="M106" s="1645"/>
      <c r="N106" s="1645"/>
      <c r="O106" s="1645"/>
      <c r="P106" s="1645"/>
      <c r="Q106" s="1646"/>
    </row>
    <row r="107" spans="1:31" ht="13.9" customHeight="1">
      <c r="A107" s="1246">
        <v>6</v>
      </c>
      <c r="B107" s="1246" t="s">
        <v>2791</v>
      </c>
      <c r="C107" s="1246"/>
      <c r="D107" s="1244"/>
      <c r="E107" s="1244"/>
      <c r="F107" s="1244"/>
      <c r="G107" s="1244"/>
      <c r="H107" s="1244"/>
      <c r="I107" s="1244"/>
      <c r="J107" s="1244"/>
      <c r="K107" s="1244"/>
      <c r="L107" s="1244"/>
      <c r="M107" s="1244"/>
      <c r="O107" s="143" t="s">
        <v>1960</v>
      </c>
      <c r="P107" s="1642"/>
      <c r="Q107" s="1674"/>
    </row>
    <row r="108" spans="1:31" ht="3" customHeight="1"/>
    <row r="109" spans="1:31" ht="12" customHeight="1">
      <c r="B109" s="47" t="s">
        <v>2080</v>
      </c>
      <c r="C109" s="53" t="s">
        <v>515</v>
      </c>
      <c r="D109" s="53"/>
      <c r="E109" s="53"/>
      <c r="F109" s="53"/>
      <c r="G109" s="53"/>
      <c r="H109" s="53"/>
      <c r="I109" s="53"/>
      <c r="J109" s="53"/>
      <c r="K109" s="53"/>
      <c r="L109" s="53"/>
      <c r="M109" s="53"/>
      <c r="O109" s="531" t="s">
        <v>2080</v>
      </c>
      <c r="P109" s="1291" t="s">
        <v>3421</v>
      </c>
      <c r="Q109" s="631"/>
    </row>
    <row r="110" spans="1:31" ht="12" customHeight="1">
      <c r="B110" s="47" t="s">
        <v>2083</v>
      </c>
      <c r="C110" s="53" t="s">
        <v>1368</v>
      </c>
      <c r="D110" s="53"/>
      <c r="E110" s="53"/>
      <c r="F110" s="53"/>
      <c r="G110" s="53"/>
      <c r="H110" s="53"/>
      <c r="I110" s="53"/>
      <c r="J110" s="53"/>
      <c r="K110" s="53"/>
      <c r="L110" s="1275"/>
      <c r="M110" s="1275"/>
      <c r="O110" s="531" t="s">
        <v>2083</v>
      </c>
      <c r="P110" s="1292" t="s">
        <v>3421</v>
      </c>
      <c r="Q110" s="632"/>
    </row>
    <row r="111" spans="1:31" ht="12" customHeight="1">
      <c r="A111" s="144"/>
      <c r="B111" s="36"/>
      <c r="D111" s="39" t="s">
        <v>577</v>
      </c>
      <c r="E111" s="42"/>
      <c r="F111" s="42"/>
      <c r="G111" s="42"/>
      <c r="H111" s="42"/>
      <c r="I111" s="42"/>
      <c r="L111" s="69" t="s">
        <v>578</v>
      </c>
      <c r="M111" s="1595" t="s">
        <v>4545</v>
      </c>
      <c r="N111" s="1596"/>
      <c r="O111" s="1596"/>
      <c r="P111" s="1723"/>
      <c r="Q111" s="632"/>
    </row>
    <row r="112" spans="1:31">
      <c r="A112" s="156"/>
      <c r="B112" s="787"/>
      <c r="C112" s="162" t="s">
        <v>1824</v>
      </c>
      <c r="D112" s="1570" t="s">
        <v>4171</v>
      </c>
      <c r="E112" s="1704"/>
      <c r="F112" s="1704"/>
      <c r="G112" s="1704"/>
      <c r="H112" s="1704"/>
      <c r="I112" s="1704"/>
      <c r="J112" s="1704"/>
      <c r="K112" s="1704"/>
      <c r="L112" s="1704"/>
      <c r="M112" s="1704"/>
      <c r="N112" s="1704"/>
      <c r="O112" s="162" t="s">
        <v>1824</v>
      </c>
      <c r="P112" s="1291" t="s">
        <v>3421</v>
      </c>
      <c r="Q112" s="632"/>
    </row>
    <row r="113" spans="1:32" ht="12" customHeight="1">
      <c r="A113" s="156"/>
      <c r="B113" s="787"/>
      <c r="C113" s="69" t="s">
        <v>1825</v>
      </c>
      <c r="D113" s="1570" t="s">
        <v>4172</v>
      </c>
      <c r="E113" s="1704"/>
      <c r="F113" s="1704"/>
      <c r="G113" s="1704"/>
      <c r="H113" s="1704"/>
      <c r="I113" s="1704"/>
      <c r="J113" s="1704"/>
      <c r="K113" s="1704"/>
      <c r="L113" s="1704"/>
      <c r="M113" s="1704"/>
      <c r="N113" s="1704"/>
      <c r="O113" s="69" t="s">
        <v>1825</v>
      </c>
      <c r="P113" s="1293" t="s">
        <v>3421</v>
      </c>
      <c r="Q113" s="632"/>
    </row>
    <row r="114" spans="1:32" ht="12" customHeight="1">
      <c r="A114" s="156"/>
      <c r="B114" s="787"/>
      <c r="C114" s="162" t="s">
        <v>1826</v>
      </c>
      <c r="D114" s="53" t="s">
        <v>3264</v>
      </c>
      <c r="E114" s="53"/>
      <c r="F114" s="53"/>
      <c r="G114" s="53"/>
      <c r="H114" s="53"/>
      <c r="I114" s="53"/>
      <c r="J114" s="53"/>
      <c r="K114" s="53"/>
      <c r="L114" s="53"/>
      <c r="M114" s="53"/>
      <c r="O114" s="162" t="s">
        <v>1826</v>
      </c>
      <c r="P114" s="1293" t="s">
        <v>3421</v>
      </c>
      <c r="Q114" s="632"/>
    </row>
    <row r="115" spans="1:32" s="144" customFormat="1" ht="24.75" customHeight="1">
      <c r="A115" s="156"/>
      <c r="B115" s="488"/>
      <c r="C115" s="177" t="s">
        <v>2476</v>
      </c>
      <c r="D115" s="1618" t="s">
        <v>2845</v>
      </c>
      <c r="E115" s="1618"/>
      <c r="F115" s="1618"/>
      <c r="G115" s="1618"/>
      <c r="H115" s="1618"/>
      <c r="I115" s="1618"/>
      <c r="J115" s="1618"/>
      <c r="K115" s="1618"/>
      <c r="L115" s="1618"/>
      <c r="M115" s="1618"/>
      <c r="N115" s="1618"/>
      <c r="O115" s="177" t="s">
        <v>2476</v>
      </c>
      <c r="P115" s="1294"/>
      <c r="Q115" s="634"/>
      <c r="AE115" s="534"/>
      <c r="AF115" s="534"/>
    </row>
    <row r="116" spans="1:32" ht="12" customHeight="1">
      <c r="B116" s="47" t="s">
        <v>788</v>
      </c>
      <c r="C116" s="53" t="s">
        <v>148</v>
      </c>
      <c r="D116" s="53"/>
      <c r="E116" s="53"/>
      <c r="F116" s="53"/>
      <c r="G116" s="53"/>
      <c r="H116" s="53"/>
      <c r="I116" s="53"/>
      <c r="J116" s="53"/>
      <c r="K116" s="53"/>
      <c r="L116" s="53"/>
      <c r="M116" s="53"/>
      <c r="O116" s="531" t="s">
        <v>788</v>
      </c>
      <c r="P116" s="1292" t="s">
        <v>3424</v>
      </c>
      <c r="Q116" s="633"/>
    </row>
    <row r="117" spans="1:32" ht="12" customHeight="1">
      <c r="B117" s="47" t="s">
        <v>2215</v>
      </c>
      <c r="C117" s="53" t="s">
        <v>1499</v>
      </c>
      <c r="D117" s="53"/>
      <c r="E117" s="53"/>
      <c r="G117" s="53"/>
      <c r="I117" s="53"/>
      <c r="K117" s="53"/>
      <c r="L117" s="1275"/>
      <c r="M117" s="1275"/>
      <c r="N117" s="1275"/>
      <c r="O117" s="1275"/>
      <c r="P117" s="1275"/>
      <c r="Q117" s="1275"/>
    </row>
    <row r="118" spans="1:32" ht="12" customHeight="1">
      <c r="B118" s="47"/>
      <c r="C118" s="69" t="s">
        <v>1824</v>
      </c>
      <c r="D118" s="53" t="s">
        <v>1500</v>
      </c>
      <c r="E118" s="53"/>
      <c r="F118" s="53"/>
      <c r="G118" s="53"/>
      <c r="H118" s="53"/>
      <c r="I118" s="53"/>
      <c r="J118" s="53"/>
      <c r="K118" s="53"/>
      <c r="L118" s="1275"/>
      <c r="M118" s="1275"/>
      <c r="O118" s="69" t="s">
        <v>1824</v>
      </c>
      <c r="P118" s="1291" t="s">
        <v>3424</v>
      </c>
      <c r="Q118" s="631"/>
    </row>
    <row r="119" spans="1:32" ht="12" customHeight="1">
      <c r="B119" s="47"/>
      <c r="C119" s="69" t="s">
        <v>1825</v>
      </c>
      <c r="D119" s="53" t="s">
        <v>1501</v>
      </c>
      <c r="E119" s="53"/>
      <c r="F119" s="53"/>
      <c r="G119" s="53"/>
      <c r="H119" s="53"/>
      <c r="I119" s="53"/>
      <c r="J119" s="53"/>
      <c r="K119" s="53"/>
      <c r="L119" s="1275"/>
      <c r="M119" s="1275"/>
      <c r="O119" s="69" t="s">
        <v>1825</v>
      </c>
      <c r="P119" s="1293" t="s">
        <v>3424</v>
      </c>
      <c r="Q119" s="632"/>
    </row>
    <row r="120" spans="1:32" ht="12" customHeight="1">
      <c r="B120" s="47"/>
      <c r="C120" s="69" t="s">
        <v>1826</v>
      </c>
      <c r="D120" s="53" t="s">
        <v>1502</v>
      </c>
      <c r="E120" s="53"/>
      <c r="F120" s="53"/>
      <c r="G120" s="53"/>
      <c r="H120" s="53"/>
      <c r="I120" s="53"/>
      <c r="J120" s="53"/>
      <c r="K120" s="53"/>
      <c r="L120" s="1275"/>
      <c r="M120" s="1275"/>
      <c r="O120" s="69" t="s">
        <v>1826</v>
      </c>
      <c r="P120" s="1292" t="s">
        <v>3424</v>
      </c>
      <c r="Q120" s="633"/>
    </row>
    <row r="121" spans="1:32" ht="11.25" customHeight="1">
      <c r="B121" s="153" t="s">
        <v>1958</v>
      </c>
      <c r="D121" s="153"/>
      <c r="E121" s="153"/>
      <c r="F121" s="153"/>
      <c r="G121" s="153"/>
      <c r="H121" s="40"/>
      <c r="I121" s="787"/>
      <c r="J121" s="787"/>
      <c r="K121" s="787"/>
      <c r="L121" s="1238"/>
      <c r="M121" s="1238"/>
      <c r="N121" s="1238"/>
      <c r="O121" s="1238"/>
      <c r="P121" s="1238"/>
      <c r="Q121" s="1274"/>
    </row>
    <row r="122" spans="1:32" ht="24" customHeight="1">
      <c r="A122" s="1598" t="s">
        <v>4546</v>
      </c>
      <c r="B122" s="1599"/>
      <c r="C122" s="1599"/>
      <c r="D122" s="1599"/>
      <c r="E122" s="1599"/>
      <c r="F122" s="1599"/>
      <c r="G122" s="1599"/>
      <c r="H122" s="1599"/>
      <c r="I122" s="1599"/>
      <c r="J122" s="1599"/>
      <c r="K122" s="1599"/>
      <c r="L122" s="1599"/>
      <c r="M122" s="1599"/>
      <c r="N122" s="1599"/>
      <c r="O122" s="1599"/>
      <c r="P122" s="1599"/>
      <c r="Q122" s="1600"/>
      <c r="U122" s="148"/>
      <c r="V122" s="148"/>
      <c r="W122" s="148"/>
      <c r="X122" s="148"/>
      <c r="Y122" s="148"/>
      <c r="Z122" s="148"/>
      <c r="AA122" s="148"/>
      <c r="AB122" s="148"/>
      <c r="AC122" s="148"/>
      <c r="AD122" s="148"/>
      <c r="AE122" s="533"/>
    </row>
    <row r="123" spans="1:32" ht="11.25" customHeight="1">
      <c r="B123" s="149" t="s">
        <v>1959</v>
      </c>
      <c r="C123" s="150"/>
      <c r="D123" s="1244"/>
      <c r="E123" s="1244"/>
      <c r="F123" s="1244"/>
      <c r="G123" s="1244"/>
      <c r="H123" s="1244"/>
      <c r="I123" s="1244"/>
      <c r="J123" s="1244"/>
      <c r="K123" s="1244"/>
      <c r="L123" s="1244"/>
      <c r="M123" s="1244"/>
      <c r="N123" s="1244"/>
      <c r="O123" s="1244"/>
      <c r="P123" s="1244"/>
      <c r="Q123" s="1244"/>
    </row>
    <row r="124" spans="1:32" ht="24" customHeight="1">
      <c r="A124" s="1644"/>
      <c r="B124" s="1645"/>
      <c r="C124" s="1645"/>
      <c r="D124" s="1645"/>
      <c r="E124" s="1645"/>
      <c r="F124" s="1645"/>
      <c r="G124" s="1645"/>
      <c r="H124" s="1645"/>
      <c r="I124" s="1645"/>
      <c r="J124" s="1645"/>
      <c r="K124" s="1645"/>
      <c r="L124" s="1645"/>
      <c r="M124" s="1645"/>
      <c r="N124" s="1645"/>
      <c r="O124" s="1645"/>
      <c r="P124" s="1645"/>
      <c r="Q124" s="1646"/>
    </row>
    <row r="125" spans="1:32" ht="4.9000000000000004" customHeight="1">
      <c r="A125" s="1238"/>
      <c r="B125" s="787"/>
      <c r="C125" s="1244"/>
      <c r="D125" s="1244"/>
      <c r="E125" s="1244"/>
      <c r="F125" s="1244"/>
      <c r="G125" s="1244"/>
      <c r="H125" s="1244"/>
      <c r="I125" s="1244"/>
      <c r="J125" s="1244"/>
      <c r="K125" s="1244"/>
      <c r="L125" s="1244"/>
      <c r="M125" s="1244"/>
      <c r="N125" s="1244"/>
      <c r="O125" s="1244"/>
      <c r="P125" s="1244"/>
      <c r="Q125" s="1238"/>
    </row>
    <row r="126" spans="1:32" ht="13.9" customHeight="1">
      <c r="A126" s="1246">
        <v>7</v>
      </c>
      <c r="B126" s="1246" t="s">
        <v>2792</v>
      </c>
      <c r="C126" s="40"/>
      <c r="D126" s="1244"/>
      <c r="E126" s="1244"/>
      <c r="F126" s="1244"/>
      <c r="G126" s="1244"/>
      <c r="H126" s="1244"/>
      <c r="I126" s="1244"/>
      <c r="J126" s="1244"/>
      <c r="K126" s="1244"/>
      <c r="L126" s="1244"/>
      <c r="M126" s="1244"/>
      <c r="O126" s="143" t="s">
        <v>1960</v>
      </c>
      <c r="P126" s="1642"/>
      <c r="Q126" s="1674"/>
    </row>
    <row r="127" spans="1:32" ht="6.6" customHeight="1"/>
    <row r="128" spans="1:32" ht="12" customHeight="1">
      <c r="B128" s="47" t="s">
        <v>2080</v>
      </c>
      <c r="C128" s="53" t="s">
        <v>4173</v>
      </c>
      <c r="D128" s="145"/>
      <c r="E128" s="145"/>
      <c r="F128" s="145"/>
      <c r="G128" s="145"/>
      <c r="H128" s="145"/>
      <c r="I128" s="42"/>
      <c r="J128" s="42"/>
      <c r="K128" s="42"/>
      <c r="L128" s="531" t="s">
        <v>2080</v>
      </c>
      <c r="M128" s="1649" t="s">
        <v>4446</v>
      </c>
      <c r="N128" s="1650"/>
      <c r="O128" s="1650"/>
      <c r="P128" s="1651"/>
      <c r="Q128" s="631"/>
    </row>
    <row r="129" spans="2:17" ht="12" customHeight="1">
      <c r="B129" s="47" t="s">
        <v>2083</v>
      </c>
      <c r="C129" s="53" t="s">
        <v>1613</v>
      </c>
      <c r="D129" s="145"/>
      <c r="E129" s="145"/>
      <c r="F129" s="145"/>
      <c r="G129" s="145"/>
      <c r="H129" s="145"/>
      <c r="I129" s="42"/>
      <c r="J129" s="42"/>
      <c r="K129" s="145"/>
      <c r="L129" s="145"/>
      <c r="M129" s="1239"/>
      <c r="O129" s="531" t="s">
        <v>2083</v>
      </c>
      <c r="P129" s="1291" t="s">
        <v>3424</v>
      </c>
      <c r="Q129" s="632"/>
    </row>
    <row r="130" spans="2:17" ht="12" customHeight="1">
      <c r="B130" s="47" t="s">
        <v>788</v>
      </c>
      <c r="C130" s="53" t="s">
        <v>156</v>
      </c>
      <c r="D130" s="145"/>
      <c r="E130" s="145"/>
      <c r="F130" s="145"/>
      <c r="G130" s="145"/>
      <c r="H130" s="145"/>
      <c r="I130" s="42"/>
      <c r="J130" s="42"/>
      <c r="K130" s="145"/>
      <c r="L130" s="1239"/>
      <c r="M130" s="1239"/>
      <c r="O130" s="531" t="s">
        <v>788</v>
      </c>
      <c r="P130" s="1292" t="s">
        <v>3421</v>
      </c>
      <c r="Q130" s="632"/>
    </row>
    <row r="131" spans="2:17" ht="12" customHeight="1">
      <c r="B131" s="47"/>
      <c r="C131" s="68" t="s">
        <v>1824</v>
      </c>
      <c r="D131" s="53" t="s">
        <v>2844</v>
      </c>
      <c r="E131" s="145"/>
      <c r="F131" s="145"/>
      <c r="G131" s="145"/>
      <c r="H131" s="145"/>
      <c r="I131" s="42"/>
      <c r="J131" s="42"/>
      <c r="K131" s="145"/>
      <c r="L131" s="69" t="s">
        <v>1824</v>
      </c>
      <c r="M131" s="1649" t="s">
        <v>4446</v>
      </c>
      <c r="N131" s="1650"/>
      <c r="O131" s="1650"/>
      <c r="P131" s="1651"/>
      <c r="Q131" s="632"/>
    </row>
    <row r="132" spans="2:17" ht="12" customHeight="1">
      <c r="B132" s="151"/>
      <c r="C132" s="69" t="s">
        <v>1825</v>
      </c>
      <c r="D132" s="36" t="s">
        <v>4174</v>
      </c>
      <c r="E132" s="42"/>
      <c r="F132" s="42"/>
      <c r="G132" s="42"/>
      <c r="H132" s="53"/>
      <c r="I132" s="42"/>
      <c r="J132" s="42"/>
      <c r="K132" s="145"/>
      <c r="L132" s="1239"/>
      <c r="M132" s="1239"/>
      <c r="O132" s="531" t="s">
        <v>1825</v>
      </c>
      <c r="P132" s="1290">
        <v>68.099999999999994</v>
      </c>
      <c r="Q132" s="633"/>
    </row>
    <row r="133" spans="2:17" ht="12" customHeight="1">
      <c r="B133" s="151"/>
      <c r="C133" s="531" t="s">
        <v>1826</v>
      </c>
      <c r="D133" s="53" t="s">
        <v>1449</v>
      </c>
      <c r="E133" s="42"/>
      <c r="F133" s="42"/>
      <c r="G133" s="42"/>
      <c r="H133" s="53"/>
      <c r="I133" s="42"/>
      <c r="J133" s="42"/>
      <c r="K133" s="145"/>
      <c r="L133" s="1239"/>
      <c r="M133" s="1239"/>
      <c r="N133" s="1239"/>
      <c r="O133" s="1239"/>
    </row>
    <row r="134" spans="2:17" ht="11.45" customHeight="1">
      <c r="B134" s="1238"/>
      <c r="C134" s="69"/>
      <c r="D134" s="1720" t="s">
        <v>4556</v>
      </c>
      <c r="E134" s="1721"/>
      <c r="F134" s="1721"/>
      <c r="G134" s="1721"/>
      <c r="H134" s="1721"/>
      <c r="I134" s="1721"/>
      <c r="J134" s="1721"/>
      <c r="K134" s="1721"/>
      <c r="L134" s="1721"/>
      <c r="M134" s="1721"/>
      <c r="N134" s="1721"/>
      <c r="O134" s="1721"/>
      <c r="P134" s="1721"/>
      <c r="Q134" s="1722"/>
    </row>
    <row r="135" spans="2:17" ht="12" customHeight="1">
      <c r="B135" s="47" t="s">
        <v>2215</v>
      </c>
      <c r="C135" s="53" t="s">
        <v>1319</v>
      </c>
      <c r="D135" s="145"/>
      <c r="E135" s="145"/>
      <c r="F135" s="145"/>
      <c r="G135" s="145"/>
      <c r="H135" s="145"/>
      <c r="I135" s="42"/>
      <c r="J135" s="42"/>
      <c r="K135" s="145"/>
      <c r="L135" s="1239"/>
      <c r="M135" s="1239"/>
      <c r="N135" s="1239"/>
      <c r="O135" s="531" t="s">
        <v>2215</v>
      </c>
    </row>
    <row r="136" spans="2:17" ht="12" customHeight="1">
      <c r="B136" s="47"/>
      <c r="C136" s="69" t="s">
        <v>1824</v>
      </c>
      <c r="D136" s="53" t="s">
        <v>154</v>
      </c>
      <c r="E136" s="145"/>
      <c r="F136" s="145"/>
      <c r="G136" s="145"/>
      <c r="H136" s="145"/>
      <c r="I136" s="42"/>
      <c r="J136" s="42"/>
      <c r="K136" s="145"/>
      <c r="L136" s="1239"/>
      <c r="M136" s="1239"/>
      <c r="O136" s="69" t="s">
        <v>1824</v>
      </c>
      <c r="P136" s="1291" t="s">
        <v>3424</v>
      </c>
      <c r="Q136" s="631"/>
    </row>
    <row r="137" spans="2:17" ht="12" customHeight="1">
      <c r="B137" s="47"/>
      <c r="C137" s="69" t="s">
        <v>1825</v>
      </c>
      <c r="D137" s="53" t="s">
        <v>1320</v>
      </c>
      <c r="E137" s="145"/>
      <c r="F137" s="145"/>
      <c r="G137" s="145"/>
      <c r="H137" s="42"/>
      <c r="I137" s="42"/>
      <c r="J137" s="42"/>
      <c r="K137" s="145"/>
      <c r="L137" s="1239"/>
      <c r="M137" s="1239"/>
      <c r="O137" s="69" t="s">
        <v>1825</v>
      </c>
      <c r="P137" s="1293" t="s">
        <v>3424</v>
      </c>
      <c r="Q137" s="632"/>
    </row>
    <row r="138" spans="2:17" ht="12" customHeight="1">
      <c r="B138" s="47"/>
      <c r="C138" s="69"/>
      <c r="D138" s="53" t="s">
        <v>2768</v>
      </c>
      <c r="E138" s="498" t="s">
        <v>2555</v>
      </c>
      <c r="F138" s="53" t="s">
        <v>2769</v>
      </c>
      <c r="G138" s="42"/>
      <c r="H138" s="53"/>
      <c r="I138" s="42"/>
      <c r="J138" s="42"/>
      <c r="K138" s="145"/>
      <c r="L138" s="1239"/>
      <c r="M138" s="1239"/>
      <c r="O138" s="498" t="s">
        <v>2555</v>
      </c>
      <c r="P138" s="1295"/>
      <c r="Q138" s="2618"/>
    </row>
    <row r="139" spans="2:17" ht="12" customHeight="1">
      <c r="B139" s="47"/>
      <c r="C139" s="69"/>
      <c r="E139" s="498" t="s">
        <v>2556</v>
      </c>
      <c r="F139" s="53" t="s">
        <v>2770</v>
      </c>
      <c r="G139" s="42"/>
      <c r="H139" s="53"/>
      <c r="I139" s="42"/>
      <c r="J139" s="42"/>
      <c r="K139" s="145"/>
      <c r="L139" s="1239"/>
      <c r="M139" s="1239"/>
      <c r="O139" s="498" t="s">
        <v>2556</v>
      </c>
      <c r="P139" s="1293"/>
      <c r="Q139" s="632"/>
    </row>
    <row r="140" spans="2:17" ht="12" customHeight="1">
      <c r="B140" s="47"/>
      <c r="C140" s="69"/>
      <c r="E140" s="498" t="s">
        <v>2557</v>
      </c>
      <c r="F140" s="53" t="s">
        <v>2771</v>
      </c>
      <c r="G140" s="42"/>
      <c r="H140" s="53"/>
      <c r="I140" s="42"/>
      <c r="J140" s="42"/>
      <c r="K140" s="145"/>
      <c r="L140" s="1239"/>
      <c r="M140" s="1239"/>
      <c r="O140" s="498" t="s">
        <v>2557</v>
      </c>
      <c r="P140" s="1293"/>
      <c r="Q140" s="632"/>
    </row>
    <row r="141" spans="2:17" ht="12" customHeight="1">
      <c r="B141" s="47"/>
      <c r="C141" s="69" t="s">
        <v>1826</v>
      </c>
      <c r="D141" s="53" t="s">
        <v>1321</v>
      </c>
      <c r="E141" s="145"/>
      <c r="F141" s="145"/>
      <c r="G141" s="145"/>
      <c r="H141" s="53"/>
      <c r="I141" s="42"/>
      <c r="J141" s="42"/>
      <c r="K141" s="145"/>
      <c r="L141" s="1239"/>
      <c r="M141" s="1239"/>
      <c r="O141" s="69" t="s">
        <v>1826</v>
      </c>
      <c r="P141" s="1293" t="s">
        <v>3424</v>
      </c>
      <c r="Q141" s="632"/>
    </row>
    <row r="142" spans="2:17" ht="12" customHeight="1">
      <c r="B142" s="47"/>
      <c r="C142" s="69"/>
      <c r="D142" s="53" t="s">
        <v>2768</v>
      </c>
      <c r="E142" s="498" t="s">
        <v>2555</v>
      </c>
      <c r="F142" s="53" t="s">
        <v>2772</v>
      </c>
      <c r="G142" s="42"/>
      <c r="H142" s="53"/>
      <c r="I142" s="42"/>
      <c r="J142" s="42"/>
      <c r="K142" s="145"/>
      <c r="L142" s="1239"/>
      <c r="O142" s="498" t="s">
        <v>2555</v>
      </c>
      <c r="P142" s="1295"/>
      <c r="Q142" s="2618"/>
    </row>
    <row r="143" spans="2:17" ht="12" customHeight="1">
      <c r="B143" s="47"/>
      <c r="C143" s="69"/>
      <c r="E143" s="498" t="s">
        <v>2556</v>
      </c>
      <c r="F143" s="53" t="s">
        <v>2773</v>
      </c>
      <c r="G143" s="42"/>
      <c r="H143" s="53"/>
      <c r="I143" s="42"/>
      <c r="J143" s="42"/>
      <c r="O143" s="498" t="s">
        <v>2556</v>
      </c>
      <c r="P143" s="1293"/>
      <c r="Q143" s="632"/>
    </row>
    <row r="144" spans="2:17" ht="12" customHeight="1">
      <c r="B144" s="47"/>
      <c r="C144" s="69"/>
      <c r="E144" s="498" t="s">
        <v>2557</v>
      </c>
      <c r="F144" s="53" t="s">
        <v>2771</v>
      </c>
      <c r="G144" s="42"/>
      <c r="H144" s="53"/>
      <c r="I144" s="42"/>
      <c r="J144" s="42"/>
      <c r="O144" s="498" t="s">
        <v>2557</v>
      </c>
      <c r="P144" s="1293"/>
      <c r="Q144" s="632"/>
    </row>
    <row r="145" spans="1:32" ht="12" customHeight="1">
      <c r="B145" s="36"/>
      <c r="C145" s="69" t="s">
        <v>2476</v>
      </c>
      <c r="D145" s="53" t="s">
        <v>2774</v>
      </c>
      <c r="E145" s="145"/>
      <c r="F145" s="145"/>
      <c r="G145" s="145"/>
      <c r="H145" s="145"/>
      <c r="I145" s="42"/>
      <c r="J145" s="42"/>
      <c r="O145" s="69" t="s">
        <v>2476</v>
      </c>
      <c r="P145" s="1292" t="s">
        <v>3424</v>
      </c>
      <c r="Q145" s="633"/>
    </row>
    <row r="146" spans="1:32" ht="12" customHeight="1">
      <c r="B146" s="47" t="s">
        <v>1822</v>
      </c>
      <c r="C146" s="158" t="s">
        <v>2533</v>
      </c>
      <c r="D146" s="145"/>
      <c r="E146" s="145"/>
      <c r="F146" s="145"/>
      <c r="G146" s="145"/>
      <c r="H146" s="145"/>
      <c r="I146" s="42"/>
      <c r="J146" s="42"/>
      <c r="K146" s="145"/>
      <c r="L146" s="1239"/>
      <c r="M146" s="1239"/>
      <c r="N146" s="1239"/>
      <c r="O146" s="1239"/>
      <c r="P146" s="1239"/>
      <c r="Q146" s="1239"/>
    </row>
    <row r="147" spans="1:32" ht="12" customHeight="1">
      <c r="C147" s="69" t="s">
        <v>1824</v>
      </c>
      <c r="D147" s="53" t="s">
        <v>2617</v>
      </c>
      <c r="E147" s="145"/>
      <c r="F147" s="1291" t="s">
        <v>3424</v>
      </c>
      <c r="G147" s="631"/>
      <c r="H147" s="69" t="s">
        <v>1625</v>
      </c>
      <c r="I147" s="56" t="s">
        <v>2776</v>
      </c>
      <c r="L147" s="1291" t="s">
        <v>3424</v>
      </c>
      <c r="M147" s="631"/>
      <c r="N147" s="531" t="s">
        <v>535</v>
      </c>
      <c r="O147" s="53" t="s">
        <v>1628</v>
      </c>
      <c r="P147" s="1291" t="s">
        <v>3424</v>
      </c>
      <c r="Q147" s="631"/>
    </row>
    <row r="148" spans="1:32" ht="12" customHeight="1">
      <c r="B148" s="36"/>
      <c r="C148" s="69" t="s">
        <v>1825</v>
      </c>
      <c r="D148" s="53" t="s">
        <v>3110</v>
      </c>
      <c r="E148" s="145"/>
      <c r="F148" s="1293" t="s">
        <v>3421</v>
      </c>
      <c r="G148" s="632"/>
      <c r="H148" s="69" t="s">
        <v>1626</v>
      </c>
      <c r="I148" s="56" t="s">
        <v>2777</v>
      </c>
      <c r="L148" s="1293" t="s">
        <v>3424</v>
      </c>
      <c r="M148" s="632"/>
      <c r="N148" s="531" t="s">
        <v>536</v>
      </c>
      <c r="O148" s="53" t="s">
        <v>1627</v>
      </c>
      <c r="P148" s="1293" t="s">
        <v>3424</v>
      </c>
      <c r="Q148" s="632"/>
    </row>
    <row r="149" spans="1:32" ht="12" customHeight="1">
      <c r="B149" s="36"/>
      <c r="C149" s="69" t="s">
        <v>1826</v>
      </c>
      <c r="D149" s="53" t="s">
        <v>2775</v>
      </c>
      <c r="E149" s="145"/>
      <c r="F149" s="1293" t="s">
        <v>3424</v>
      </c>
      <c r="G149" s="632"/>
      <c r="H149" s="531" t="s">
        <v>100</v>
      </c>
      <c r="I149" s="56" t="s">
        <v>3111</v>
      </c>
      <c r="L149" s="1293" t="s">
        <v>3424</v>
      </c>
      <c r="M149" s="632"/>
      <c r="N149" s="531" t="s">
        <v>3113</v>
      </c>
      <c r="O149" s="53" t="s">
        <v>1629</v>
      </c>
      <c r="P149" s="1292" t="s">
        <v>3424</v>
      </c>
      <c r="Q149" s="633"/>
    </row>
    <row r="150" spans="1:32" ht="12" customHeight="1">
      <c r="B150" s="36"/>
      <c r="C150" s="69" t="s">
        <v>2476</v>
      </c>
      <c r="D150" s="53" t="s">
        <v>3114</v>
      </c>
      <c r="E150" s="145"/>
      <c r="F150" s="1292" t="s">
        <v>3424</v>
      </c>
      <c r="G150" s="633"/>
      <c r="H150" s="531" t="s">
        <v>534</v>
      </c>
      <c r="I150" s="53" t="s">
        <v>3109</v>
      </c>
      <c r="L150" s="1292" t="s">
        <v>3424</v>
      </c>
      <c r="M150" s="633"/>
      <c r="O150" s="69"/>
    </row>
    <row r="151" spans="1:32" ht="12" customHeight="1">
      <c r="B151" s="36"/>
      <c r="C151" s="531" t="s">
        <v>3288</v>
      </c>
      <c r="D151" s="53" t="s">
        <v>3112</v>
      </c>
      <c r="E151" s="145"/>
      <c r="F151" s="145"/>
      <c r="G151" s="145"/>
      <c r="H151" s="145"/>
      <c r="I151" s="145"/>
      <c r="J151" s="145"/>
      <c r="K151" s="145"/>
      <c r="L151" s="145"/>
      <c r="M151" s="53"/>
      <c r="O151" s="69"/>
      <c r="P151" s="69"/>
    </row>
    <row r="152" spans="1:32" ht="12" customHeight="1">
      <c r="B152" s="36"/>
      <c r="D152" s="1595" t="s">
        <v>3138</v>
      </c>
      <c r="E152" s="1596"/>
      <c r="F152" s="1596"/>
      <c r="G152" s="1596"/>
      <c r="H152" s="1596"/>
      <c r="I152" s="1596"/>
      <c r="J152" s="1596"/>
      <c r="K152" s="1596"/>
      <c r="L152" s="1596"/>
      <c r="M152" s="1596"/>
      <c r="N152" s="1596"/>
      <c r="O152" s="1596"/>
      <c r="P152" s="1597"/>
      <c r="Q152" s="631"/>
    </row>
    <row r="153" spans="1:32" ht="12" customHeight="1">
      <c r="B153" s="47" t="s">
        <v>1823</v>
      </c>
      <c r="C153" s="53" t="s">
        <v>1348</v>
      </c>
      <c r="D153" s="145"/>
      <c r="E153" s="145"/>
      <c r="F153" s="145"/>
      <c r="G153" s="145"/>
      <c r="H153" s="145"/>
      <c r="I153" s="42"/>
      <c r="J153" s="42"/>
      <c r="K153" s="145"/>
      <c r="L153" s="145"/>
      <c r="M153" s="1239"/>
      <c r="O153" s="531" t="s">
        <v>1823</v>
      </c>
      <c r="P153" s="1291" t="s">
        <v>1016</v>
      </c>
      <c r="Q153" s="632"/>
    </row>
    <row r="154" spans="1:32" ht="12" customHeight="1">
      <c r="A154" s="156"/>
      <c r="B154" s="42"/>
      <c r="C154" s="69" t="s">
        <v>1824</v>
      </c>
      <c r="D154" s="53" t="s">
        <v>3115</v>
      </c>
      <c r="E154" s="145"/>
      <c r="F154" s="145"/>
      <c r="G154" s="145"/>
      <c r="H154" s="145"/>
      <c r="O154" s="69" t="s">
        <v>1824</v>
      </c>
      <c r="P154" s="1293"/>
      <c r="Q154" s="632"/>
    </row>
    <row r="155" spans="1:32" ht="12" customHeight="1">
      <c r="A155" s="156"/>
      <c r="B155" s="787"/>
      <c r="C155" s="69" t="s">
        <v>1825</v>
      </c>
      <c r="D155" s="53" t="s">
        <v>512</v>
      </c>
      <c r="E155" s="53"/>
      <c r="F155" s="53"/>
      <c r="G155" s="53"/>
      <c r="H155" s="53"/>
      <c r="I155" s="42"/>
      <c r="J155" s="42"/>
      <c r="K155" s="53"/>
      <c r="L155" s="53"/>
      <c r="M155" s="53"/>
      <c r="O155" s="69" t="s">
        <v>1825</v>
      </c>
      <c r="P155" s="1293"/>
      <c r="Q155" s="632"/>
    </row>
    <row r="156" spans="1:32" ht="12" customHeight="1">
      <c r="A156" s="156"/>
      <c r="B156" s="787"/>
      <c r="C156" s="69" t="s">
        <v>1826</v>
      </c>
      <c r="D156" s="53" t="s">
        <v>716</v>
      </c>
      <c r="E156" s="53"/>
      <c r="F156" s="53"/>
      <c r="G156" s="53"/>
      <c r="H156" s="53"/>
      <c r="I156" s="42"/>
      <c r="J156" s="42"/>
      <c r="K156" s="53"/>
      <c r="L156" s="53"/>
      <c r="M156" s="53"/>
      <c r="O156" s="69" t="s">
        <v>1826</v>
      </c>
      <c r="P156" s="1293"/>
      <c r="Q156" s="632"/>
    </row>
    <row r="157" spans="1:32" ht="12" customHeight="1">
      <c r="B157" s="47" t="s">
        <v>2043</v>
      </c>
      <c r="C157" s="53" t="s">
        <v>1840</v>
      </c>
      <c r="D157" s="145"/>
      <c r="E157" s="145"/>
      <c r="F157" s="145"/>
      <c r="G157" s="145"/>
      <c r="H157" s="145"/>
      <c r="I157" s="42"/>
      <c r="J157" s="42"/>
      <c r="K157" s="145"/>
      <c r="L157" s="145"/>
      <c r="M157" s="1239"/>
      <c r="O157" s="531" t="s">
        <v>2043</v>
      </c>
      <c r="P157" s="1292" t="s">
        <v>1016</v>
      </c>
      <c r="Q157" s="633"/>
    </row>
    <row r="158" spans="1:32" ht="12" customHeight="1">
      <c r="A158" s="459" t="s">
        <v>4076</v>
      </c>
      <c r="C158" s="53"/>
      <c r="D158" s="145"/>
      <c r="E158" s="145"/>
      <c r="F158" s="145"/>
      <c r="G158" s="145"/>
      <c r="H158" s="145"/>
      <c r="I158" s="42"/>
      <c r="J158" s="42"/>
      <c r="K158" s="145"/>
      <c r="L158" s="145"/>
      <c r="M158" s="1239"/>
      <c r="N158" s="1239"/>
      <c r="O158" s="1239"/>
      <c r="P158" s="1239"/>
      <c r="Q158" s="1239"/>
      <c r="R158" s="1239"/>
    </row>
    <row r="159" spans="1:32" s="1" customFormat="1" ht="23.45" customHeight="1">
      <c r="B159" s="154" t="s">
        <v>3837</v>
      </c>
      <c r="C159" s="1618" t="s">
        <v>153</v>
      </c>
      <c r="D159" s="1618"/>
      <c r="E159" s="1618"/>
      <c r="F159" s="1618"/>
      <c r="G159" s="1618"/>
      <c r="H159" s="1618"/>
      <c r="I159" s="1618"/>
      <c r="J159" s="1618"/>
      <c r="K159" s="1618"/>
      <c r="L159" s="1618"/>
      <c r="M159" s="177" t="s">
        <v>3837</v>
      </c>
      <c r="N159" s="1702" t="s">
        <v>1858</v>
      </c>
      <c r="O159" s="1703"/>
      <c r="P159" s="2619" t="s">
        <v>1858</v>
      </c>
      <c r="Q159" s="2620"/>
      <c r="AE159" s="5"/>
      <c r="AF159" s="5"/>
    </row>
    <row r="160" spans="1:32" s="1" customFormat="1" ht="12" customHeight="1">
      <c r="B160" s="47" t="s">
        <v>646</v>
      </c>
      <c r="C160" s="123" t="s">
        <v>1</v>
      </c>
      <c r="D160" s="1245"/>
      <c r="E160" s="1245"/>
      <c r="G160" s="531" t="s">
        <v>646</v>
      </c>
      <c r="H160" s="1720"/>
      <c r="I160" s="1721"/>
      <c r="J160" s="1721"/>
      <c r="K160" s="1721"/>
      <c r="L160" s="1721"/>
      <c r="M160" s="1721"/>
      <c r="N160" s="1721"/>
      <c r="O160" s="1721"/>
      <c r="P160" s="1722"/>
      <c r="Q160" s="2611"/>
      <c r="AE160" s="5"/>
      <c r="AF160" s="5"/>
    </row>
    <row r="161" spans="1:32" s="1" customFormat="1" ht="12" customHeight="1">
      <c r="B161" s="47" t="s">
        <v>3838</v>
      </c>
      <c r="C161" s="1275" t="s">
        <v>1485</v>
      </c>
      <c r="D161" s="11"/>
      <c r="E161" s="11"/>
      <c r="F161" s="11"/>
      <c r="G161" s="7"/>
      <c r="H161" s="7"/>
      <c r="I161" s="1275"/>
      <c r="K161" s="7"/>
      <c r="L161" s="7"/>
      <c r="M161" s="7"/>
      <c r="O161" s="531" t="s">
        <v>3838</v>
      </c>
      <c r="P161" s="1287"/>
      <c r="Q161" s="2611"/>
      <c r="AE161" s="5"/>
      <c r="AF161" s="5"/>
    </row>
    <row r="162" spans="1:32" ht="11.25" customHeight="1">
      <c r="B162" s="153" t="s">
        <v>1958</v>
      </c>
      <c r="D162" s="153"/>
      <c r="E162" s="153"/>
      <c r="F162" s="153"/>
      <c r="G162" s="153"/>
      <c r="H162" s="40"/>
      <c r="I162" s="787"/>
      <c r="J162" s="787"/>
      <c r="K162" s="787"/>
      <c r="L162" s="1238"/>
      <c r="M162" s="1238"/>
      <c r="N162" s="1238"/>
      <c r="O162" s="1238"/>
      <c r="P162" s="1238"/>
      <c r="Q162" s="1274"/>
    </row>
    <row r="163" spans="1:32" ht="29.25" customHeight="1">
      <c r="A163" s="1598" t="s">
        <v>4548</v>
      </c>
      <c r="B163" s="1599"/>
      <c r="C163" s="1599"/>
      <c r="D163" s="1599"/>
      <c r="E163" s="1599"/>
      <c r="F163" s="1599"/>
      <c r="G163" s="1599"/>
      <c r="H163" s="1599"/>
      <c r="I163" s="1599"/>
      <c r="J163" s="1599"/>
      <c r="K163" s="1599"/>
      <c r="L163" s="1599"/>
      <c r="M163" s="1599"/>
      <c r="N163" s="1599"/>
      <c r="O163" s="1599"/>
      <c r="P163" s="1599"/>
      <c r="Q163" s="1600"/>
      <c r="R163" s="502" t="s">
        <v>1313</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1959</v>
      </c>
      <c r="C165" s="150"/>
      <c r="D165" s="1244"/>
      <c r="E165" s="1244"/>
      <c r="F165" s="1244"/>
      <c r="G165" s="1244"/>
      <c r="H165" s="1244"/>
      <c r="I165" s="1244"/>
      <c r="J165" s="1244"/>
      <c r="K165" s="1244"/>
      <c r="L165" s="1244"/>
      <c r="M165" s="1244"/>
      <c r="N165" s="1244"/>
      <c r="O165" s="1244"/>
      <c r="P165" s="1244"/>
      <c r="Q165" s="1244"/>
    </row>
    <row r="166" spans="1:32" ht="11.45" customHeight="1">
      <c r="A166" s="1644"/>
      <c r="B166" s="1645"/>
      <c r="C166" s="1645"/>
      <c r="D166" s="1645"/>
      <c r="E166" s="1645"/>
      <c r="F166" s="1645"/>
      <c r="G166" s="1645"/>
      <c r="H166" s="1645"/>
      <c r="I166" s="1645"/>
      <c r="J166" s="1645"/>
      <c r="K166" s="1645"/>
      <c r="L166" s="1645"/>
      <c r="M166" s="1645"/>
      <c r="N166" s="1645"/>
      <c r="O166" s="1645"/>
      <c r="P166" s="1645"/>
      <c r="Q166" s="1646"/>
    </row>
    <row r="167" spans="1:32" ht="3" customHeight="1">
      <c r="A167" s="1238"/>
      <c r="B167" s="787"/>
      <c r="C167" s="1244"/>
      <c r="D167" s="1244"/>
      <c r="E167" s="1244"/>
      <c r="F167" s="1244"/>
      <c r="G167" s="1244"/>
      <c r="H167" s="1244"/>
      <c r="I167" s="1244"/>
      <c r="J167" s="1244"/>
      <c r="K167" s="1244"/>
      <c r="L167" s="1244"/>
      <c r="M167" s="1244"/>
      <c r="N167" s="1244"/>
      <c r="O167" s="1244"/>
      <c r="P167" s="1244"/>
      <c r="Q167" s="1238"/>
    </row>
    <row r="168" spans="1:32" ht="13.9" customHeight="1">
      <c r="A168" s="1246">
        <v>8</v>
      </c>
      <c r="B168" s="1246" t="s">
        <v>2793</v>
      </c>
      <c r="C168" s="1246"/>
      <c r="D168" s="1244"/>
      <c r="E168" s="1244"/>
      <c r="F168" s="1244"/>
      <c r="G168" s="1244"/>
      <c r="H168" s="1244"/>
      <c r="I168" s="1244"/>
      <c r="J168" s="1244"/>
      <c r="K168" s="1244"/>
      <c r="O168" s="143" t="s">
        <v>1960</v>
      </c>
      <c r="P168" s="1642"/>
      <c r="Q168" s="1674"/>
    </row>
    <row r="169" spans="1:32" ht="12" customHeight="1">
      <c r="B169" s="47" t="s">
        <v>2080</v>
      </c>
      <c r="C169" s="53" t="s">
        <v>3836</v>
      </c>
      <c r="D169" s="53"/>
      <c r="E169" s="53"/>
      <c r="F169" s="53"/>
      <c r="G169" s="53"/>
      <c r="I169" s="53" t="s">
        <v>2876</v>
      </c>
      <c r="K169" s="1647">
        <v>42735</v>
      </c>
      <c r="L169" s="1648"/>
      <c r="N169" s="53"/>
      <c r="O169" s="531" t="s">
        <v>2080</v>
      </c>
      <c r="P169" s="1287" t="s">
        <v>3421</v>
      </c>
      <c r="Q169" s="2611"/>
    </row>
    <row r="170" spans="1:32" ht="12" customHeight="1">
      <c r="A170" s="151"/>
      <c r="B170" s="47" t="s">
        <v>2083</v>
      </c>
      <c r="C170" s="152" t="s">
        <v>155</v>
      </c>
      <c r="D170" s="152"/>
      <c r="E170" s="152"/>
      <c r="F170" s="152"/>
      <c r="G170" s="152"/>
      <c r="H170" s="152"/>
      <c r="M170" s="531" t="s">
        <v>2083</v>
      </c>
      <c r="N170" s="1717" t="s">
        <v>4447</v>
      </c>
      <c r="O170" s="1718"/>
      <c r="P170" s="2621"/>
      <c r="Q170" s="2622"/>
    </row>
    <row r="171" spans="1:32" ht="12" customHeight="1">
      <c r="A171" s="151"/>
      <c r="B171" s="47" t="s">
        <v>788</v>
      </c>
      <c r="C171" s="152" t="s">
        <v>717</v>
      </c>
      <c r="D171" s="152"/>
      <c r="E171" s="152"/>
      <c r="F171" s="152"/>
      <c r="G171" s="152"/>
      <c r="H171" s="152"/>
      <c r="J171" s="531" t="s">
        <v>788</v>
      </c>
      <c r="K171" s="1595" t="s">
        <v>4409</v>
      </c>
      <c r="L171" s="1596"/>
      <c r="M171" s="1596"/>
      <c r="N171" s="1596"/>
      <c r="O171" s="1596"/>
      <c r="P171" s="1597"/>
      <c r="Q171" s="2611"/>
    </row>
    <row r="172" spans="1:32" ht="12" customHeight="1">
      <c r="A172" s="151"/>
      <c r="B172" s="47" t="s">
        <v>2215</v>
      </c>
      <c r="C172" s="152" t="s">
        <v>3274</v>
      </c>
      <c r="D172" s="152"/>
      <c r="E172" s="152"/>
      <c r="F172" s="152"/>
      <c r="G172" s="152"/>
      <c r="H172" s="152"/>
      <c r="J172" s="531"/>
      <c r="K172" s="531"/>
      <c r="L172" s="531"/>
      <c r="M172" s="531"/>
      <c r="N172" s="531"/>
      <c r="O172" s="531" t="s">
        <v>2215</v>
      </c>
      <c r="P172" s="1287" t="s">
        <v>3421</v>
      </c>
      <c r="Q172" s="2611"/>
    </row>
    <row r="173" spans="1:32" ht="12" customHeight="1">
      <c r="B173" s="153" t="s">
        <v>1958</v>
      </c>
      <c r="D173" s="153"/>
      <c r="E173" s="153"/>
      <c r="F173" s="153"/>
      <c r="G173" s="153"/>
      <c r="H173" s="40"/>
      <c r="I173" s="787"/>
      <c r="J173" s="787"/>
      <c r="K173" s="787"/>
      <c r="L173" s="1238"/>
      <c r="M173" s="1238"/>
      <c r="N173" s="1238"/>
      <c r="O173" s="1238"/>
      <c r="P173" s="1238"/>
      <c r="Q173" s="1274"/>
    </row>
    <row r="174" spans="1:32" ht="11.45" customHeight="1">
      <c r="A174" s="1598" t="s">
        <v>4515</v>
      </c>
      <c r="B174" s="1599"/>
      <c r="C174" s="1599"/>
      <c r="D174" s="1599"/>
      <c r="E174" s="1599"/>
      <c r="F174" s="1599"/>
      <c r="G174" s="1599"/>
      <c r="H174" s="1599"/>
      <c r="I174" s="1599"/>
      <c r="J174" s="1599"/>
      <c r="K174" s="1599"/>
      <c r="L174" s="1599"/>
      <c r="M174" s="1599"/>
      <c r="N174" s="1599"/>
      <c r="O174" s="1599"/>
      <c r="P174" s="1599"/>
      <c r="Q174" s="1600"/>
      <c r="U174" s="148"/>
      <c r="V174" s="148"/>
      <c r="W174" s="148"/>
      <c r="X174" s="148"/>
      <c r="Y174" s="148"/>
      <c r="Z174" s="148"/>
      <c r="AA174" s="148"/>
      <c r="AB174" s="148"/>
      <c r="AC174" s="148"/>
      <c r="AD174" s="148"/>
      <c r="AE174" s="533"/>
    </row>
    <row r="175" spans="1:32" ht="12" customHeight="1">
      <c r="B175" s="149" t="s">
        <v>1959</v>
      </c>
      <c r="C175" s="150"/>
      <c r="D175" s="1244"/>
      <c r="E175" s="1244"/>
      <c r="F175" s="1244"/>
      <c r="G175" s="1244"/>
      <c r="H175" s="1244"/>
      <c r="I175" s="1244"/>
      <c r="J175" s="1244"/>
      <c r="K175" s="1244"/>
      <c r="L175" s="1244"/>
      <c r="M175" s="1244"/>
      <c r="N175" s="1244"/>
      <c r="O175" s="1244"/>
      <c r="P175" s="1244"/>
      <c r="Q175" s="1244"/>
    </row>
    <row r="176" spans="1:32" ht="11.45" customHeight="1">
      <c r="A176" s="1644"/>
      <c r="B176" s="1645"/>
      <c r="C176" s="1645"/>
      <c r="D176" s="1645"/>
      <c r="E176" s="1645"/>
      <c r="F176" s="1645"/>
      <c r="G176" s="1645"/>
      <c r="H176" s="1645"/>
      <c r="I176" s="1645"/>
      <c r="J176" s="1645"/>
      <c r="K176" s="1645"/>
      <c r="L176" s="1645"/>
      <c r="M176" s="1645"/>
      <c r="N176" s="1645"/>
      <c r="O176" s="1645"/>
      <c r="P176" s="1645"/>
      <c r="Q176" s="1646"/>
    </row>
    <row r="177" spans="1:31" ht="3" customHeight="1">
      <c r="A177" s="1238"/>
      <c r="B177" s="787"/>
      <c r="C177" s="1244"/>
      <c r="D177" s="1244"/>
      <c r="E177" s="1244"/>
      <c r="F177" s="1244"/>
      <c r="G177" s="1244"/>
      <c r="H177" s="1244"/>
      <c r="I177" s="1244"/>
      <c r="J177" s="1244"/>
      <c r="K177" s="1244"/>
      <c r="L177" s="1244"/>
      <c r="M177" s="1244"/>
      <c r="Q177" s="1238"/>
    </row>
    <row r="178" spans="1:31" ht="13.9" customHeight="1">
      <c r="A178" s="1246">
        <v>9</v>
      </c>
      <c r="B178" s="1246" t="s">
        <v>2794</v>
      </c>
      <c r="C178" s="1246"/>
      <c r="D178" s="1244"/>
      <c r="E178" s="1244"/>
      <c r="F178" s="1244"/>
      <c r="G178" s="1244"/>
      <c r="H178" s="1244"/>
      <c r="I178" s="1244"/>
      <c r="J178" s="1244"/>
      <c r="K178" s="1244"/>
      <c r="L178" s="1244"/>
      <c r="M178" s="1244"/>
      <c r="O178" s="143" t="s">
        <v>1960</v>
      </c>
      <c r="P178" s="1642"/>
      <c r="Q178" s="1674"/>
    </row>
    <row r="179" spans="1:31" ht="21.75" customHeight="1">
      <c r="B179" s="154" t="s">
        <v>2080</v>
      </c>
      <c r="C179" s="1618" t="s">
        <v>3265</v>
      </c>
      <c r="D179" s="1618"/>
      <c r="E179" s="1618"/>
      <c r="F179" s="1618"/>
      <c r="G179" s="1618"/>
      <c r="H179" s="1618"/>
      <c r="I179" s="1618"/>
      <c r="J179" s="1618"/>
      <c r="K179" s="1618"/>
      <c r="L179" s="1618"/>
      <c r="M179" s="1618"/>
      <c r="N179" s="1618"/>
      <c r="O179" s="177" t="s">
        <v>2080</v>
      </c>
      <c r="P179" s="1291" t="s">
        <v>3421</v>
      </c>
      <c r="Q179" s="631"/>
    </row>
    <row r="180" spans="1:31" ht="22.15" customHeight="1">
      <c r="B180" s="154" t="s">
        <v>2083</v>
      </c>
      <c r="C180" s="1618" t="s">
        <v>2632</v>
      </c>
      <c r="D180" s="1618"/>
      <c r="E180" s="1618"/>
      <c r="F180" s="1618"/>
      <c r="G180" s="1618"/>
      <c r="H180" s="1618"/>
      <c r="I180" s="1618"/>
      <c r="J180" s="1618"/>
      <c r="K180" s="1618"/>
      <c r="L180" s="1618"/>
      <c r="M180" s="1618"/>
      <c r="N180" s="1618"/>
      <c r="O180" s="177" t="s">
        <v>2083</v>
      </c>
      <c r="P180" s="1293"/>
      <c r="Q180" s="632"/>
    </row>
    <row r="181" spans="1:31" ht="21.75" customHeight="1">
      <c r="B181" s="154" t="s">
        <v>788</v>
      </c>
      <c r="C181" s="1618" t="s">
        <v>2778</v>
      </c>
      <c r="D181" s="1618"/>
      <c r="E181" s="1618"/>
      <c r="F181" s="1618"/>
      <c r="G181" s="1618"/>
      <c r="H181" s="1618"/>
      <c r="I181" s="1618"/>
      <c r="J181" s="1618"/>
      <c r="K181" s="1618"/>
      <c r="L181" s="1618"/>
      <c r="M181" s="1618"/>
      <c r="N181" s="1618"/>
      <c r="O181" s="177" t="s">
        <v>788</v>
      </c>
      <c r="P181" s="1292"/>
      <c r="Q181" s="633"/>
    </row>
    <row r="182" spans="1:31" ht="12" customHeight="1">
      <c r="B182" s="153" t="s">
        <v>1958</v>
      </c>
      <c r="D182" s="153"/>
      <c r="E182" s="153"/>
      <c r="F182" s="153"/>
      <c r="G182" s="153"/>
      <c r="H182" s="40"/>
      <c r="I182" s="787"/>
      <c r="J182" s="787"/>
      <c r="K182" s="787"/>
      <c r="L182" s="1238"/>
      <c r="M182" s="1238"/>
      <c r="N182" s="1238"/>
      <c r="O182" s="1238"/>
      <c r="P182" s="1238"/>
      <c r="Q182" s="1274"/>
    </row>
    <row r="183" spans="1:31" ht="11.45" customHeight="1">
      <c r="A183" s="1598" t="s">
        <v>4449</v>
      </c>
      <c r="B183" s="1599"/>
      <c r="C183" s="1599"/>
      <c r="D183" s="1599"/>
      <c r="E183" s="1599"/>
      <c r="F183" s="1599"/>
      <c r="G183" s="1599"/>
      <c r="H183" s="1599"/>
      <c r="I183" s="1599"/>
      <c r="J183" s="1599"/>
      <c r="K183" s="1599"/>
      <c r="L183" s="1599"/>
      <c r="M183" s="1599"/>
      <c r="N183" s="1599"/>
      <c r="O183" s="1599"/>
      <c r="P183" s="1599"/>
      <c r="Q183" s="1600"/>
      <c r="U183" s="148"/>
      <c r="V183" s="148"/>
      <c r="W183" s="148"/>
      <c r="X183" s="148"/>
      <c r="Y183" s="148"/>
      <c r="Z183" s="148"/>
      <c r="AA183" s="148"/>
      <c r="AB183" s="148"/>
      <c r="AC183" s="148"/>
      <c r="AD183" s="148"/>
      <c r="AE183" s="533"/>
    </row>
    <row r="184" spans="1:31" ht="12" customHeight="1">
      <c r="B184" s="149" t="s">
        <v>1959</v>
      </c>
      <c r="C184" s="150"/>
      <c r="D184" s="1244"/>
      <c r="E184" s="1244"/>
      <c r="F184" s="1244"/>
      <c r="G184" s="1244"/>
      <c r="H184" s="1244"/>
      <c r="I184" s="1244"/>
      <c r="J184" s="1244"/>
      <c r="K184" s="1244"/>
      <c r="L184" s="1244"/>
      <c r="M184" s="1244"/>
      <c r="N184" s="1244"/>
      <c r="O184" s="1244"/>
      <c r="P184" s="1244"/>
      <c r="Q184" s="1244"/>
    </row>
    <row r="185" spans="1:31" ht="11.45" customHeight="1">
      <c r="A185" s="1644"/>
      <c r="B185" s="1645"/>
      <c r="C185" s="1645"/>
      <c r="D185" s="1645"/>
      <c r="E185" s="1645"/>
      <c r="F185" s="1645"/>
      <c r="G185" s="1645"/>
      <c r="H185" s="1645"/>
      <c r="I185" s="1645"/>
      <c r="J185" s="1645"/>
      <c r="K185" s="1645"/>
      <c r="L185" s="1645"/>
      <c r="M185" s="1645"/>
      <c r="N185" s="1645"/>
      <c r="O185" s="1645"/>
      <c r="P185" s="1645"/>
      <c r="Q185" s="1646"/>
    </row>
    <row r="186" spans="1:31" ht="3" customHeight="1">
      <c r="B186" s="787"/>
      <c r="C186" s="1244"/>
      <c r="D186" s="1244"/>
      <c r="E186" s="1244"/>
      <c r="F186" s="1244"/>
      <c r="G186" s="1244"/>
      <c r="H186" s="1244"/>
      <c r="I186" s="1244"/>
      <c r="J186" s="1244"/>
      <c r="K186" s="1244"/>
      <c r="L186" s="1244"/>
      <c r="M186" s="1244"/>
      <c r="N186" s="1244"/>
      <c r="O186" s="1244"/>
      <c r="P186" s="1244"/>
      <c r="Q186" s="1238"/>
    </row>
    <row r="187" spans="1:31" ht="13.9" customHeight="1">
      <c r="A187" s="1218">
        <v>10</v>
      </c>
      <c r="B187" s="1689" t="s">
        <v>2795</v>
      </c>
      <c r="C187" s="1689"/>
      <c r="D187" s="1689"/>
      <c r="O187" s="143" t="s">
        <v>1960</v>
      </c>
      <c r="P187" s="1642"/>
      <c r="Q187" s="1674"/>
    </row>
    <row r="188" spans="1:31" ht="12" customHeight="1">
      <c r="B188" s="154" t="s">
        <v>2080</v>
      </c>
      <c r="C188" s="1286" t="s">
        <v>489</v>
      </c>
      <c r="D188" s="1286"/>
      <c r="E188" s="1286"/>
      <c r="F188" s="1286"/>
      <c r="G188" s="1286"/>
      <c r="H188" s="1286"/>
      <c r="I188" s="1286"/>
      <c r="J188" s="1286"/>
      <c r="K188" s="1286"/>
      <c r="L188" s="1286"/>
      <c r="M188" s="1286"/>
      <c r="O188" s="177" t="s">
        <v>2080</v>
      </c>
      <c r="P188" s="1291" t="s">
        <v>3421</v>
      </c>
      <c r="Q188" s="631"/>
    </row>
    <row r="189" spans="1:31" ht="12" customHeight="1">
      <c r="B189" s="154" t="s">
        <v>2083</v>
      </c>
      <c r="C189" s="1286" t="s">
        <v>2779</v>
      </c>
      <c r="D189" s="1286"/>
      <c r="E189" s="1286"/>
      <c r="F189" s="1286"/>
      <c r="G189" s="1286"/>
      <c r="H189" s="1286"/>
      <c r="I189" s="1286"/>
      <c r="J189" s="1286"/>
      <c r="K189" s="1286"/>
      <c r="L189" s="1286"/>
      <c r="M189" s="1286"/>
      <c r="O189" s="177" t="s">
        <v>2083</v>
      </c>
      <c r="P189" s="1293" t="s">
        <v>3421</v>
      </c>
      <c r="Q189" s="632"/>
    </row>
    <row r="190" spans="1:31" ht="12" customHeight="1">
      <c r="B190" s="154" t="s">
        <v>788</v>
      </c>
      <c r="C190" s="1286" t="s">
        <v>2780</v>
      </c>
      <c r="D190" s="1286"/>
      <c r="E190" s="1286"/>
      <c r="F190" s="1286"/>
      <c r="G190" s="1286"/>
      <c r="H190" s="1286"/>
      <c r="I190" s="1286"/>
      <c r="J190" s="1286"/>
      <c r="K190" s="1286"/>
      <c r="L190" s="1286"/>
      <c r="M190" s="1286"/>
      <c r="O190" s="177" t="s">
        <v>788</v>
      </c>
      <c r="P190" s="1293" t="s">
        <v>3421</v>
      </c>
      <c r="Q190" s="632"/>
    </row>
    <row r="191" spans="1:31" ht="12" customHeight="1">
      <c r="B191" s="154"/>
      <c r="C191" s="1286" t="s">
        <v>2768</v>
      </c>
      <c r="D191" s="1286"/>
      <c r="E191" s="498" t="s">
        <v>1824</v>
      </c>
      <c r="F191" s="1286" t="s">
        <v>2781</v>
      </c>
      <c r="G191" s="1286"/>
      <c r="H191" s="1286"/>
      <c r="I191" s="1286"/>
      <c r="J191" s="1286"/>
      <c r="K191" s="1286"/>
      <c r="L191" s="1286"/>
      <c r="M191" s="1286"/>
      <c r="O191" s="498" t="s">
        <v>1824</v>
      </c>
      <c r="P191" s="1293" t="s">
        <v>3421</v>
      </c>
      <c r="Q191" s="632"/>
    </row>
    <row r="192" spans="1:31" ht="12" customHeight="1">
      <c r="B192" s="154"/>
      <c r="C192" s="1286"/>
      <c r="D192" s="1286"/>
      <c r="E192" s="498" t="s">
        <v>1825</v>
      </c>
      <c r="F192" s="1286" t="s">
        <v>2782</v>
      </c>
      <c r="G192" s="1286"/>
      <c r="H192" s="1286"/>
      <c r="I192" s="1286"/>
      <c r="J192" s="1286"/>
      <c r="K192" s="1286"/>
      <c r="L192" s="1286"/>
      <c r="M192" s="1286"/>
      <c r="O192" s="498" t="s">
        <v>1825</v>
      </c>
      <c r="P192" s="1293" t="s">
        <v>3421</v>
      </c>
      <c r="Q192" s="632"/>
    </row>
    <row r="193" spans="1:32" s="144" customFormat="1" ht="21.75" customHeight="1">
      <c r="B193" s="154"/>
      <c r="C193" s="1286"/>
      <c r="D193" s="1286"/>
      <c r="E193" s="177" t="s">
        <v>1826</v>
      </c>
      <c r="F193" s="1618" t="s">
        <v>4175</v>
      </c>
      <c r="G193" s="1618"/>
      <c r="H193" s="1618"/>
      <c r="I193" s="1618"/>
      <c r="J193" s="1618"/>
      <c r="K193" s="1618"/>
      <c r="L193" s="1618"/>
      <c r="M193" s="1618"/>
      <c r="N193" s="1618"/>
      <c r="O193" s="177" t="s">
        <v>1826</v>
      </c>
      <c r="P193" s="1294" t="s">
        <v>3421</v>
      </c>
      <c r="Q193" s="634"/>
      <c r="AE193" s="534"/>
      <c r="AF193" s="534"/>
    </row>
    <row r="194" spans="1:32" ht="12" customHeight="1">
      <c r="B194" s="154"/>
      <c r="C194" s="1286"/>
      <c r="D194" s="1286"/>
      <c r="E194" s="498" t="s">
        <v>2476</v>
      </c>
      <c r="F194" s="1286" t="s">
        <v>2783</v>
      </c>
      <c r="G194" s="1286"/>
      <c r="H194" s="1286"/>
      <c r="I194" s="1286"/>
      <c r="J194" s="1286"/>
      <c r="K194" s="1286"/>
      <c r="L194" s="1286"/>
      <c r="M194" s="1286"/>
      <c r="O194" s="498" t="s">
        <v>2476</v>
      </c>
      <c r="P194" s="1293" t="s">
        <v>3421</v>
      </c>
      <c r="Q194" s="632"/>
    </row>
    <row r="195" spans="1:32" s="144" customFormat="1" ht="21.75" customHeight="1">
      <c r="B195" s="154"/>
      <c r="C195" s="1286"/>
      <c r="D195" s="1286"/>
      <c r="E195" s="177" t="s">
        <v>1625</v>
      </c>
      <c r="F195" s="1618" t="s">
        <v>2784</v>
      </c>
      <c r="G195" s="1618"/>
      <c r="H195" s="1618"/>
      <c r="I195" s="1618"/>
      <c r="J195" s="1618"/>
      <c r="K195" s="1618"/>
      <c r="L195" s="1618"/>
      <c r="M195" s="1618"/>
      <c r="N195" s="1618"/>
      <c r="O195" s="177" t="s">
        <v>1625</v>
      </c>
      <c r="P195" s="1294"/>
      <c r="Q195" s="634"/>
      <c r="AE195" s="534"/>
      <c r="AF195" s="534"/>
    </row>
    <row r="196" spans="1:32" ht="21.75" customHeight="1">
      <c r="B196" s="154" t="s">
        <v>2215</v>
      </c>
      <c r="C196" s="1618" t="s">
        <v>2785</v>
      </c>
      <c r="D196" s="1618"/>
      <c r="E196" s="1618"/>
      <c r="F196" s="1618"/>
      <c r="G196" s="1618"/>
      <c r="H196" s="1618"/>
      <c r="I196" s="1618"/>
      <c r="J196" s="1618"/>
      <c r="K196" s="1618"/>
      <c r="L196" s="1618"/>
      <c r="M196" s="1618"/>
      <c r="N196" s="1618"/>
      <c r="O196" s="177" t="s">
        <v>2215</v>
      </c>
      <c r="P196" s="1293" t="s">
        <v>3421</v>
      </c>
      <c r="Q196" s="632"/>
    </row>
    <row r="197" spans="1:32" ht="12" customHeight="1">
      <c r="B197" s="154" t="s">
        <v>1822</v>
      </c>
      <c r="C197" s="1286" t="s">
        <v>2492</v>
      </c>
      <c r="D197" s="1286"/>
      <c r="E197" s="1286"/>
      <c r="F197" s="1286"/>
      <c r="G197" s="1286"/>
      <c r="H197" s="1286"/>
      <c r="I197" s="1286"/>
      <c r="J197" s="1286"/>
      <c r="K197" s="1286"/>
      <c r="L197" s="1286"/>
      <c r="M197" s="1286"/>
      <c r="O197" s="177" t="s">
        <v>1822</v>
      </c>
      <c r="P197" s="1292" t="s">
        <v>3421</v>
      </c>
      <c r="Q197" s="633"/>
    </row>
    <row r="198" spans="1:32" ht="12" customHeight="1">
      <c r="B198" s="153" t="s">
        <v>1958</v>
      </c>
      <c r="D198" s="153"/>
      <c r="E198" s="153"/>
      <c r="F198" s="153"/>
      <c r="G198" s="153"/>
      <c r="H198" s="40"/>
      <c r="I198" s="787"/>
      <c r="J198" s="787"/>
      <c r="K198" s="787"/>
      <c r="L198" s="1238"/>
      <c r="M198" s="1238"/>
      <c r="N198" s="1238"/>
      <c r="O198" s="1238"/>
      <c r="P198" s="1238"/>
      <c r="Q198" s="1274"/>
    </row>
    <row r="199" spans="1:32" ht="11.45" customHeight="1">
      <c r="A199" s="1598" t="s">
        <v>4448</v>
      </c>
      <c r="B199" s="1599"/>
      <c r="C199" s="1599"/>
      <c r="D199" s="1599"/>
      <c r="E199" s="1599"/>
      <c r="F199" s="1599"/>
      <c r="G199" s="1599"/>
      <c r="H199" s="1599"/>
      <c r="I199" s="1599"/>
      <c r="J199" s="1599"/>
      <c r="K199" s="1599"/>
      <c r="L199" s="1599"/>
      <c r="M199" s="1599"/>
      <c r="N199" s="1599"/>
      <c r="O199" s="1599"/>
      <c r="P199" s="1599"/>
      <c r="Q199" s="1600"/>
      <c r="U199" s="148"/>
      <c r="V199" s="148"/>
      <c r="W199" s="148"/>
      <c r="X199" s="148"/>
      <c r="Y199" s="148"/>
      <c r="Z199" s="148"/>
      <c r="AA199" s="148"/>
      <c r="AB199" s="148"/>
      <c r="AC199" s="148"/>
      <c r="AD199" s="148"/>
      <c r="AE199" s="533"/>
    </row>
    <row r="200" spans="1:32" ht="12" customHeight="1">
      <c r="B200" s="149" t="s">
        <v>1959</v>
      </c>
      <c r="C200" s="150"/>
      <c r="D200" s="1244"/>
      <c r="E200" s="1244"/>
      <c r="F200" s="1244"/>
      <c r="G200" s="1244"/>
      <c r="H200" s="1244"/>
      <c r="I200" s="1244"/>
      <c r="J200" s="1244"/>
      <c r="K200" s="1244"/>
      <c r="L200" s="1244"/>
      <c r="M200" s="1244"/>
      <c r="N200" s="1244"/>
      <c r="O200" s="1244"/>
      <c r="P200" s="1244"/>
      <c r="Q200" s="1244"/>
    </row>
    <row r="201" spans="1:32" ht="11.45" customHeight="1">
      <c r="A201" s="1644"/>
      <c r="B201" s="1645"/>
      <c r="C201" s="1645"/>
      <c r="D201" s="1645"/>
      <c r="E201" s="1645"/>
      <c r="F201" s="1645"/>
      <c r="G201" s="1645"/>
      <c r="H201" s="1645"/>
      <c r="I201" s="1645"/>
      <c r="J201" s="1645"/>
      <c r="K201" s="1645"/>
      <c r="L201" s="1645"/>
      <c r="M201" s="1645"/>
      <c r="N201" s="1645"/>
      <c r="O201" s="1645"/>
      <c r="P201" s="1645"/>
      <c r="Q201" s="1646"/>
    </row>
    <row r="202" spans="1:32" ht="3" customHeight="1">
      <c r="A202" s="1238"/>
      <c r="B202" s="787"/>
      <c r="C202" s="1244"/>
      <c r="D202" s="1244"/>
      <c r="E202" s="1244"/>
      <c r="F202" s="1244"/>
      <c r="G202" s="1244"/>
      <c r="H202" s="1244"/>
      <c r="I202" s="1244"/>
      <c r="J202" s="1244"/>
      <c r="K202" s="1244"/>
      <c r="L202" s="1244"/>
      <c r="M202" s="1244"/>
      <c r="N202" s="1244"/>
      <c r="O202" s="1244"/>
      <c r="P202" s="1244"/>
      <c r="Q202" s="1238"/>
    </row>
    <row r="203" spans="1:32" ht="13.9" customHeight="1">
      <c r="A203" s="1246">
        <v>11</v>
      </c>
      <c r="B203" s="1246" t="s">
        <v>2796</v>
      </c>
      <c r="C203" s="1246"/>
      <c r="D203" s="1244"/>
      <c r="E203" s="159"/>
      <c r="F203" s="159"/>
      <c r="G203" s="1244"/>
      <c r="J203" s="1281"/>
      <c r="K203" s="569"/>
      <c r="L203" s="569"/>
      <c r="M203" s="569"/>
      <c r="N203" s="569"/>
      <c r="O203" s="143" t="s">
        <v>1960</v>
      </c>
      <c r="P203" s="1642"/>
      <c r="Q203" s="1674"/>
    </row>
    <row r="204" spans="1:32" ht="12" customHeight="1">
      <c r="A204" s="151"/>
      <c r="B204" s="47" t="s">
        <v>2080</v>
      </c>
      <c r="C204" s="1618" t="s">
        <v>99</v>
      </c>
      <c r="D204" s="1618"/>
      <c r="E204" s="1618"/>
      <c r="F204" s="1618"/>
      <c r="G204" s="1618"/>
      <c r="H204" s="69" t="s">
        <v>1824</v>
      </c>
      <c r="I204" s="53" t="s">
        <v>157</v>
      </c>
      <c r="K204" s="1662" t="s">
        <v>1016</v>
      </c>
      <c r="L204" s="1663"/>
      <c r="M204" s="1663"/>
      <c r="N204" s="1664"/>
      <c r="O204" s="69" t="s">
        <v>1824</v>
      </c>
      <c r="P204" s="1291" t="s">
        <v>3424</v>
      </c>
      <c r="Q204" s="631"/>
    </row>
    <row r="205" spans="1:32" ht="12" customHeight="1">
      <c r="A205" s="151"/>
      <c r="B205" s="787"/>
      <c r="C205" s="110"/>
      <c r="D205" s="110"/>
      <c r="E205" s="110"/>
      <c r="F205" s="110"/>
      <c r="H205" s="69" t="s">
        <v>1825</v>
      </c>
      <c r="I205" s="53" t="s">
        <v>1672</v>
      </c>
      <c r="K205" s="1665" t="s">
        <v>4450</v>
      </c>
      <c r="L205" s="1666"/>
      <c r="M205" s="1666"/>
      <c r="N205" s="1667"/>
      <c r="O205" s="69" t="s">
        <v>1825</v>
      </c>
      <c r="P205" s="1292" t="s">
        <v>3421</v>
      </c>
      <c r="Q205" s="633"/>
    </row>
    <row r="206" spans="1:32" ht="12" customHeight="1">
      <c r="B206" s="153" t="s">
        <v>1958</v>
      </c>
      <c r="D206" s="153"/>
      <c r="E206" s="153"/>
      <c r="F206" s="153"/>
      <c r="G206" s="153"/>
      <c r="J206" s="787"/>
      <c r="K206" s="787"/>
      <c r="L206" s="1238"/>
      <c r="M206" s="1238"/>
      <c r="N206" s="1238"/>
      <c r="O206" s="1238"/>
      <c r="P206" s="1238"/>
      <c r="Q206" s="1274"/>
    </row>
    <row r="207" spans="1:32" ht="11.45" customHeight="1">
      <c r="A207" s="1598" t="s">
        <v>4453</v>
      </c>
      <c r="B207" s="1599"/>
      <c r="C207" s="1599"/>
      <c r="D207" s="1599"/>
      <c r="E207" s="1599"/>
      <c r="F207" s="1599"/>
      <c r="G207" s="1599"/>
      <c r="H207" s="1599"/>
      <c r="I207" s="1599"/>
      <c r="J207" s="1599"/>
      <c r="K207" s="1599"/>
      <c r="L207" s="1599"/>
      <c r="M207" s="1599"/>
      <c r="N207" s="1599"/>
      <c r="O207" s="1599"/>
      <c r="P207" s="1599"/>
      <c r="Q207" s="1600"/>
      <c r="U207" s="148"/>
      <c r="V207" s="148"/>
      <c r="W207" s="148"/>
      <c r="X207" s="148"/>
      <c r="Y207" s="148"/>
      <c r="Z207" s="148"/>
      <c r="AA207" s="148"/>
      <c r="AB207" s="148"/>
      <c r="AC207" s="148"/>
      <c r="AD207" s="148"/>
      <c r="AE207" s="533"/>
    </row>
    <row r="208" spans="1:32" ht="12" customHeight="1">
      <c r="B208" s="149" t="s">
        <v>1959</v>
      </c>
      <c r="C208" s="150"/>
      <c r="D208" s="1244"/>
      <c r="E208" s="1244"/>
      <c r="F208" s="1244"/>
      <c r="G208" s="1244"/>
      <c r="H208" s="1244"/>
      <c r="I208" s="1244"/>
      <c r="J208" s="1244"/>
      <c r="K208" s="1244"/>
      <c r="L208" s="1244"/>
      <c r="M208" s="1244"/>
      <c r="N208" s="1244"/>
      <c r="O208" s="1244"/>
      <c r="P208" s="1244"/>
      <c r="Q208" s="1244"/>
    </row>
    <row r="209" spans="1:31" ht="11.45" customHeight="1">
      <c r="A209" s="1644"/>
      <c r="B209" s="1645"/>
      <c r="C209" s="1645"/>
      <c r="D209" s="1645"/>
      <c r="E209" s="1645"/>
      <c r="F209" s="1645"/>
      <c r="G209" s="1645"/>
      <c r="H209" s="1645"/>
      <c r="I209" s="1645"/>
      <c r="J209" s="1645"/>
      <c r="K209" s="1645"/>
      <c r="L209" s="1645"/>
      <c r="M209" s="1645"/>
      <c r="N209" s="1645"/>
      <c r="O209" s="1645"/>
      <c r="P209" s="1645"/>
      <c r="Q209" s="1646"/>
    </row>
    <row r="210" spans="1:31" ht="4.1500000000000004" customHeight="1">
      <c r="B210" s="787"/>
      <c r="C210" s="1244"/>
      <c r="D210" s="1244"/>
      <c r="E210" s="1244"/>
      <c r="F210" s="1244"/>
      <c r="G210" s="1244"/>
      <c r="H210" s="1244"/>
      <c r="I210" s="1244"/>
      <c r="J210" s="1244"/>
      <c r="K210" s="1244"/>
      <c r="L210" s="1244"/>
      <c r="M210" s="1244"/>
      <c r="Q210" s="1274"/>
    </row>
    <row r="211" spans="1:31" ht="13.9" customHeight="1">
      <c r="A211" s="1246">
        <v>12</v>
      </c>
      <c r="B211" s="4" t="s">
        <v>2797</v>
      </c>
      <c r="C211" s="4"/>
      <c r="D211" s="91"/>
      <c r="E211" s="91"/>
      <c r="F211" s="91"/>
      <c r="G211" s="1244"/>
      <c r="H211" s="1244"/>
      <c r="I211" s="1244"/>
      <c r="J211" s="1244"/>
      <c r="K211" s="1244"/>
      <c r="L211" s="1244"/>
      <c r="M211" s="1244"/>
      <c r="O211" s="143" t="s">
        <v>1960</v>
      </c>
      <c r="P211" s="1642"/>
      <c r="Q211" s="1674"/>
    </row>
    <row r="212" spans="1:31" ht="4.1500000000000004" customHeight="1"/>
    <row r="213" spans="1:31" ht="11.45" customHeight="1">
      <c r="B213" s="154" t="s">
        <v>2080</v>
      </c>
      <c r="C213" s="614" t="s">
        <v>1824</v>
      </c>
      <c r="D213" s="454" t="s">
        <v>537</v>
      </c>
      <c r="E213" s="454"/>
      <c r="F213" s="454"/>
      <c r="G213" s="454"/>
      <c r="H213" s="454"/>
      <c r="I213" s="454"/>
      <c r="J213" s="454"/>
      <c r="K213" s="454"/>
      <c r="L213" s="454"/>
      <c r="M213" s="454"/>
      <c r="N213" s="454"/>
      <c r="O213" s="177" t="s">
        <v>1561</v>
      </c>
      <c r="P213" s="1291" t="s">
        <v>3424</v>
      </c>
      <c r="Q213" s="631"/>
    </row>
    <row r="214" spans="1:31" ht="11.45" customHeight="1">
      <c r="B214" s="154"/>
      <c r="C214" s="614" t="s">
        <v>1825</v>
      </c>
      <c r="D214" s="454" t="s">
        <v>1541</v>
      </c>
      <c r="E214" s="454"/>
      <c r="F214" s="454"/>
      <c r="G214" s="454"/>
      <c r="H214" s="454"/>
      <c r="I214" s="454"/>
      <c r="J214" s="454"/>
      <c r="K214" s="454"/>
      <c r="L214" s="454"/>
      <c r="M214" s="454"/>
      <c r="N214" s="454"/>
      <c r="O214" s="177" t="s">
        <v>1825</v>
      </c>
      <c r="P214" s="1293"/>
      <c r="Q214" s="632"/>
    </row>
    <row r="215" spans="1:31" ht="11.45" customHeight="1">
      <c r="A215" s="151"/>
      <c r="B215" s="154" t="s">
        <v>2083</v>
      </c>
      <c r="C215" s="1618" t="s">
        <v>1941</v>
      </c>
      <c r="D215" s="1618"/>
      <c r="E215" s="1618"/>
      <c r="F215" s="1618"/>
      <c r="G215" s="1618"/>
      <c r="H215" s="69" t="s">
        <v>1824</v>
      </c>
      <c r="I215" s="53" t="s">
        <v>665</v>
      </c>
      <c r="K215" s="1662" t="s">
        <v>4451</v>
      </c>
      <c r="L215" s="1663"/>
      <c r="M215" s="1663"/>
      <c r="N215" s="1664"/>
      <c r="O215" s="69" t="s">
        <v>1519</v>
      </c>
      <c r="P215" s="1293" t="s">
        <v>3421</v>
      </c>
      <c r="Q215" s="632"/>
    </row>
    <row r="216" spans="1:31" ht="11.45" customHeight="1">
      <c r="A216" s="151"/>
      <c r="B216" s="163"/>
      <c r="C216" s="1618"/>
      <c r="D216" s="1618"/>
      <c r="E216" s="1618"/>
      <c r="F216" s="1618"/>
      <c r="G216" s="1618"/>
      <c r="H216" s="69" t="s">
        <v>1825</v>
      </c>
      <c r="I216" s="53" t="s">
        <v>118</v>
      </c>
      <c r="K216" s="1665" t="s">
        <v>4451</v>
      </c>
      <c r="L216" s="1666"/>
      <c r="M216" s="1666"/>
      <c r="N216" s="1667"/>
      <c r="O216" s="69" t="s">
        <v>1825</v>
      </c>
      <c r="P216" s="1292" t="s">
        <v>3421</v>
      </c>
      <c r="Q216" s="633"/>
    </row>
    <row r="217" spans="1:31" ht="11.25" customHeight="1">
      <c r="B217" s="153" t="s">
        <v>1958</v>
      </c>
      <c r="D217" s="153"/>
      <c r="E217" s="153"/>
      <c r="F217" s="153"/>
      <c r="G217" s="153"/>
      <c r="H217" s="40"/>
      <c r="I217" s="787"/>
      <c r="J217" s="787"/>
      <c r="K217" s="787"/>
      <c r="L217" s="1238"/>
      <c r="M217" s="1238"/>
      <c r="N217" s="1238"/>
      <c r="O217" s="1238"/>
      <c r="P217" s="1238"/>
      <c r="Q217" s="1274"/>
    </row>
    <row r="218" spans="1:31" ht="11.45" customHeight="1">
      <c r="A218" s="1598" t="s">
        <v>4452</v>
      </c>
      <c r="B218" s="1599"/>
      <c r="C218" s="1599"/>
      <c r="D218" s="1599"/>
      <c r="E218" s="1599"/>
      <c r="F218" s="1599"/>
      <c r="G218" s="1599"/>
      <c r="H218" s="1599"/>
      <c r="I218" s="1599"/>
      <c r="J218" s="1599"/>
      <c r="K218" s="1599"/>
      <c r="L218" s="1599"/>
      <c r="M218" s="1599"/>
      <c r="N218" s="1599"/>
      <c r="O218" s="1599"/>
      <c r="P218" s="1599"/>
      <c r="Q218" s="1600"/>
      <c r="U218" s="148"/>
      <c r="V218" s="148"/>
      <c r="W218" s="148"/>
      <c r="X218" s="148"/>
      <c r="Y218" s="148"/>
      <c r="Z218" s="148"/>
      <c r="AA218" s="148"/>
      <c r="AB218" s="148"/>
      <c r="AC218" s="148"/>
      <c r="AD218" s="148"/>
      <c r="AE218" s="533"/>
    </row>
    <row r="219" spans="1:31" ht="11.25" customHeight="1">
      <c r="B219" s="149" t="s">
        <v>1959</v>
      </c>
      <c r="C219" s="150"/>
      <c r="D219" s="1244"/>
      <c r="E219" s="1244"/>
      <c r="F219" s="1244"/>
      <c r="G219" s="1244"/>
      <c r="H219" s="1244"/>
      <c r="I219" s="1244"/>
      <c r="J219" s="1244"/>
      <c r="K219" s="1244"/>
      <c r="L219" s="1244"/>
      <c r="M219" s="1244"/>
      <c r="N219" s="1244"/>
      <c r="O219" s="1244"/>
      <c r="P219" s="1244"/>
      <c r="Q219" s="1244"/>
    </row>
    <row r="220" spans="1:31" ht="11.45" customHeight="1">
      <c r="A220" s="1644"/>
      <c r="B220" s="1645"/>
      <c r="C220" s="1645"/>
      <c r="D220" s="1645"/>
      <c r="E220" s="1645"/>
      <c r="F220" s="1645"/>
      <c r="G220" s="1645"/>
      <c r="H220" s="1645"/>
      <c r="I220" s="1645"/>
      <c r="J220" s="1645"/>
      <c r="K220" s="1645"/>
      <c r="L220" s="1645"/>
      <c r="M220" s="1645"/>
      <c r="N220" s="1645"/>
      <c r="O220" s="1645"/>
      <c r="P220" s="1645"/>
      <c r="Q220" s="1646"/>
    </row>
    <row r="221" spans="1:31" ht="3" customHeight="1">
      <c r="A221" s="1238"/>
      <c r="B221" s="787"/>
      <c r="C221" s="1244"/>
      <c r="D221" s="1244"/>
      <c r="E221" s="1244"/>
      <c r="F221" s="1244"/>
      <c r="G221" s="1244"/>
      <c r="H221" s="1244"/>
      <c r="I221" s="1244"/>
      <c r="J221" s="1244"/>
      <c r="K221" s="1244"/>
      <c r="L221" s="1244"/>
      <c r="M221" s="1244"/>
      <c r="Q221" s="1238"/>
    </row>
    <row r="222" spans="1:31" ht="13.9" customHeight="1">
      <c r="A222" s="1246">
        <v>13</v>
      </c>
      <c r="B222" s="4" t="s">
        <v>2798</v>
      </c>
      <c r="C222" s="4"/>
      <c r="D222" s="91"/>
      <c r="E222" s="91"/>
      <c r="F222" s="91"/>
      <c r="G222" s="91"/>
      <c r="H222" s="1244"/>
      <c r="I222" s="1244"/>
      <c r="J222" s="1244"/>
      <c r="K222" s="1244"/>
      <c r="L222" s="1244"/>
      <c r="M222" s="1244"/>
      <c r="O222" s="143" t="s">
        <v>1960</v>
      </c>
      <c r="P222" s="1642"/>
      <c r="Q222" s="1674"/>
    </row>
    <row r="223" spans="1:31" ht="10.9" customHeight="1">
      <c r="B223" s="157" t="s">
        <v>149</v>
      </c>
    </row>
    <row r="224" spans="1:31" ht="11.45" customHeight="1">
      <c r="B224" s="47" t="s">
        <v>2080</v>
      </c>
      <c r="C224" s="53" t="s">
        <v>3329</v>
      </c>
      <c r="D224" s="42"/>
      <c r="E224" s="53"/>
      <c r="F224" s="53"/>
      <c r="G224" s="53"/>
      <c r="H224" s="53"/>
      <c r="I224" s="42"/>
      <c r="J224" s="42"/>
      <c r="K224" s="42"/>
      <c r="L224" s="1286"/>
      <c r="M224" s="1286"/>
      <c r="O224" s="177" t="s">
        <v>2080</v>
      </c>
      <c r="P224" s="1287" t="s">
        <v>3421</v>
      </c>
      <c r="Q224" s="2611"/>
    </row>
    <row r="225" spans="1:32" ht="11.45" customHeight="1">
      <c r="B225" s="47"/>
      <c r="C225" s="53"/>
      <c r="D225" s="36" t="s">
        <v>3299</v>
      </c>
      <c r="E225" s="53"/>
      <c r="F225" s="53"/>
      <c r="G225" s="1672" t="s">
        <v>4516</v>
      </c>
      <c r="H225" s="1673"/>
      <c r="L225" s="1633" t="s">
        <v>4362</v>
      </c>
      <c r="M225" s="1672" t="s">
        <v>4516</v>
      </c>
      <c r="N225" s="1673"/>
    </row>
    <row r="226" spans="1:32" ht="11.45" customHeight="1">
      <c r="B226" s="47"/>
      <c r="C226" s="53"/>
      <c r="D226" s="56" t="s">
        <v>3301</v>
      </c>
      <c r="E226" s="53"/>
      <c r="F226" s="53"/>
      <c r="G226" s="1675" t="s">
        <v>4517</v>
      </c>
      <c r="H226" s="1676"/>
      <c r="I226" s="1596"/>
      <c r="J226" s="1596"/>
      <c r="K226" s="1597"/>
      <c r="L226" s="1633"/>
      <c r="M226" s="1675" t="s">
        <v>4517</v>
      </c>
      <c r="N226" s="1676"/>
      <c r="O226" s="1596"/>
      <c r="P226" s="1596"/>
      <c r="Q226" s="1597"/>
    </row>
    <row r="227" spans="1:32" ht="11.45" customHeight="1">
      <c r="B227" s="47"/>
      <c r="C227" s="53"/>
      <c r="D227" s="36" t="s">
        <v>3300</v>
      </c>
      <c r="E227" s="42"/>
      <c r="G227" s="1672">
        <v>42122</v>
      </c>
      <c r="H227" s="1673"/>
      <c r="I227" s="36"/>
      <c r="J227" s="42"/>
      <c r="K227" s="42"/>
      <c r="L227" s="1633"/>
      <c r="M227" s="1672">
        <v>42121</v>
      </c>
      <c r="N227" s="1673"/>
    </row>
    <row r="228" spans="1:32" ht="11.45" customHeight="1">
      <c r="B228" s="47" t="s">
        <v>2083</v>
      </c>
      <c r="C228" s="53" t="s">
        <v>3116</v>
      </c>
      <c r="D228" s="53"/>
      <c r="E228" s="53"/>
      <c r="F228" s="53"/>
      <c r="G228" s="53"/>
      <c r="H228" s="53"/>
      <c r="I228" s="42"/>
      <c r="J228" s="42"/>
      <c r="K228" s="42"/>
      <c r="L228" s="152"/>
      <c r="M228" s="152"/>
      <c r="O228" s="177" t="s">
        <v>2083</v>
      </c>
      <c r="P228" s="1291" t="s">
        <v>3421</v>
      </c>
      <c r="Q228" s="631"/>
    </row>
    <row r="229" spans="1:32" ht="11.45" customHeight="1">
      <c r="B229" s="47" t="s">
        <v>788</v>
      </c>
      <c r="C229" s="53" t="s">
        <v>3117</v>
      </c>
      <c r="D229" s="53"/>
      <c r="E229" s="53"/>
      <c r="F229" s="53"/>
      <c r="G229" s="53"/>
      <c r="H229" s="53"/>
      <c r="I229" s="42"/>
      <c r="J229" s="42"/>
      <c r="K229" s="42"/>
      <c r="L229" s="152"/>
      <c r="M229" s="152"/>
      <c r="O229" s="177" t="s">
        <v>788</v>
      </c>
      <c r="P229" s="1293" t="s">
        <v>3421</v>
      </c>
      <c r="Q229" s="632"/>
    </row>
    <row r="230" spans="1:32" s="160" customFormat="1" ht="11.45" customHeight="1">
      <c r="B230" s="47" t="s">
        <v>2215</v>
      </c>
      <c r="C230" s="53" t="s">
        <v>4176</v>
      </c>
      <c r="D230" s="53"/>
      <c r="E230" s="53"/>
      <c r="F230" s="53"/>
      <c r="G230" s="53"/>
      <c r="H230" s="53"/>
      <c r="I230" s="100"/>
      <c r="J230" s="100"/>
      <c r="K230" s="100"/>
      <c r="L230" s="1286"/>
      <c r="M230" s="1286"/>
      <c r="N230" s="35"/>
      <c r="O230" s="531" t="s">
        <v>2215</v>
      </c>
      <c r="P230" s="1293" t="s">
        <v>3421</v>
      </c>
      <c r="Q230" s="632"/>
      <c r="AE230" s="1270"/>
      <c r="AF230" s="1270"/>
    </row>
    <row r="231" spans="1:32" s="160" customFormat="1" ht="11.45" customHeight="1">
      <c r="B231" s="47" t="s">
        <v>1822</v>
      </c>
      <c r="C231" s="53" t="s">
        <v>150</v>
      </c>
      <c r="D231" s="53"/>
      <c r="E231" s="53"/>
      <c r="F231" s="53"/>
      <c r="G231" s="53"/>
      <c r="H231" s="53"/>
      <c r="I231" s="100"/>
      <c r="J231" s="100"/>
      <c r="K231" s="100"/>
      <c r="L231" s="100"/>
      <c r="M231" s="100"/>
      <c r="O231" s="531" t="s">
        <v>1822</v>
      </c>
      <c r="P231" s="1292" t="s">
        <v>3424</v>
      </c>
      <c r="Q231" s="633"/>
      <c r="AE231" s="1270"/>
      <c r="AF231" s="1270"/>
    </row>
    <row r="232" spans="1:32" ht="11.25" customHeight="1">
      <c r="B232" s="153" t="s">
        <v>1958</v>
      </c>
      <c r="D232" s="153"/>
      <c r="E232" s="153"/>
      <c r="F232" s="153"/>
      <c r="G232" s="153"/>
      <c r="H232" s="40"/>
      <c r="I232" s="787"/>
      <c r="J232" s="787"/>
      <c r="K232" s="787"/>
      <c r="L232" s="1238"/>
      <c r="M232" s="1238"/>
      <c r="N232" s="1238"/>
      <c r="O232" s="1238"/>
      <c r="P232" s="1238"/>
      <c r="Q232" s="1274"/>
    </row>
    <row r="233" spans="1:32" ht="13.15" customHeight="1">
      <c r="A233" s="1598" t="s">
        <v>4518</v>
      </c>
      <c r="B233" s="1599"/>
      <c r="C233" s="1599"/>
      <c r="D233" s="1599"/>
      <c r="E233" s="1599"/>
      <c r="F233" s="1599"/>
      <c r="G233" s="1599"/>
      <c r="H233" s="1599"/>
      <c r="I233" s="1599"/>
      <c r="J233" s="1599"/>
      <c r="K233" s="1599"/>
      <c r="L233" s="1599"/>
      <c r="M233" s="1599"/>
      <c r="N233" s="1599"/>
      <c r="O233" s="1599"/>
      <c r="P233" s="1599"/>
      <c r="Q233" s="1600"/>
      <c r="R233" s="502" t="s">
        <v>1313</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1959</v>
      </c>
      <c r="C235" s="150"/>
      <c r="D235" s="1244"/>
      <c r="E235" s="1244"/>
      <c r="F235" s="1244"/>
      <c r="G235" s="1244"/>
      <c r="H235" s="1244"/>
      <c r="I235" s="1244"/>
      <c r="J235" s="1244"/>
      <c r="K235" s="1244"/>
      <c r="L235" s="1244"/>
      <c r="M235" s="1244"/>
      <c r="N235" s="1244"/>
      <c r="O235" s="1244"/>
      <c r="P235" s="1244"/>
      <c r="Q235" s="1244"/>
    </row>
    <row r="236" spans="1:32" ht="13.15" customHeight="1">
      <c r="A236" s="1644"/>
      <c r="B236" s="1645"/>
      <c r="C236" s="1645"/>
      <c r="D236" s="1645"/>
      <c r="E236" s="1645"/>
      <c r="F236" s="1645"/>
      <c r="G236" s="1645"/>
      <c r="H236" s="1645"/>
      <c r="I236" s="1645"/>
      <c r="J236" s="1645"/>
      <c r="K236" s="1645"/>
      <c r="L236" s="1645"/>
      <c r="M236" s="1645"/>
      <c r="N236" s="1645"/>
      <c r="O236" s="1645"/>
      <c r="P236" s="1645"/>
      <c r="Q236" s="1646"/>
    </row>
    <row r="237" spans="1:32" ht="3" customHeight="1">
      <c r="A237" s="1238"/>
      <c r="B237" s="787"/>
      <c r="C237" s="1244"/>
      <c r="D237" s="1244"/>
      <c r="E237" s="1244"/>
      <c r="F237" s="1244"/>
      <c r="G237" s="1244"/>
      <c r="H237" s="1244"/>
      <c r="I237" s="1244"/>
      <c r="J237" s="1244"/>
      <c r="K237" s="1244"/>
      <c r="L237" s="1244"/>
      <c r="M237" s="1244"/>
      <c r="Q237" s="1238"/>
    </row>
    <row r="238" spans="1:32" ht="13.9" customHeight="1">
      <c r="A238" s="1246">
        <v>14</v>
      </c>
      <c r="B238" s="1246" t="s">
        <v>2799</v>
      </c>
      <c r="C238" s="121"/>
      <c r="D238" s="1244"/>
      <c r="E238" s="1244"/>
      <c r="F238" s="1244"/>
      <c r="G238" s="1244"/>
      <c r="H238" s="1244"/>
      <c r="I238" s="1244"/>
      <c r="J238" s="1244"/>
      <c r="K238" s="1244"/>
      <c r="L238" s="1244"/>
      <c r="M238" s="1244"/>
      <c r="O238" s="143" t="s">
        <v>1960</v>
      </c>
      <c r="P238" s="1642"/>
      <c r="Q238" s="1674"/>
    </row>
    <row r="239" spans="1:32" s="28" customFormat="1" ht="11.45" customHeight="1">
      <c r="B239" s="157" t="s">
        <v>1247</v>
      </c>
      <c r="N239" s="130"/>
      <c r="P239" s="1287" t="s">
        <v>3424</v>
      </c>
      <c r="Q239" s="2611"/>
      <c r="AE239" s="125"/>
      <c r="AF239" s="125"/>
    </row>
    <row r="240" spans="1:32" ht="12" customHeight="1">
      <c r="B240" s="47" t="s">
        <v>2080</v>
      </c>
      <c r="C240" s="91" t="s">
        <v>1446</v>
      </c>
      <c r="D240" s="42"/>
      <c r="E240" s="42"/>
      <c r="F240" s="42"/>
      <c r="G240" s="42"/>
      <c r="H240" s="42"/>
      <c r="I240" s="42"/>
      <c r="J240" s="42"/>
      <c r="K240" s="42"/>
      <c r="L240" s="42"/>
      <c r="M240" s="42"/>
    </row>
    <row r="241" spans="1:32" ht="11.45" customHeight="1">
      <c r="B241" s="47"/>
      <c r="C241" s="69" t="s">
        <v>1824</v>
      </c>
      <c r="D241" s="53" t="s">
        <v>2027</v>
      </c>
      <c r="E241" s="53"/>
      <c r="F241" s="53"/>
      <c r="G241" s="53"/>
      <c r="H241" s="53"/>
      <c r="I241" s="42"/>
      <c r="K241" s="69" t="s">
        <v>1561</v>
      </c>
      <c r="L241" s="1595" t="s">
        <v>555</v>
      </c>
      <c r="M241" s="1597"/>
      <c r="Q241" s="631"/>
    </row>
    <row r="242" spans="1:32" ht="11.45" customHeight="1">
      <c r="B242" s="47"/>
      <c r="C242" s="69" t="s">
        <v>1825</v>
      </c>
      <c r="D242" s="1275" t="s">
        <v>2896</v>
      </c>
      <c r="E242" s="1275"/>
      <c r="F242" s="1275"/>
      <c r="G242" s="1275"/>
      <c r="H242" s="1275"/>
      <c r="I242" s="42"/>
      <c r="K242" s="69" t="s">
        <v>1562</v>
      </c>
      <c r="L242" s="1680" t="s">
        <v>4454</v>
      </c>
      <c r="M242" s="1681"/>
      <c r="N242" s="1682" t="s">
        <v>2897</v>
      </c>
      <c r="O242" s="1683"/>
      <c r="P242" s="1684"/>
      <c r="Q242" s="632"/>
    </row>
    <row r="243" spans="1:32" ht="11.45" customHeight="1">
      <c r="B243" s="47"/>
      <c r="C243" s="69" t="s">
        <v>1826</v>
      </c>
      <c r="D243" s="1275" t="s">
        <v>581</v>
      </c>
      <c r="E243" s="1275"/>
      <c r="F243" s="1275"/>
      <c r="G243" s="1275"/>
      <c r="H243" s="1275"/>
      <c r="I243" s="42"/>
      <c r="K243" s="69" t="s">
        <v>1563</v>
      </c>
      <c r="L243" s="1595" t="s">
        <v>4455</v>
      </c>
      <c r="M243" s="1596"/>
      <c r="N243" s="1669"/>
      <c r="Q243" s="633"/>
      <c r="R243" s="42"/>
    </row>
    <row r="244" spans="1:32" ht="3" customHeight="1">
      <c r="B244" s="47"/>
      <c r="C244" s="69"/>
      <c r="D244" s="53"/>
      <c r="E244" s="53"/>
      <c r="F244" s="53"/>
      <c r="G244" s="53"/>
      <c r="H244" s="53"/>
      <c r="I244" s="42"/>
      <c r="J244" s="32"/>
      <c r="K244" s="42"/>
      <c r="L244" s="32"/>
      <c r="M244" s="32"/>
    </row>
    <row r="245" spans="1:32" ht="12" customHeight="1">
      <c r="B245" s="47" t="s">
        <v>2083</v>
      </c>
      <c r="C245" s="237" t="s">
        <v>2634</v>
      </c>
      <c r="D245" s="53"/>
      <c r="E245" s="53"/>
      <c r="F245" s="53"/>
      <c r="G245" s="53"/>
      <c r="H245" s="53"/>
      <c r="I245" s="53"/>
      <c r="J245" s="53"/>
      <c r="K245" s="42"/>
      <c r="L245" s="42"/>
      <c r="M245" s="42"/>
      <c r="N245" s="42"/>
      <c r="O245" s="531" t="s">
        <v>2083</v>
      </c>
      <c r="P245" s="1287" t="s">
        <v>4442</v>
      </c>
      <c r="Q245" s="2611"/>
    </row>
    <row r="246" spans="1:32" ht="10.9" customHeight="1">
      <c r="B246" s="47"/>
      <c r="C246" s="53" t="s">
        <v>2633</v>
      </c>
      <c r="D246" s="53"/>
      <c r="E246" s="53"/>
      <c r="F246" s="53"/>
      <c r="G246" s="53"/>
      <c r="H246" s="53"/>
      <c r="I246" s="53"/>
      <c r="J246" s="53"/>
      <c r="K246" s="42"/>
      <c r="L246" s="42"/>
      <c r="M246" s="42"/>
      <c r="N246" s="42"/>
      <c r="O246" s="42"/>
      <c r="P246" s="1688" t="s">
        <v>3</v>
      </c>
      <c r="Q246" s="1688"/>
    </row>
    <row r="247" spans="1:32" ht="10.9" customHeight="1">
      <c r="B247" s="47"/>
      <c r="D247" s="53" t="s">
        <v>2</v>
      </c>
      <c r="E247" s="53"/>
      <c r="F247" s="53"/>
      <c r="G247" s="53"/>
      <c r="I247" s="329" t="s">
        <v>813</v>
      </c>
      <c r="J247" s="330" t="s">
        <v>814</v>
      </c>
      <c r="L247" s="53" t="s">
        <v>2898</v>
      </c>
      <c r="M247" s="42"/>
      <c r="N247" s="42"/>
      <c r="O247" s="329"/>
      <c r="P247" s="331" t="s">
        <v>813</v>
      </c>
      <c r="Q247" s="330" t="s">
        <v>814</v>
      </c>
    </row>
    <row r="248" spans="1:32" s="43" customFormat="1" ht="11.45" customHeight="1">
      <c r="A248" s="100"/>
      <c r="B248" s="52"/>
      <c r="C248" s="69" t="s">
        <v>1824</v>
      </c>
      <c r="D248" s="1630" t="s">
        <v>2205</v>
      </c>
      <c r="E248" s="1631"/>
      <c r="F248" s="1631"/>
      <c r="G248" s="1631"/>
      <c r="H248" s="1632"/>
      <c r="I248" s="2623"/>
      <c r="J248" s="2624"/>
      <c r="K248" s="69" t="s">
        <v>1826</v>
      </c>
      <c r="L248" s="1630"/>
      <c r="M248" s="1631"/>
      <c r="N248" s="1631"/>
      <c r="O248" s="1632"/>
      <c r="P248" s="631"/>
      <c r="Q248" s="2624"/>
      <c r="AE248" s="55"/>
      <c r="AF248" s="55"/>
    </row>
    <row r="249" spans="1:32" s="43" customFormat="1" ht="11.45" customHeight="1">
      <c r="A249" s="100"/>
      <c r="B249" s="52"/>
      <c r="C249" s="69" t="s">
        <v>1825</v>
      </c>
      <c r="D249" s="1625" t="s">
        <v>4519</v>
      </c>
      <c r="E249" s="1657"/>
      <c r="F249" s="1657"/>
      <c r="G249" s="1657"/>
      <c r="H249" s="1658"/>
      <c r="I249" s="2625"/>
      <c r="J249" s="2626"/>
      <c r="K249" s="69" t="s">
        <v>2476</v>
      </c>
      <c r="L249" s="1625"/>
      <c r="M249" s="1657"/>
      <c r="N249" s="1657"/>
      <c r="O249" s="1658"/>
      <c r="P249" s="633"/>
      <c r="Q249" s="2626"/>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788</v>
      </c>
      <c r="C251" s="237" t="s">
        <v>1447</v>
      </c>
      <c r="D251" s="53"/>
      <c r="E251" s="53"/>
      <c r="F251" s="53"/>
      <c r="G251" s="53"/>
      <c r="H251" s="53"/>
      <c r="I251" s="53"/>
      <c r="J251" s="53"/>
      <c r="K251" s="42"/>
      <c r="L251" s="53"/>
      <c r="M251" s="53"/>
      <c r="O251" s="531" t="s">
        <v>788</v>
      </c>
      <c r="P251" s="1291" t="s">
        <v>4442</v>
      </c>
      <c r="Q251" s="631"/>
    </row>
    <row r="252" spans="1:32" ht="11.45" customHeight="1">
      <c r="B252" s="47"/>
      <c r="C252" s="69" t="s">
        <v>1824</v>
      </c>
      <c r="D252" s="53" t="s">
        <v>4091</v>
      </c>
      <c r="E252" s="53"/>
      <c r="F252" s="53"/>
      <c r="G252" s="53"/>
      <c r="H252" s="53"/>
      <c r="I252" s="42"/>
      <c r="J252" s="32"/>
      <c r="K252" s="42"/>
      <c r="L252" s="32"/>
      <c r="M252" s="32"/>
      <c r="O252" s="69" t="s">
        <v>1824</v>
      </c>
      <c r="P252" s="1293" t="s">
        <v>3421</v>
      </c>
      <c r="Q252" s="632"/>
    </row>
    <row r="253" spans="1:32" ht="11.45" customHeight="1">
      <c r="C253" s="69" t="s">
        <v>1825</v>
      </c>
      <c r="D253" s="1275" t="s">
        <v>3118</v>
      </c>
      <c r="E253" s="1275"/>
      <c r="F253" s="1275"/>
      <c r="G253" s="1275"/>
      <c r="H253" s="1275"/>
      <c r="I253" s="42"/>
      <c r="J253" s="32"/>
      <c r="K253" s="42"/>
      <c r="L253" s="32"/>
      <c r="M253" s="32"/>
      <c r="O253" s="69" t="s">
        <v>1825</v>
      </c>
      <c r="P253" s="1293" t="s">
        <v>3421</v>
      </c>
      <c r="Q253" s="632"/>
    </row>
    <row r="254" spans="1:32" ht="11.45" customHeight="1">
      <c r="C254" s="69" t="s">
        <v>1826</v>
      </c>
      <c r="D254" s="1275" t="s">
        <v>3119</v>
      </c>
      <c r="E254" s="1275"/>
      <c r="F254" s="1275"/>
      <c r="G254" s="1275"/>
      <c r="H254" s="1275"/>
      <c r="I254" s="42"/>
      <c r="J254" s="32"/>
      <c r="K254" s="42"/>
      <c r="L254" s="32"/>
      <c r="M254" s="32"/>
      <c r="O254" s="69" t="s">
        <v>1826</v>
      </c>
      <c r="P254" s="1293" t="s">
        <v>3421</v>
      </c>
      <c r="Q254" s="632"/>
    </row>
    <row r="255" spans="1:32" ht="11.45" customHeight="1">
      <c r="B255" s="47"/>
      <c r="C255" s="69" t="s">
        <v>2476</v>
      </c>
      <c r="D255" s="1275" t="s">
        <v>3120</v>
      </c>
      <c r="E255" s="1275"/>
      <c r="F255" s="1275"/>
      <c r="G255" s="1275"/>
      <c r="H255" s="1275"/>
      <c r="I255" s="42"/>
      <c r="J255" s="32"/>
      <c r="K255" s="42"/>
      <c r="L255" s="32"/>
      <c r="M255" s="32"/>
      <c r="O255" s="69" t="s">
        <v>2476</v>
      </c>
      <c r="P255" s="1293" t="s">
        <v>3421</v>
      </c>
      <c r="Q255" s="632"/>
    </row>
    <row r="256" spans="1:32" ht="11.45" customHeight="1">
      <c r="B256" s="47"/>
      <c r="C256" s="69" t="s">
        <v>1625</v>
      </c>
      <c r="D256" s="1275" t="s">
        <v>3121</v>
      </c>
      <c r="E256" s="1275"/>
      <c r="F256" s="1275"/>
      <c r="G256" s="1275"/>
      <c r="H256" s="1275"/>
      <c r="I256" s="42"/>
      <c r="J256" s="32"/>
      <c r="K256" s="42"/>
      <c r="L256" s="32"/>
      <c r="M256" s="32"/>
      <c r="O256" s="69" t="s">
        <v>1625</v>
      </c>
      <c r="P256" s="1293" t="s">
        <v>3421</v>
      </c>
      <c r="Q256" s="632"/>
    </row>
    <row r="257" spans="1:31" ht="11.45" customHeight="1">
      <c r="B257" s="47"/>
      <c r="C257" s="531" t="s">
        <v>1626</v>
      </c>
      <c r="D257" s="53" t="s">
        <v>815</v>
      </c>
      <c r="E257" s="53"/>
      <c r="F257" s="53"/>
      <c r="G257" s="53"/>
      <c r="H257" s="53"/>
      <c r="I257" s="42"/>
      <c r="J257" s="32"/>
      <c r="K257" s="42"/>
      <c r="L257" s="32"/>
      <c r="M257" s="32"/>
      <c r="O257" s="531" t="s">
        <v>3106</v>
      </c>
      <c r="P257" s="1293" t="s">
        <v>3421</v>
      </c>
      <c r="Q257" s="632"/>
    </row>
    <row r="258" spans="1:31" ht="11.45" customHeight="1">
      <c r="B258" s="47"/>
      <c r="C258" s="69"/>
      <c r="D258" s="53" t="s">
        <v>1564</v>
      </c>
      <c r="E258" s="53"/>
      <c r="F258" s="53"/>
      <c r="G258" s="53"/>
      <c r="H258" s="53"/>
      <c r="I258" s="42"/>
      <c r="J258" s="32"/>
      <c r="K258" s="42"/>
      <c r="L258" s="32"/>
      <c r="M258" s="32"/>
      <c r="O258" s="531" t="s">
        <v>3107</v>
      </c>
      <c r="P258" s="1292" t="s">
        <v>3424</v>
      </c>
      <c r="Q258" s="633"/>
    </row>
    <row r="259" spans="1:31" ht="3" customHeight="1">
      <c r="B259" s="47"/>
      <c r="C259" s="69"/>
      <c r="D259" s="53"/>
      <c r="E259" s="53"/>
      <c r="F259" s="53"/>
      <c r="G259" s="53"/>
      <c r="H259" s="53"/>
      <c r="I259" s="42"/>
      <c r="J259" s="32"/>
      <c r="K259" s="42"/>
      <c r="L259" s="32"/>
      <c r="M259" s="32"/>
    </row>
    <row r="260" spans="1:31" ht="12" customHeight="1">
      <c r="B260" s="47" t="s">
        <v>2215</v>
      </c>
      <c r="C260" s="237" t="s">
        <v>2827</v>
      </c>
      <c r="D260" s="53"/>
      <c r="E260" s="53"/>
      <c r="F260" s="53"/>
      <c r="G260" s="53"/>
      <c r="H260" s="53"/>
      <c r="I260" s="53"/>
      <c r="J260" s="53"/>
      <c r="K260" s="42"/>
      <c r="L260" s="53"/>
      <c r="M260" s="53"/>
      <c r="O260" s="531" t="s">
        <v>2215</v>
      </c>
      <c r="P260" s="1291"/>
      <c r="Q260" s="631"/>
    </row>
    <row r="261" spans="1:31" ht="11.45" customHeight="1">
      <c r="B261" s="47"/>
      <c r="C261" s="69" t="s">
        <v>1824</v>
      </c>
      <c r="D261" s="39" t="s">
        <v>1314</v>
      </c>
      <c r="E261" s="42"/>
      <c r="F261" s="42"/>
      <c r="G261" s="39"/>
      <c r="H261" s="1275"/>
      <c r="I261" s="42"/>
      <c r="J261" s="1275"/>
      <c r="K261" s="42"/>
      <c r="L261" s="1275"/>
      <c r="M261" s="1275"/>
      <c r="O261" s="69" t="s">
        <v>1824</v>
      </c>
      <c r="P261" s="1293"/>
      <c r="Q261" s="632"/>
    </row>
    <row r="262" spans="1:31" ht="11.45" customHeight="1">
      <c r="B262" s="47"/>
      <c r="C262" s="69" t="s">
        <v>1825</v>
      </c>
      <c r="D262" s="39" t="s">
        <v>151</v>
      </c>
      <c r="E262" s="42"/>
      <c r="F262" s="42"/>
      <c r="G262" s="1275"/>
      <c r="H262" s="1275"/>
      <c r="I262" s="42"/>
      <c r="J262" s="1275"/>
      <c r="K262" s="42"/>
      <c r="L262" s="1275"/>
      <c r="M262" s="1275"/>
      <c r="O262" s="69" t="s">
        <v>1825</v>
      </c>
      <c r="P262" s="1293"/>
      <c r="Q262" s="632"/>
    </row>
    <row r="263" spans="1:31" ht="11.45" customHeight="1">
      <c r="B263" s="47"/>
      <c r="C263" s="69" t="s">
        <v>1826</v>
      </c>
      <c r="D263" s="1275" t="s">
        <v>1719</v>
      </c>
      <c r="E263" s="42"/>
      <c r="F263" s="42"/>
      <c r="G263" s="1275"/>
      <c r="H263" s="1275"/>
      <c r="I263" s="42"/>
      <c r="J263" s="1275"/>
      <c r="K263" s="42"/>
      <c r="L263" s="1275"/>
      <c r="M263" s="1275"/>
      <c r="O263" s="69" t="s">
        <v>2482</v>
      </c>
      <c r="P263" s="1293"/>
      <c r="Q263" s="632"/>
    </row>
    <row r="264" spans="1:31" ht="11.45" customHeight="1">
      <c r="B264" s="36"/>
      <c r="C264" s="42"/>
      <c r="D264" s="1275" t="s">
        <v>1349</v>
      </c>
      <c r="E264" s="42"/>
      <c r="F264" s="42"/>
      <c r="G264" s="1275"/>
      <c r="H264" s="1275"/>
      <c r="I264" s="42"/>
      <c r="J264" s="1275"/>
      <c r="K264" s="42"/>
      <c r="L264" s="1275"/>
      <c r="M264" s="1275"/>
      <c r="O264" s="69" t="s">
        <v>2483</v>
      </c>
      <c r="P264" s="1292"/>
      <c r="Q264" s="633"/>
    </row>
    <row r="265" spans="1:31" ht="11.25" customHeight="1">
      <c r="B265" s="153" t="s">
        <v>1958</v>
      </c>
      <c r="D265" s="153"/>
      <c r="E265" s="153"/>
      <c r="F265" s="153"/>
      <c r="G265" s="153"/>
      <c r="H265" s="40"/>
      <c r="I265" s="787"/>
      <c r="J265" s="787"/>
      <c r="K265" s="787"/>
      <c r="L265" s="1238"/>
      <c r="M265" s="1238"/>
      <c r="N265" s="1238"/>
      <c r="O265" s="1238"/>
      <c r="P265" s="1238"/>
      <c r="Q265" s="1274"/>
    </row>
    <row r="266" spans="1:31" ht="11.45" customHeight="1">
      <c r="A266" s="1598" t="s">
        <v>4456</v>
      </c>
      <c r="B266" s="1599"/>
      <c r="C266" s="1599"/>
      <c r="D266" s="1599"/>
      <c r="E266" s="1599"/>
      <c r="F266" s="1599"/>
      <c r="G266" s="1599"/>
      <c r="H266" s="1599"/>
      <c r="I266" s="1599"/>
      <c r="J266" s="1599"/>
      <c r="K266" s="1599"/>
      <c r="L266" s="1599"/>
      <c r="M266" s="1599"/>
      <c r="N266" s="1599"/>
      <c r="O266" s="1599"/>
      <c r="P266" s="1599"/>
      <c r="Q266" s="1600"/>
      <c r="R266" s="501" t="s">
        <v>1313</v>
      </c>
      <c r="S266" s="502"/>
      <c r="U266" s="148"/>
      <c r="V266" s="148"/>
      <c r="W266" s="148"/>
      <c r="X266" s="148"/>
      <c r="Y266" s="148"/>
      <c r="Z266" s="148"/>
      <c r="AA266" s="148"/>
      <c r="AB266" s="148"/>
      <c r="AC266" s="148"/>
      <c r="AD266" s="148"/>
      <c r="AE266" s="533"/>
    </row>
    <row r="267" spans="1:31" ht="11.25" customHeight="1">
      <c r="B267" s="149" t="s">
        <v>1959</v>
      </c>
      <c r="C267" s="150"/>
      <c r="D267" s="1244"/>
      <c r="E267" s="1244"/>
      <c r="F267" s="1244"/>
      <c r="G267" s="1244"/>
      <c r="H267" s="1244"/>
      <c r="I267" s="1244"/>
      <c r="J267" s="1244"/>
      <c r="K267" s="1244"/>
      <c r="L267" s="1244"/>
      <c r="M267" s="1244"/>
      <c r="N267" s="1244"/>
      <c r="O267" s="1244"/>
      <c r="P267" s="1244"/>
      <c r="Q267" s="1244"/>
    </row>
    <row r="268" spans="1:31" ht="13.15" customHeight="1">
      <c r="A268" s="1644"/>
      <c r="B268" s="1645"/>
      <c r="C268" s="1645"/>
      <c r="D268" s="1645"/>
      <c r="E268" s="1645"/>
      <c r="F268" s="1645"/>
      <c r="G268" s="1645"/>
      <c r="H268" s="1645"/>
      <c r="I268" s="1645"/>
      <c r="J268" s="1645"/>
      <c r="K268" s="1645"/>
      <c r="L268" s="1645"/>
      <c r="M268" s="1645"/>
      <c r="N268" s="1645"/>
      <c r="O268" s="1645"/>
      <c r="P268" s="1645"/>
      <c r="Q268" s="1646"/>
    </row>
    <row r="269" spans="1:31" ht="3" customHeight="1">
      <c r="A269" s="1238"/>
      <c r="B269" s="787"/>
      <c r="C269" s="1244"/>
      <c r="D269" s="1244"/>
      <c r="E269" s="1244"/>
      <c r="F269" s="1244"/>
      <c r="G269" s="1244"/>
      <c r="H269" s="1244"/>
      <c r="I269" s="1244"/>
      <c r="J269" s="1244"/>
      <c r="K269" s="1244"/>
      <c r="L269" s="1244"/>
      <c r="M269" s="1244"/>
      <c r="Q269" s="1238"/>
    </row>
    <row r="270" spans="1:31" ht="13.9" customHeight="1">
      <c r="A270" s="1246">
        <v>15</v>
      </c>
      <c r="B270" s="4" t="s">
        <v>2800</v>
      </c>
      <c r="C270" s="4"/>
      <c r="D270" s="91"/>
      <c r="E270" s="91"/>
      <c r="F270" s="91"/>
      <c r="G270" s="91"/>
      <c r="H270" s="1244"/>
      <c r="I270" s="1244"/>
      <c r="J270" s="1244"/>
      <c r="K270" s="1244"/>
      <c r="L270" s="1244"/>
      <c r="M270" s="1244"/>
      <c r="O270" s="143" t="s">
        <v>1960</v>
      </c>
      <c r="P270" s="1642"/>
      <c r="Q270" s="1674"/>
    </row>
    <row r="271" spans="1:31" ht="4.9000000000000004" customHeight="1"/>
    <row r="272" spans="1:31" ht="11.45" customHeight="1">
      <c r="B272" s="47" t="s">
        <v>2080</v>
      </c>
      <c r="C272" s="53" t="s">
        <v>1327</v>
      </c>
      <c r="D272" s="42"/>
      <c r="E272" s="53"/>
      <c r="F272" s="53"/>
      <c r="G272" s="53"/>
      <c r="H272" s="53"/>
      <c r="I272" s="42"/>
      <c r="J272" s="42"/>
      <c r="K272" s="42"/>
      <c r="L272" s="531" t="s">
        <v>2080</v>
      </c>
      <c r="M272" s="1662" t="s">
        <v>4457</v>
      </c>
      <c r="N272" s="1663"/>
      <c r="O272" s="1664"/>
      <c r="P272" s="1692" t="s">
        <v>1858</v>
      </c>
      <c r="Q272" s="1693"/>
    </row>
    <row r="273" spans="1:32" ht="11.45" customHeight="1">
      <c r="B273" s="47" t="s">
        <v>2083</v>
      </c>
      <c r="C273" s="53" t="s">
        <v>3122</v>
      </c>
      <c r="D273" s="53"/>
      <c r="E273" s="53"/>
      <c r="F273" s="53"/>
      <c r="G273" s="53"/>
      <c r="H273" s="53"/>
      <c r="I273" s="42"/>
      <c r="J273" s="42"/>
      <c r="K273" s="42"/>
      <c r="L273" s="531" t="s">
        <v>2083</v>
      </c>
      <c r="M273" s="1677">
        <v>42165</v>
      </c>
      <c r="N273" s="1678"/>
      <c r="O273" s="1679"/>
      <c r="P273" s="1670"/>
      <c r="Q273" s="1671"/>
    </row>
    <row r="274" spans="1:32" s="160" customFormat="1" ht="11.45" customHeight="1">
      <c r="B274" s="47" t="s">
        <v>788</v>
      </c>
      <c r="C274" s="53" t="s">
        <v>2041</v>
      </c>
      <c r="D274" s="53"/>
      <c r="E274" s="53"/>
      <c r="F274" s="53"/>
      <c r="G274" s="53"/>
      <c r="H274" s="53"/>
      <c r="I274" s="100"/>
      <c r="J274" s="100"/>
      <c r="K274" s="100"/>
      <c r="L274" s="531" t="s">
        <v>788</v>
      </c>
      <c r="M274" s="1665" t="s">
        <v>4520</v>
      </c>
      <c r="N274" s="1666"/>
      <c r="O274" s="1667"/>
      <c r="P274" s="1690"/>
      <c r="Q274" s="1691"/>
      <c r="AE274" s="1270"/>
      <c r="AF274" s="1270"/>
    </row>
    <row r="275" spans="1:32" s="160" customFormat="1" ht="11.45" customHeight="1">
      <c r="B275" s="47" t="s">
        <v>2215</v>
      </c>
      <c r="C275" s="53" t="s">
        <v>2670</v>
      </c>
      <c r="D275" s="53"/>
      <c r="E275" s="53"/>
      <c r="F275" s="53"/>
      <c r="G275" s="53"/>
      <c r="H275" s="53"/>
      <c r="I275" s="100"/>
      <c r="J275" s="100"/>
      <c r="K275" s="100"/>
      <c r="L275" s="100"/>
      <c r="M275" s="100"/>
      <c r="O275" s="531" t="s">
        <v>2215</v>
      </c>
      <c r="P275" s="1291" t="s">
        <v>3421</v>
      </c>
      <c r="Q275" s="631"/>
      <c r="AE275" s="1270"/>
      <c r="AF275" s="1270"/>
    </row>
    <row r="276" spans="1:32" s="160" customFormat="1" ht="22.15" customHeight="1">
      <c r="B276" s="154" t="s">
        <v>1822</v>
      </c>
      <c r="C276" s="1618" t="s">
        <v>2929</v>
      </c>
      <c r="D276" s="1618"/>
      <c r="E276" s="1618"/>
      <c r="F276" s="1618"/>
      <c r="G276" s="1618"/>
      <c r="H276" s="1618"/>
      <c r="I276" s="1618"/>
      <c r="J276" s="1618"/>
      <c r="K276" s="1618"/>
      <c r="L276" s="1618"/>
      <c r="M276" s="1618"/>
      <c r="N276" s="1618"/>
      <c r="O276" s="177" t="s">
        <v>1822</v>
      </c>
      <c r="P276" s="1292" t="s">
        <v>4442</v>
      </c>
      <c r="Q276" s="633"/>
      <c r="T276" s="1270"/>
      <c r="AE276" s="1270"/>
      <c r="AF276" s="1270"/>
    </row>
    <row r="277" spans="1:32" ht="11.25" customHeight="1">
      <c r="B277" s="153" t="s">
        <v>1958</v>
      </c>
      <c r="D277" s="153"/>
      <c r="E277" s="153"/>
      <c r="F277" s="153"/>
      <c r="G277" s="153"/>
      <c r="H277" s="40"/>
      <c r="I277" s="787"/>
      <c r="J277" s="787"/>
      <c r="K277" s="787"/>
      <c r="L277" s="1238"/>
      <c r="M277" s="1238"/>
      <c r="N277" s="1238"/>
      <c r="O277" s="1238"/>
      <c r="P277" s="1238"/>
      <c r="Q277" s="1274"/>
    </row>
    <row r="278" spans="1:32" ht="13.15" customHeight="1">
      <c r="A278" s="1598" t="s">
        <v>4458</v>
      </c>
      <c r="B278" s="1599"/>
      <c r="C278" s="1599"/>
      <c r="D278" s="1599"/>
      <c r="E278" s="1599"/>
      <c r="F278" s="1599"/>
      <c r="G278" s="1599"/>
      <c r="H278" s="1599"/>
      <c r="I278" s="1599"/>
      <c r="J278" s="1599"/>
      <c r="K278" s="1599"/>
      <c r="L278" s="1599"/>
      <c r="M278" s="1599"/>
      <c r="N278" s="1599"/>
      <c r="O278" s="1599"/>
      <c r="P278" s="1599"/>
      <c r="Q278" s="1600"/>
      <c r="R278" s="501" t="s">
        <v>1313</v>
      </c>
      <c r="S278" s="502"/>
      <c r="U278" s="148"/>
      <c r="V278" s="148"/>
      <c r="W278" s="148"/>
      <c r="X278" s="148"/>
      <c r="Y278" s="148"/>
      <c r="Z278" s="148"/>
      <c r="AA278" s="148"/>
      <c r="AB278" s="148"/>
      <c r="AC278" s="148"/>
      <c r="AD278" s="148"/>
      <c r="AE278" s="533"/>
    </row>
    <row r="279" spans="1:32" ht="10.9" customHeight="1">
      <c r="B279" s="149" t="s">
        <v>1959</v>
      </c>
      <c r="C279" s="150"/>
      <c r="D279" s="1244"/>
      <c r="E279" s="1244"/>
      <c r="F279" s="1244"/>
      <c r="G279" s="1244"/>
      <c r="H279" s="1244"/>
      <c r="I279" s="1244"/>
      <c r="J279" s="1244"/>
      <c r="K279" s="1244"/>
      <c r="L279" s="1244"/>
      <c r="M279" s="1244"/>
      <c r="N279" s="1244"/>
      <c r="O279" s="1244"/>
      <c r="P279" s="1244"/>
      <c r="Q279" s="1244"/>
    </row>
    <row r="280" spans="1:32" ht="13.15" customHeight="1">
      <c r="A280" s="1644"/>
      <c r="B280" s="1645"/>
      <c r="C280" s="1645"/>
      <c r="D280" s="1645"/>
      <c r="E280" s="1645"/>
      <c r="F280" s="1645"/>
      <c r="G280" s="1645"/>
      <c r="H280" s="1645"/>
      <c r="I280" s="1645"/>
      <c r="J280" s="1645"/>
      <c r="K280" s="1645"/>
      <c r="L280" s="1645"/>
      <c r="M280" s="1645"/>
      <c r="N280" s="1645"/>
      <c r="O280" s="1645"/>
      <c r="P280" s="1645"/>
      <c r="Q280" s="1646"/>
    </row>
    <row r="281" spans="1:32" ht="3" customHeight="1">
      <c r="A281" s="1238"/>
      <c r="B281" s="787"/>
      <c r="C281" s="1244"/>
      <c r="D281" s="1244"/>
      <c r="E281" s="1244"/>
      <c r="F281" s="1244"/>
      <c r="G281" s="1244"/>
      <c r="H281" s="1244"/>
      <c r="I281" s="1244"/>
      <c r="J281" s="1244"/>
      <c r="K281" s="1244"/>
      <c r="L281" s="1244"/>
      <c r="M281" s="1244"/>
      <c r="Q281" s="1238"/>
    </row>
    <row r="282" spans="1:32" ht="13.9" customHeight="1">
      <c r="A282" s="1246">
        <v>16</v>
      </c>
      <c r="B282" s="4" t="s">
        <v>2801</v>
      </c>
      <c r="C282" s="4"/>
      <c r="D282" s="91"/>
      <c r="E282" s="91"/>
      <c r="F282" s="91"/>
      <c r="G282" s="91"/>
      <c r="H282" s="1244"/>
      <c r="I282" s="1244"/>
      <c r="J282" s="1244"/>
      <c r="K282" s="1244"/>
      <c r="L282" s="1244"/>
      <c r="M282" s="1244"/>
      <c r="O282" s="143" t="s">
        <v>1960</v>
      </c>
      <c r="P282" s="1642"/>
      <c r="Q282" s="1674"/>
    </row>
    <row r="283" spans="1:32" ht="3" customHeight="1"/>
    <row r="284" spans="1:32" s="465" customFormat="1" ht="23.25" customHeight="1">
      <c r="B284" s="154" t="s">
        <v>2080</v>
      </c>
      <c r="C284" s="1618" t="s">
        <v>3123</v>
      </c>
      <c r="D284" s="1618"/>
      <c r="E284" s="1618"/>
      <c r="F284" s="1618"/>
      <c r="G284" s="1618"/>
      <c r="H284" s="1618"/>
      <c r="I284" s="1618"/>
      <c r="J284" s="1618"/>
      <c r="K284" s="1618"/>
      <c r="L284" s="1618"/>
      <c r="M284" s="1618"/>
      <c r="N284" s="1618"/>
      <c r="O284" s="177" t="s">
        <v>2080</v>
      </c>
      <c r="P284" s="1296" t="s">
        <v>3421</v>
      </c>
      <c r="Q284" s="2627"/>
      <c r="AE284" s="1285"/>
      <c r="AF284" s="1285"/>
    </row>
    <row r="285" spans="1:32" s="160" customFormat="1" ht="11.45" customHeight="1">
      <c r="B285" s="47" t="s">
        <v>2083</v>
      </c>
      <c r="C285" s="53" t="s">
        <v>1473</v>
      </c>
      <c r="D285" s="53"/>
      <c r="E285" s="53"/>
      <c r="F285" s="53"/>
      <c r="G285" s="53"/>
      <c r="H285" s="53"/>
      <c r="I285" s="53"/>
      <c r="J285" s="53"/>
      <c r="K285" s="53"/>
      <c r="L285" s="53"/>
      <c r="M285" s="53"/>
      <c r="O285" s="531" t="s">
        <v>2083</v>
      </c>
      <c r="P285" s="1292" t="s">
        <v>3421</v>
      </c>
      <c r="Q285" s="633"/>
      <c r="AE285" s="1270"/>
      <c r="AF285" s="1270"/>
    </row>
    <row r="286" spans="1:32" ht="11.25" customHeight="1">
      <c r="B286" s="153" t="s">
        <v>1958</v>
      </c>
      <c r="D286" s="153"/>
      <c r="E286" s="153"/>
      <c r="F286" s="153"/>
      <c r="G286" s="153"/>
      <c r="H286" s="40"/>
      <c r="I286" s="787"/>
      <c r="J286" s="787"/>
      <c r="K286" s="787"/>
      <c r="L286" s="1238"/>
      <c r="M286" s="1238"/>
      <c r="N286" s="1238"/>
      <c r="O286" s="1238"/>
      <c r="P286" s="1238"/>
      <c r="Q286" s="1274"/>
    </row>
    <row r="287" spans="1:32" ht="13.15" customHeight="1">
      <c r="A287" s="1598" t="s">
        <v>4459</v>
      </c>
      <c r="B287" s="1599"/>
      <c r="C287" s="1599"/>
      <c r="D287" s="1599"/>
      <c r="E287" s="1599"/>
      <c r="F287" s="1599"/>
      <c r="G287" s="1599"/>
      <c r="H287" s="1599"/>
      <c r="I287" s="1599"/>
      <c r="J287" s="1599"/>
      <c r="K287" s="1599"/>
      <c r="L287" s="1599"/>
      <c r="M287" s="1599"/>
      <c r="N287" s="1599"/>
      <c r="O287" s="1599"/>
      <c r="P287" s="1599"/>
      <c r="Q287" s="1600"/>
      <c r="R287" s="501" t="s">
        <v>1313</v>
      </c>
      <c r="S287" s="502"/>
      <c r="U287" s="148"/>
      <c r="V287" s="148"/>
      <c r="W287" s="148"/>
      <c r="X287" s="148"/>
      <c r="Y287" s="148"/>
      <c r="Z287" s="148"/>
      <c r="AA287" s="148"/>
      <c r="AB287" s="148"/>
      <c r="AC287" s="148"/>
      <c r="AD287" s="148"/>
      <c r="AE287" s="533"/>
    </row>
    <row r="288" spans="1:32" ht="11.25" customHeight="1">
      <c r="B288" s="149" t="s">
        <v>1959</v>
      </c>
      <c r="C288" s="150"/>
      <c r="D288" s="1244"/>
      <c r="E288" s="1244"/>
      <c r="F288" s="1244"/>
      <c r="G288" s="1244"/>
      <c r="H288" s="1244"/>
      <c r="I288" s="1244"/>
      <c r="J288" s="1244"/>
      <c r="K288" s="1244"/>
      <c r="L288" s="1244"/>
      <c r="M288" s="1244"/>
      <c r="N288" s="1244"/>
      <c r="O288" s="1244"/>
      <c r="P288" s="1244"/>
      <c r="Q288" s="1244"/>
    </row>
    <row r="289" spans="1:32" ht="13.15" customHeight="1">
      <c r="A289" s="1644"/>
      <c r="B289" s="1645"/>
      <c r="C289" s="1645"/>
      <c r="D289" s="1645"/>
      <c r="E289" s="1645"/>
      <c r="F289" s="1645"/>
      <c r="G289" s="1645"/>
      <c r="H289" s="1645"/>
      <c r="I289" s="1645"/>
      <c r="J289" s="1645"/>
      <c r="K289" s="1645"/>
      <c r="L289" s="1645"/>
      <c r="M289" s="1645"/>
      <c r="N289" s="1645"/>
      <c r="O289" s="1645"/>
      <c r="P289" s="1645"/>
      <c r="Q289" s="1646"/>
    </row>
    <row r="290" spans="1:32" ht="3" customHeight="1">
      <c r="A290" s="1238"/>
      <c r="B290" s="787"/>
      <c r="C290" s="1244"/>
      <c r="D290" s="1244"/>
      <c r="E290" s="1244"/>
      <c r="F290" s="1244"/>
      <c r="G290" s="1244"/>
      <c r="H290" s="1244"/>
      <c r="I290" s="1244"/>
      <c r="J290" s="1244"/>
      <c r="K290" s="1244"/>
      <c r="L290" s="1244"/>
      <c r="M290" s="1244"/>
      <c r="N290" s="1244"/>
      <c r="O290" s="1244"/>
      <c r="P290" s="143"/>
      <c r="Q290" s="1274"/>
    </row>
    <row r="291" spans="1:32" ht="13.9" customHeight="1">
      <c r="A291" s="1246">
        <v>17</v>
      </c>
      <c r="B291" s="1246" t="s">
        <v>2802</v>
      </c>
      <c r="C291" s="1246"/>
      <c r="D291" s="1244"/>
      <c r="E291" s="1244"/>
      <c r="F291" s="1244"/>
      <c r="G291" s="1244"/>
      <c r="H291" s="1244"/>
      <c r="I291" s="1244"/>
      <c r="J291" s="1244"/>
      <c r="K291" s="1244"/>
      <c r="L291" s="1244"/>
      <c r="M291" s="1244"/>
      <c r="O291" s="143" t="s">
        <v>1960</v>
      </c>
      <c r="P291" s="1642"/>
      <c r="Q291" s="1674"/>
    </row>
    <row r="292" spans="1:32" ht="3" customHeight="1"/>
    <row r="293" spans="1:32" s="465" customFormat="1" ht="24" customHeight="1">
      <c r="B293" s="154" t="s">
        <v>2080</v>
      </c>
      <c r="C293" s="1652" t="s">
        <v>3124</v>
      </c>
      <c r="D293" s="1466"/>
      <c r="E293" s="1466"/>
      <c r="F293" s="1466"/>
      <c r="G293" s="1466"/>
      <c r="H293" s="1466"/>
      <c r="I293" s="1466"/>
      <c r="J293" s="1466"/>
      <c r="K293" s="1466"/>
      <c r="L293" s="1466"/>
      <c r="M293" s="1466"/>
      <c r="N293" s="1466"/>
      <c r="O293" s="177" t="s">
        <v>2080</v>
      </c>
      <c r="P293" s="1291" t="s">
        <v>4442</v>
      </c>
      <c r="Q293" s="631"/>
      <c r="AE293" s="1285"/>
      <c r="AF293" s="1285"/>
    </row>
    <row r="294" spans="1:32" s="465" customFormat="1" ht="24" customHeight="1">
      <c r="B294" s="154" t="s">
        <v>2083</v>
      </c>
      <c r="C294" s="1652" t="s">
        <v>3125</v>
      </c>
      <c r="D294" s="1466"/>
      <c r="E294" s="1466"/>
      <c r="F294" s="1466"/>
      <c r="G294" s="1466"/>
      <c r="H294" s="1466"/>
      <c r="I294" s="1466"/>
      <c r="J294" s="1466"/>
      <c r="K294" s="1466"/>
      <c r="L294" s="1466"/>
      <c r="M294" s="1466"/>
      <c r="N294" s="1466"/>
      <c r="O294" s="177" t="s">
        <v>2083</v>
      </c>
      <c r="P294" s="1292" t="s">
        <v>4442</v>
      </c>
      <c r="Q294" s="633"/>
      <c r="AE294" s="1285"/>
      <c r="AF294" s="1285"/>
    </row>
    <row r="295" spans="1:32" ht="11.25" customHeight="1">
      <c r="B295" s="153" t="s">
        <v>1958</v>
      </c>
      <c r="D295" s="153"/>
      <c r="E295" s="153"/>
      <c r="F295" s="153"/>
      <c r="G295" s="153"/>
      <c r="H295" s="40"/>
      <c r="I295" s="787"/>
      <c r="J295" s="787"/>
      <c r="K295" s="787"/>
      <c r="L295" s="1238"/>
      <c r="M295" s="1238"/>
      <c r="N295" s="1238"/>
      <c r="O295" s="1238"/>
      <c r="P295" s="1238"/>
      <c r="Q295" s="1274"/>
    </row>
    <row r="296" spans="1:32" ht="13.15" customHeight="1">
      <c r="A296" s="1598" t="s">
        <v>4460</v>
      </c>
      <c r="B296" s="1599"/>
      <c r="C296" s="1599"/>
      <c r="D296" s="1599"/>
      <c r="E296" s="1599"/>
      <c r="F296" s="1599"/>
      <c r="G296" s="1599"/>
      <c r="H296" s="1599"/>
      <c r="I296" s="1599"/>
      <c r="J296" s="1599"/>
      <c r="K296" s="1599"/>
      <c r="L296" s="1599"/>
      <c r="M296" s="1599"/>
      <c r="N296" s="1599"/>
      <c r="O296" s="1599"/>
      <c r="P296" s="1599"/>
      <c r="Q296" s="1600"/>
      <c r="R296" s="501" t="s">
        <v>1313</v>
      </c>
      <c r="S296" s="502"/>
      <c r="U296" s="148"/>
      <c r="V296" s="148"/>
      <c r="W296" s="148"/>
      <c r="X296" s="148"/>
      <c r="Y296" s="148"/>
      <c r="Z296" s="148"/>
      <c r="AA296" s="148"/>
      <c r="AB296" s="148"/>
      <c r="AC296" s="148"/>
      <c r="AD296" s="148"/>
      <c r="AE296" s="533"/>
    </row>
    <row r="297" spans="1:32" ht="11.25" customHeight="1">
      <c r="B297" s="149" t="s">
        <v>1959</v>
      </c>
      <c r="C297" s="150"/>
      <c r="D297" s="1244"/>
      <c r="E297" s="1244"/>
      <c r="F297" s="1244"/>
      <c r="G297" s="1244"/>
      <c r="H297" s="1244"/>
      <c r="I297" s="1244"/>
      <c r="J297" s="1244"/>
      <c r="K297" s="1244"/>
      <c r="L297" s="1244"/>
      <c r="M297" s="1244"/>
      <c r="N297" s="1244"/>
      <c r="O297" s="1244"/>
      <c r="P297" s="1244"/>
      <c r="Q297" s="1244"/>
    </row>
    <row r="298" spans="1:32" ht="13.15" customHeight="1">
      <c r="A298" s="1644"/>
      <c r="B298" s="1645"/>
      <c r="C298" s="1645"/>
      <c r="D298" s="1645"/>
      <c r="E298" s="1645"/>
      <c r="F298" s="1645"/>
      <c r="G298" s="1645"/>
      <c r="H298" s="1645"/>
      <c r="I298" s="1645"/>
      <c r="J298" s="1645"/>
      <c r="K298" s="1645"/>
      <c r="L298" s="1645"/>
      <c r="M298" s="1645"/>
      <c r="N298" s="1645"/>
      <c r="O298" s="1645"/>
      <c r="P298" s="1645"/>
      <c r="Q298" s="1646"/>
    </row>
    <row r="299" spans="1:32" ht="5.45" customHeight="1">
      <c r="A299" s="1238"/>
      <c r="B299" s="787"/>
      <c r="C299" s="1244"/>
      <c r="D299" s="1244"/>
      <c r="E299" s="1244"/>
      <c r="F299" s="1244"/>
      <c r="G299" s="1244"/>
      <c r="H299" s="1244"/>
      <c r="I299" s="1244"/>
      <c r="J299" s="1244"/>
      <c r="K299" s="1244"/>
      <c r="L299" s="1244"/>
      <c r="M299" s="1244"/>
      <c r="Q299" s="1238"/>
    </row>
    <row r="300" spans="1:32" ht="13.9" customHeight="1">
      <c r="A300" s="1246">
        <v>18</v>
      </c>
      <c r="B300" s="1246" t="s">
        <v>2803</v>
      </c>
      <c r="C300" s="161"/>
      <c r="D300" s="1248"/>
      <c r="E300" s="1244"/>
      <c r="F300" s="1244"/>
      <c r="G300" s="1244"/>
      <c r="H300" s="1244"/>
      <c r="I300" s="1244"/>
      <c r="J300" s="1244"/>
      <c r="K300" s="1244"/>
      <c r="L300" s="1244"/>
      <c r="M300" s="1244"/>
      <c r="O300" s="143" t="s">
        <v>1960</v>
      </c>
      <c r="P300" s="1642"/>
      <c r="Q300" s="1674"/>
    </row>
    <row r="301" spans="1:32" s="160" customFormat="1" ht="46.5" customHeight="1">
      <c r="B301" s="154" t="s">
        <v>2080</v>
      </c>
      <c r="C301" s="162" t="s">
        <v>1824</v>
      </c>
      <c r="D301" s="1652" t="s">
        <v>4177</v>
      </c>
      <c r="E301" s="1652"/>
      <c r="F301" s="1652"/>
      <c r="G301" s="1652"/>
      <c r="H301" s="1652"/>
      <c r="I301" s="1652"/>
      <c r="J301" s="1652"/>
      <c r="K301" s="1652"/>
      <c r="L301" s="1652"/>
      <c r="M301" s="1652"/>
      <c r="N301" s="1652"/>
      <c r="O301" s="177" t="s">
        <v>2901</v>
      </c>
      <c r="P301" s="1296" t="s">
        <v>3421</v>
      </c>
      <c r="Q301" s="631"/>
      <c r="AE301" s="1270"/>
      <c r="AF301" s="1270"/>
    </row>
    <row r="302" spans="1:32" s="465" customFormat="1" ht="21.75" customHeight="1">
      <c r="B302" s="154"/>
      <c r="C302" s="162" t="s">
        <v>1825</v>
      </c>
      <c r="D302" s="1652" t="s">
        <v>4079</v>
      </c>
      <c r="E302" s="1652"/>
      <c r="F302" s="1652"/>
      <c r="G302" s="1652"/>
      <c r="H302" s="1652"/>
      <c r="I302" s="1652"/>
      <c r="J302" s="1652"/>
      <c r="K302" s="1652"/>
      <c r="L302" s="1652"/>
      <c r="M302" s="1652"/>
      <c r="N302" s="1652"/>
      <c r="O302" s="162" t="s">
        <v>1825</v>
      </c>
      <c r="P302" s="1294" t="s">
        <v>3424</v>
      </c>
      <c r="Q302" s="634"/>
      <c r="AE302" s="1285"/>
      <c r="AF302" s="1285"/>
    </row>
    <row r="303" spans="1:32" s="100" customFormat="1" ht="12.75" customHeight="1">
      <c r="B303" s="47"/>
      <c r="C303" s="531" t="s">
        <v>1826</v>
      </c>
      <c r="D303" s="1668" t="s">
        <v>4077</v>
      </c>
      <c r="E303" s="1668"/>
      <c r="F303" s="1668"/>
      <c r="G303" s="1668"/>
      <c r="H303" s="1668"/>
      <c r="I303" s="1668"/>
      <c r="J303" s="1668"/>
      <c r="K303" s="1668"/>
      <c r="L303" s="1668"/>
      <c r="M303" s="1668"/>
      <c r="N303" s="1668"/>
      <c r="O303" s="531" t="s">
        <v>1826</v>
      </c>
      <c r="P303" s="1293" t="s">
        <v>3421</v>
      </c>
      <c r="Q303" s="632"/>
      <c r="AE303" s="535"/>
      <c r="AF303" s="535"/>
    </row>
    <row r="304" spans="1:32" s="100" customFormat="1" ht="22.5" customHeight="1">
      <c r="B304" s="154" t="s">
        <v>2083</v>
      </c>
      <c r="C304" s="162" t="s">
        <v>1824</v>
      </c>
      <c r="D304" s="1652" t="s">
        <v>2899</v>
      </c>
      <c r="E304" s="1652"/>
      <c r="F304" s="1652"/>
      <c r="G304" s="1652"/>
      <c r="H304" s="1652"/>
      <c r="I304" s="1652"/>
      <c r="J304" s="1652"/>
      <c r="K304" s="1652"/>
      <c r="L304" s="1652"/>
      <c r="M304" s="1652"/>
      <c r="N304" s="1652"/>
      <c r="O304" s="531" t="s">
        <v>2902</v>
      </c>
      <c r="P304" s="1293" t="s">
        <v>3421</v>
      </c>
      <c r="Q304" s="632"/>
      <c r="AE304" s="535"/>
      <c r="AF304" s="535"/>
    </row>
    <row r="305" spans="1:256 1523:1523" s="100" customFormat="1" ht="12" customHeight="1">
      <c r="B305" s="154"/>
      <c r="C305" s="162" t="s">
        <v>1825</v>
      </c>
      <c r="D305" s="1652" t="s">
        <v>2900</v>
      </c>
      <c r="E305" s="1652"/>
      <c r="F305" s="1652"/>
      <c r="G305" s="1652"/>
      <c r="H305" s="1652"/>
      <c r="I305" s="1652"/>
      <c r="J305" s="1652"/>
      <c r="K305" s="1652"/>
      <c r="L305" s="1652"/>
      <c r="M305" s="1652"/>
      <c r="N305" s="1652"/>
      <c r="O305" s="531" t="s">
        <v>3126</v>
      </c>
      <c r="P305" s="1293" t="s">
        <v>3421</v>
      </c>
      <c r="Q305" s="632"/>
      <c r="AE305" s="535"/>
      <c r="AF305" s="535"/>
    </row>
    <row r="306" spans="1:256 1523:1523" s="465" customFormat="1" ht="36" customHeight="1">
      <c r="B306" s="154" t="s">
        <v>788</v>
      </c>
      <c r="C306" s="162"/>
      <c r="D306" s="1652" t="s">
        <v>4178</v>
      </c>
      <c r="E306" s="1652"/>
      <c r="F306" s="1652"/>
      <c r="G306" s="1652"/>
      <c r="H306" s="1652"/>
      <c r="I306" s="1652"/>
      <c r="J306" s="1652"/>
      <c r="K306" s="1652"/>
      <c r="L306" s="1652"/>
      <c r="M306" s="1652"/>
      <c r="N306" s="1652"/>
      <c r="O306" s="177" t="s">
        <v>788</v>
      </c>
      <c r="P306" s="1297" t="s">
        <v>3421</v>
      </c>
      <c r="Q306" s="2628"/>
      <c r="AE306" s="1285"/>
      <c r="AF306" s="1285"/>
    </row>
    <row r="307" spans="1:256 1523:1523" ht="11.25" customHeight="1">
      <c r="B307" s="153" t="s">
        <v>1958</v>
      </c>
      <c r="D307" s="153"/>
      <c r="E307" s="153"/>
      <c r="F307" s="153"/>
      <c r="G307" s="153"/>
      <c r="H307" s="40"/>
      <c r="I307" s="787"/>
      <c r="J307" s="787"/>
      <c r="K307" s="787"/>
      <c r="L307" s="1238"/>
      <c r="M307" s="1238"/>
      <c r="N307" s="1238"/>
      <c r="O307" s="1238"/>
      <c r="P307" s="1238"/>
      <c r="Q307" s="1274"/>
    </row>
    <row r="308" spans="1:256 1523:1523" ht="11.45" customHeight="1">
      <c r="A308" s="1598" t="s">
        <v>4461</v>
      </c>
      <c r="B308" s="1599"/>
      <c r="C308" s="1599"/>
      <c r="D308" s="1599"/>
      <c r="E308" s="1599"/>
      <c r="F308" s="1599"/>
      <c r="G308" s="1599"/>
      <c r="H308" s="1599"/>
      <c r="I308" s="1599"/>
      <c r="J308" s="1599"/>
      <c r="K308" s="1599"/>
      <c r="L308" s="1599"/>
      <c r="M308" s="1599"/>
      <c r="N308" s="1599"/>
      <c r="O308" s="1599"/>
      <c r="P308" s="1599"/>
      <c r="Q308" s="1600"/>
      <c r="R308" s="501" t="s">
        <v>1313</v>
      </c>
      <c r="S308" s="502"/>
      <c r="U308" s="148"/>
      <c r="V308" s="148"/>
      <c r="W308" s="148"/>
      <c r="X308" s="148"/>
      <c r="Y308" s="148"/>
      <c r="Z308" s="148"/>
      <c r="AA308" s="148"/>
      <c r="AB308" s="148"/>
      <c r="AC308" s="148"/>
      <c r="AD308" s="148"/>
      <c r="AE308" s="533"/>
    </row>
    <row r="309" spans="1:256 1523:1523" ht="11.25" customHeight="1">
      <c r="B309" s="149" t="s">
        <v>1959</v>
      </c>
      <c r="C309" s="150"/>
      <c r="D309" s="1244"/>
      <c r="E309" s="1244"/>
      <c r="F309" s="1244"/>
      <c r="G309" s="1244"/>
      <c r="H309" s="1244"/>
      <c r="I309" s="1244"/>
      <c r="J309" s="1244"/>
      <c r="K309" s="1244"/>
      <c r="L309" s="1244"/>
      <c r="M309" s="1244"/>
      <c r="N309" s="1244"/>
      <c r="O309" s="1244"/>
      <c r="P309" s="1244"/>
      <c r="Q309" s="1244"/>
    </row>
    <row r="310" spans="1:256 1523:1523" ht="11.45" customHeight="1">
      <c r="A310" s="2629"/>
      <c r="B310" s="2630"/>
      <c r="C310" s="2630"/>
      <c r="D310" s="2630"/>
      <c r="E310" s="2630"/>
      <c r="F310" s="2630"/>
      <c r="G310" s="2630"/>
      <c r="H310" s="2630"/>
      <c r="I310" s="2630"/>
      <c r="J310" s="2630"/>
      <c r="K310" s="2630"/>
      <c r="L310" s="2630"/>
      <c r="M310" s="2630"/>
      <c r="N310" s="2630"/>
      <c r="O310" s="2630"/>
      <c r="P310" s="2630"/>
      <c r="Q310" s="2631"/>
    </row>
    <row r="311" spans="1:256 1523:1523" ht="13.9" customHeight="1">
      <c r="A311" s="1246">
        <v>19</v>
      </c>
      <c r="B311" s="10" t="s">
        <v>2804</v>
      </c>
      <c r="C311" s="10"/>
      <c r="D311" s="10"/>
      <c r="E311" s="10"/>
      <c r="F311" s="10"/>
      <c r="G311" s="10"/>
      <c r="H311" s="1244"/>
      <c r="I311" s="1244"/>
      <c r="J311" s="1244"/>
      <c r="K311" s="1244"/>
      <c r="L311" s="1244"/>
      <c r="M311" s="1244"/>
      <c r="O311" s="143" t="s">
        <v>1960</v>
      </c>
      <c r="P311" s="2632"/>
      <c r="Q311" s="2633"/>
    </row>
    <row r="312" spans="1:256 1523:1523" ht="11.45" customHeight="1">
      <c r="B312" s="157" t="s">
        <v>2360</v>
      </c>
      <c r="P312" s="1291" t="s">
        <v>3424</v>
      </c>
      <c r="Q312" s="631"/>
    </row>
    <row r="313" spans="1:256 1523:1523" ht="12" customHeight="1">
      <c r="B313" s="1286" t="s">
        <v>2315</v>
      </c>
      <c r="C313" s="1286"/>
      <c r="D313" s="1286"/>
      <c r="E313" s="1286"/>
      <c r="F313" s="1286"/>
      <c r="G313" s="1286"/>
      <c r="H313" s="1286"/>
      <c r="I313" s="1286"/>
      <c r="J313" s="1286"/>
      <c r="K313" s="1286"/>
      <c r="L313" s="1286"/>
      <c r="P313" s="1292" t="s">
        <v>3421</v>
      </c>
      <c r="Q313" s="633"/>
    </row>
    <row r="314" spans="1:256 1523:1523" ht="11.45" customHeight="1">
      <c r="B314" s="154" t="s">
        <v>2080</v>
      </c>
      <c r="C314" s="1277" t="s">
        <v>478</v>
      </c>
      <c r="D314" s="1275"/>
      <c r="E314" s="1275"/>
      <c r="F314" s="1275"/>
      <c r="G314" s="1275"/>
      <c r="H314" s="1275"/>
      <c r="I314" s="1275"/>
      <c r="J314" s="1275"/>
      <c r="K314" s="1275"/>
      <c r="L314" s="1275"/>
      <c r="M314" s="1275"/>
      <c r="N314" s="177"/>
    </row>
    <row r="315" spans="1:256 1523:1523" ht="22.5" customHeight="1">
      <c r="A315" s="156"/>
      <c r="C315" s="1652" t="s">
        <v>3266</v>
      </c>
      <c r="D315" s="1652"/>
      <c r="E315" s="1652"/>
      <c r="F315" s="1652"/>
      <c r="G315" s="1652"/>
      <c r="H315" s="1652"/>
      <c r="I315" s="1652"/>
      <c r="J315" s="1652"/>
      <c r="K315" s="1652"/>
      <c r="L315" s="1652"/>
      <c r="M315" s="1652"/>
      <c r="N315" s="1652"/>
      <c r="O315" s="177" t="s">
        <v>2080</v>
      </c>
      <c r="P315" s="1298" t="s">
        <v>3421</v>
      </c>
      <c r="Q315" s="2634"/>
    </row>
    <row r="316" spans="1:256 1523:1523" ht="12.6" customHeight="1">
      <c r="B316" s="154" t="s">
        <v>2083</v>
      </c>
      <c r="C316" s="1624" t="s">
        <v>479</v>
      </c>
      <c r="D316" s="1624"/>
      <c r="E316" s="1624"/>
      <c r="F316" s="1624"/>
      <c r="G316" s="1624"/>
      <c r="H316" s="1624"/>
      <c r="I316" s="1624"/>
      <c r="J316" s="1624"/>
      <c r="K316" s="1624"/>
      <c r="L316" s="1624"/>
      <c r="M316" s="1624"/>
      <c r="O316" s="177" t="s">
        <v>2083</v>
      </c>
      <c r="P316" s="1238"/>
      <c r="Q316" s="1274"/>
    </row>
    <row r="317" spans="1:256 1523:1523" ht="23.25" customHeight="1">
      <c r="A317" s="156"/>
      <c r="C317" s="235" t="s">
        <v>1824</v>
      </c>
      <c r="D317" s="236" t="s">
        <v>1182</v>
      </c>
      <c r="E317" s="144"/>
      <c r="F317" s="144"/>
      <c r="G317" s="1659" t="s">
        <v>1516</v>
      </c>
      <c r="H317" s="1660"/>
      <c r="I317" s="1660"/>
      <c r="J317" s="1660"/>
      <c r="K317" s="1660"/>
      <c r="L317" s="1660"/>
      <c r="M317" s="1660"/>
      <c r="N317" s="1661"/>
      <c r="O317" s="239" t="s">
        <v>1824</v>
      </c>
      <c r="P317" s="1296" t="s">
        <v>3421</v>
      </c>
      <c r="Q317" s="2627"/>
      <c r="BFO317" s="160" t="s">
        <v>2903</v>
      </c>
    </row>
    <row r="318" spans="1:256 1523:1523" ht="23.25" customHeight="1">
      <c r="A318" s="156"/>
      <c r="C318" s="235" t="s">
        <v>1825</v>
      </c>
      <c r="D318" s="1618" t="s">
        <v>1183</v>
      </c>
      <c r="E318" s="1628"/>
      <c r="F318" s="1629"/>
      <c r="G318" s="1625" t="s">
        <v>2787</v>
      </c>
      <c r="H318" s="1626"/>
      <c r="I318" s="1626"/>
      <c r="J318" s="1626"/>
      <c r="K318" s="1626"/>
      <c r="L318" s="1626"/>
      <c r="M318" s="1626"/>
      <c r="N318" s="1627"/>
      <c r="O318" s="239" t="s">
        <v>1825</v>
      </c>
      <c r="P318" s="1297" t="s">
        <v>3421</v>
      </c>
      <c r="Q318" s="2628"/>
    </row>
    <row r="319" spans="1:256 1523:1523" ht="3" customHeight="1">
      <c r="A319" s="1238"/>
      <c r="B319" s="1238"/>
      <c r="C319" s="1238"/>
      <c r="D319" s="1238"/>
      <c r="E319" s="1238"/>
      <c r="F319" s="1238"/>
      <c r="G319" s="1238"/>
      <c r="H319" s="1238"/>
      <c r="I319" s="1238"/>
      <c r="J319" s="1238"/>
      <c r="K319" s="1238"/>
      <c r="L319" s="1238"/>
      <c r="M319" s="1238"/>
      <c r="N319" s="1238"/>
      <c r="O319" s="1238"/>
      <c r="P319" s="1238"/>
      <c r="Q319" s="1238"/>
      <c r="R319" s="1238"/>
      <c r="S319" s="1238"/>
      <c r="T319" s="1238"/>
      <c r="U319" s="1238"/>
      <c r="V319" s="1238"/>
      <c r="W319" s="1238"/>
      <c r="X319" s="1238"/>
      <c r="Y319" s="1238"/>
      <c r="Z319" s="1238"/>
      <c r="AA319" s="1238"/>
      <c r="AB319" s="1238"/>
      <c r="AC319" s="1238"/>
      <c r="AD319" s="1238"/>
      <c r="AE319" s="1274"/>
      <c r="AF319" s="1274"/>
      <c r="AG319" s="1238"/>
      <c r="AH319" s="1238"/>
      <c r="AI319" s="1238"/>
      <c r="AJ319" s="1238"/>
      <c r="AK319" s="1238"/>
      <c r="AL319" s="1238"/>
      <c r="AM319" s="1238"/>
      <c r="AN319" s="1238"/>
      <c r="AO319" s="1238"/>
      <c r="AP319" s="1238"/>
      <c r="AQ319" s="1238"/>
      <c r="AR319" s="1238"/>
      <c r="AS319" s="1238"/>
      <c r="AT319" s="1238"/>
      <c r="AU319" s="1238"/>
      <c r="AV319" s="1238"/>
      <c r="AW319" s="1238"/>
      <c r="AX319" s="1238"/>
      <c r="AY319" s="1238"/>
      <c r="AZ319" s="1238"/>
      <c r="BA319" s="1238"/>
      <c r="BB319" s="1238"/>
      <c r="BC319" s="1238"/>
      <c r="BD319" s="1238"/>
      <c r="BE319" s="1238"/>
      <c r="BF319" s="1238"/>
      <c r="BG319" s="1238"/>
      <c r="BH319" s="1238"/>
      <c r="BI319" s="1238"/>
      <c r="BJ319" s="1238"/>
      <c r="BK319" s="1238"/>
      <c r="BL319" s="1238"/>
      <c r="BM319" s="1238"/>
      <c r="BN319" s="1238"/>
      <c r="BO319" s="1238"/>
      <c r="BP319" s="1238"/>
      <c r="BQ319" s="1238"/>
      <c r="BR319" s="1238"/>
      <c r="BS319" s="1238"/>
      <c r="BT319" s="1238"/>
      <c r="BU319" s="1238"/>
      <c r="BV319" s="1238"/>
      <c r="BW319" s="1238"/>
      <c r="BX319" s="1238"/>
      <c r="BY319" s="1238"/>
      <c r="BZ319" s="1238"/>
      <c r="CA319" s="1238"/>
      <c r="CB319" s="1238"/>
      <c r="CC319" s="1238"/>
      <c r="CD319" s="1238"/>
      <c r="CE319" s="1238"/>
      <c r="CF319" s="1238"/>
      <c r="CG319" s="1238"/>
      <c r="CH319" s="1238"/>
      <c r="CI319" s="1238"/>
      <c r="CJ319" s="1238"/>
      <c r="CK319" s="1238"/>
      <c r="CL319" s="1238"/>
      <c r="CM319" s="1238"/>
      <c r="CN319" s="1238"/>
      <c r="CO319" s="1238"/>
      <c r="CP319" s="1238"/>
      <c r="CQ319" s="1238"/>
      <c r="CR319" s="1238"/>
      <c r="CS319" s="1238"/>
      <c r="CT319" s="1238"/>
      <c r="CU319" s="1238"/>
      <c r="CV319" s="1238"/>
      <c r="CW319" s="1238"/>
      <c r="CX319" s="1238"/>
      <c r="CY319" s="1238"/>
      <c r="CZ319" s="1238"/>
      <c r="DA319" s="1238"/>
      <c r="DB319" s="1238"/>
      <c r="DC319" s="1238"/>
      <c r="DD319" s="1238"/>
      <c r="DE319" s="1238"/>
      <c r="DF319" s="1238"/>
      <c r="DG319" s="1238"/>
      <c r="DH319" s="1238"/>
      <c r="DI319" s="1238"/>
      <c r="DJ319" s="1238"/>
      <c r="DK319" s="1238"/>
      <c r="DL319" s="1238"/>
      <c r="DM319" s="1238"/>
      <c r="DN319" s="1238"/>
      <c r="DO319" s="1238"/>
      <c r="DP319" s="1238"/>
      <c r="DQ319" s="1238"/>
      <c r="DR319" s="1238"/>
      <c r="DS319" s="1238"/>
      <c r="DT319" s="1238"/>
      <c r="DU319" s="1238"/>
      <c r="DV319" s="1238"/>
      <c r="DW319" s="1238"/>
      <c r="DX319" s="1238"/>
      <c r="DY319" s="1238"/>
      <c r="DZ319" s="1238"/>
      <c r="EA319" s="1238"/>
      <c r="EB319" s="1238"/>
      <c r="EC319" s="1238"/>
      <c r="ED319" s="1238"/>
      <c r="EE319" s="1238"/>
      <c r="EF319" s="1238"/>
      <c r="EG319" s="1238"/>
      <c r="EH319" s="1238"/>
      <c r="EI319" s="1238"/>
      <c r="EJ319" s="1238"/>
      <c r="EK319" s="1238"/>
      <c r="EL319" s="1238"/>
      <c r="EM319" s="1238"/>
      <c r="EN319" s="1238"/>
      <c r="EO319" s="1238"/>
      <c r="EP319" s="1238"/>
      <c r="EQ319" s="1238"/>
      <c r="ER319" s="1238"/>
      <c r="ES319" s="1238"/>
      <c r="ET319" s="1238"/>
      <c r="EU319" s="1238"/>
      <c r="EV319" s="1238"/>
      <c r="EW319" s="1238"/>
      <c r="EX319" s="1238"/>
      <c r="EY319" s="1238"/>
      <c r="EZ319" s="1238"/>
      <c r="FA319" s="1238"/>
      <c r="FB319" s="1238"/>
      <c r="FC319" s="1238"/>
      <c r="FD319" s="1238"/>
      <c r="FE319" s="1238"/>
      <c r="FF319" s="1238"/>
      <c r="FG319" s="1238"/>
      <c r="FH319" s="1238"/>
      <c r="FI319" s="1238"/>
      <c r="FJ319" s="1238"/>
      <c r="FK319" s="1238"/>
      <c r="FL319" s="1238"/>
      <c r="FM319" s="1238"/>
      <c r="FN319" s="1238"/>
      <c r="FO319" s="1238"/>
      <c r="FP319" s="1238"/>
      <c r="FQ319" s="1238"/>
      <c r="FR319" s="1238"/>
      <c r="FS319" s="1238"/>
      <c r="FT319" s="1238"/>
      <c r="FU319" s="1238"/>
      <c r="FV319" s="1238"/>
      <c r="FW319" s="1238"/>
      <c r="FX319" s="1238"/>
      <c r="FY319" s="1238"/>
      <c r="FZ319" s="1238"/>
      <c r="GA319" s="1238"/>
      <c r="GB319" s="1238"/>
      <c r="GC319" s="1238"/>
      <c r="GD319" s="1238"/>
      <c r="GE319" s="1238"/>
      <c r="GF319" s="1238"/>
      <c r="GG319" s="1238"/>
      <c r="GH319" s="1238"/>
      <c r="GI319" s="1238"/>
      <c r="GJ319" s="1238"/>
      <c r="GK319" s="1238"/>
      <c r="GL319" s="1238"/>
      <c r="GM319" s="1238"/>
      <c r="GN319" s="1238"/>
      <c r="GO319" s="1238"/>
      <c r="GP319" s="1238"/>
      <c r="GQ319" s="1238"/>
      <c r="GR319" s="1238"/>
      <c r="GS319" s="1238"/>
      <c r="GT319" s="1238"/>
      <c r="GU319" s="1238"/>
      <c r="GV319" s="1238"/>
      <c r="GW319" s="1238"/>
      <c r="GX319" s="1238"/>
      <c r="GY319" s="1238"/>
      <c r="GZ319" s="1238"/>
      <c r="HA319" s="1238"/>
      <c r="HB319" s="1238"/>
      <c r="HC319" s="1238"/>
      <c r="HD319" s="1238"/>
      <c r="HE319" s="1238"/>
      <c r="HF319" s="1238"/>
      <c r="HG319" s="1238"/>
      <c r="HH319" s="1238"/>
      <c r="HI319" s="1238"/>
      <c r="HJ319" s="1238"/>
      <c r="HK319" s="1238"/>
      <c r="HL319" s="1238"/>
      <c r="HM319" s="1238"/>
      <c r="HN319" s="1238"/>
      <c r="HO319" s="1238"/>
      <c r="HP319" s="1238"/>
      <c r="HQ319" s="1238"/>
      <c r="HR319" s="1238"/>
      <c r="HS319" s="1238"/>
      <c r="HT319" s="1238"/>
      <c r="HU319" s="1238"/>
      <c r="HV319" s="1238"/>
      <c r="HW319" s="1238"/>
      <c r="HX319" s="1238"/>
      <c r="HY319" s="1238"/>
      <c r="HZ319" s="1238"/>
      <c r="IA319" s="1238"/>
      <c r="IB319" s="1238"/>
      <c r="IC319" s="1238"/>
      <c r="ID319" s="1238"/>
      <c r="IE319" s="1238"/>
      <c r="IF319" s="1238"/>
      <c r="IG319" s="1238"/>
      <c r="IH319" s="1238"/>
      <c r="II319" s="1238"/>
      <c r="IJ319" s="1238"/>
      <c r="IK319" s="1238"/>
      <c r="IL319" s="1238"/>
      <c r="IM319" s="1238"/>
      <c r="IN319" s="1238"/>
      <c r="IO319" s="1238"/>
      <c r="IP319" s="1238"/>
      <c r="IQ319" s="1238"/>
      <c r="IR319" s="1238"/>
      <c r="IS319" s="1238"/>
      <c r="IT319" s="1238"/>
      <c r="IU319" s="1238"/>
      <c r="IV319" s="1238"/>
    </row>
    <row r="320" spans="1:256 1523:1523" s="144" customFormat="1" ht="22.5" customHeight="1">
      <c r="B320" s="154" t="s">
        <v>788</v>
      </c>
      <c r="C320" s="1656" t="s">
        <v>2811</v>
      </c>
      <c r="D320" s="1656"/>
      <c r="E320" s="1656"/>
      <c r="F320" s="1656"/>
      <c r="G320" s="1656"/>
      <c r="H320" s="1656"/>
      <c r="I320" s="1656"/>
      <c r="J320" s="1656"/>
      <c r="K320" s="1656"/>
      <c r="L320" s="1656"/>
      <c r="M320" s="1656"/>
      <c r="N320" s="1656"/>
      <c r="O320" s="498" t="s">
        <v>788</v>
      </c>
      <c r="P320" s="1238"/>
      <c r="Q320" s="1274"/>
      <c r="AE320" s="534"/>
      <c r="AF320" s="534"/>
    </row>
    <row r="321" spans="1:256" s="144" customFormat="1" ht="11.25" customHeight="1">
      <c r="A321" s="156"/>
      <c r="C321" s="235" t="s">
        <v>1824</v>
      </c>
      <c r="D321" s="1630" t="s">
        <v>1016</v>
      </c>
      <c r="E321" s="1631"/>
      <c r="F321" s="1631"/>
      <c r="G321" s="1631"/>
      <c r="H321" s="1631"/>
      <c r="I321" s="1631"/>
      <c r="J321" s="1631"/>
      <c r="K321" s="1631"/>
      <c r="L321" s="1631"/>
      <c r="M321" s="1631"/>
      <c r="N321" s="1632"/>
      <c r="O321" s="239" t="s">
        <v>1824</v>
      </c>
      <c r="P321" s="1296" t="s">
        <v>3424</v>
      </c>
      <c r="Q321" s="2627"/>
      <c r="AE321" s="534"/>
      <c r="AF321" s="534"/>
    </row>
    <row r="322" spans="1:256" s="144" customFormat="1" ht="11.25" customHeight="1">
      <c r="A322" s="156"/>
      <c r="C322" s="235" t="s">
        <v>1825</v>
      </c>
      <c r="D322" s="1625"/>
      <c r="E322" s="1657"/>
      <c r="F322" s="1657"/>
      <c r="G322" s="1657"/>
      <c r="H322" s="1657"/>
      <c r="I322" s="1657"/>
      <c r="J322" s="1657"/>
      <c r="K322" s="1657"/>
      <c r="L322" s="1657"/>
      <c r="M322" s="1657"/>
      <c r="N322" s="1658"/>
      <c r="O322" s="239" t="s">
        <v>1825</v>
      </c>
      <c r="P322" s="1297" t="s">
        <v>3424</v>
      </c>
      <c r="Q322" s="2628"/>
      <c r="AE322" s="534"/>
      <c r="AF322" s="534"/>
    </row>
    <row r="323" spans="1:256" ht="3" customHeight="1">
      <c r="A323" s="1238"/>
      <c r="B323" s="1238"/>
      <c r="C323" s="1238"/>
      <c r="D323" s="1238"/>
      <c r="E323" s="1238"/>
      <c r="F323" s="1238"/>
      <c r="G323" s="1238"/>
      <c r="H323" s="1238"/>
      <c r="I323" s="1238"/>
      <c r="J323" s="1238"/>
      <c r="K323" s="1238"/>
      <c r="L323" s="1238"/>
      <c r="M323" s="1238"/>
      <c r="N323" s="1238"/>
      <c r="O323" s="1238"/>
      <c r="P323" s="1238"/>
      <c r="Q323" s="1238"/>
      <c r="R323" s="1238"/>
      <c r="S323" s="1238"/>
      <c r="T323" s="1238"/>
      <c r="U323" s="1238"/>
      <c r="V323" s="1238"/>
      <c r="W323" s="1238"/>
      <c r="X323" s="1238"/>
      <c r="Y323" s="1238"/>
      <c r="Z323" s="1238"/>
      <c r="AA323" s="1238"/>
      <c r="AB323" s="1238"/>
      <c r="AC323" s="1238"/>
      <c r="AD323" s="1238"/>
      <c r="AE323" s="1274"/>
      <c r="AF323" s="1274"/>
      <c r="AG323" s="1238"/>
      <c r="AH323" s="1238"/>
      <c r="AI323" s="1238"/>
      <c r="AJ323" s="1238"/>
      <c r="AK323" s="1238"/>
      <c r="AL323" s="1238"/>
      <c r="AM323" s="1238"/>
      <c r="AN323" s="1238"/>
      <c r="AO323" s="1238"/>
      <c r="AP323" s="1238"/>
      <c r="AQ323" s="1238"/>
      <c r="AR323" s="1238"/>
      <c r="AS323" s="1238"/>
      <c r="AT323" s="1238"/>
      <c r="AU323" s="1238"/>
      <c r="AV323" s="1238"/>
      <c r="AW323" s="1238"/>
      <c r="AX323" s="1238"/>
      <c r="AY323" s="1238"/>
      <c r="AZ323" s="1238"/>
      <c r="BA323" s="1238"/>
      <c r="BB323" s="1238"/>
      <c r="BC323" s="1238"/>
      <c r="BD323" s="1238"/>
      <c r="BE323" s="1238"/>
      <c r="BF323" s="1238"/>
      <c r="BG323" s="1238"/>
      <c r="BH323" s="1238"/>
      <c r="BI323" s="1238"/>
      <c r="BJ323" s="1238"/>
      <c r="BK323" s="1238"/>
      <c r="BL323" s="1238"/>
      <c r="BM323" s="1238"/>
      <c r="BN323" s="1238"/>
      <c r="BO323" s="1238"/>
      <c r="BP323" s="1238"/>
      <c r="BQ323" s="1238"/>
      <c r="BR323" s="1238"/>
      <c r="BS323" s="1238"/>
      <c r="BT323" s="1238"/>
      <c r="BU323" s="1238"/>
      <c r="BV323" s="1238"/>
      <c r="BW323" s="1238"/>
      <c r="BX323" s="1238"/>
      <c r="BY323" s="1238"/>
      <c r="BZ323" s="1238"/>
      <c r="CA323" s="1238"/>
      <c r="CB323" s="1238"/>
      <c r="CC323" s="1238"/>
      <c r="CD323" s="1238"/>
      <c r="CE323" s="1238"/>
      <c r="CF323" s="1238"/>
      <c r="CG323" s="1238"/>
      <c r="CH323" s="1238"/>
      <c r="CI323" s="1238"/>
      <c r="CJ323" s="1238"/>
      <c r="CK323" s="1238"/>
      <c r="CL323" s="1238"/>
      <c r="CM323" s="1238"/>
      <c r="CN323" s="1238"/>
      <c r="CO323" s="1238"/>
      <c r="CP323" s="1238"/>
      <c r="CQ323" s="1238"/>
      <c r="CR323" s="1238"/>
      <c r="CS323" s="1238"/>
      <c r="CT323" s="1238"/>
      <c r="CU323" s="1238"/>
      <c r="CV323" s="1238"/>
      <c r="CW323" s="1238"/>
      <c r="CX323" s="1238"/>
      <c r="CY323" s="1238"/>
      <c r="CZ323" s="1238"/>
      <c r="DA323" s="1238"/>
      <c r="DB323" s="1238"/>
      <c r="DC323" s="1238"/>
      <c r="DD323" s="1238"/>
      <c r="DE323" s="1238"/>
      <c r="DF323" s="1238"/>
      <c r="DG323" s="1238"/>
      <c r="DH323" s="1238"/>
      <c r="DI323" s="1238"/>
      <c r="DJ323" s="1238"/>
      <c r="DK323" s="1238"/>
      <c r="DL323" s="1238"/>
      <c r="DM323" s="1238"/>
      <c r="DN323" s="1238"/>
      <c r="DO323" s="1238"/>
      <c r="DP323" s="1238"/>
      <c r="DQ323" s="1238"/>
      <c r="DR323" s="1238"/>
      <c r="DS323" s="1238"/>
      <c r="DT323" s="1238"/>
      <c r="DU323" s="1238"/>
      <c r="DV323" s="1238"/>
      <c r="DW323" s="1238"/>
      <c r="DX323" s="1238"/>
      <c r="DY323" s="1238"/>
      <c r="DZ323" s="1238"/>
      <c r="EA323" s="1238"/>
      <c r="EB323" s="1238"/>
      <c r="EC323" s="1238"/>
      <c r="ED323" s="1238"/>
      <c r="EE323" s="1238"/>
      <c r="EF323" s="1238"/>
      <c r="EG323" s="1238"/>
      <c r="EH323" s="1238"/>
      <c r="EI323" s="1238"/>
      <c r="EJ323" s="1238"/>
      <c r="EK323" s="1238"/>
      <c r="EL323" s="1238"/>
      <c r="EM323" s="1238"/>
      <c r="EN323" s="1238"/>
      <c r="EO323" s="1238"/>
      <c r="EP323" s="1238"/>
      <c r="EQ323" s="1238"/>
      <c r="ER323" s="1238"/>
      <c r="ES323" s="1238"/>
      <c r="ET323" s="1238"/>
      <c r="EU323" s="1238"/>
      <c r="EV323" s="1238"/>
      <c r="EW323" s="1238"/>
      <c r="EX323" s="1238"/>
      <c r="EY323" s="1238"/>
      <c r="EZ323" s="1238"/>
      <c r="FA323" s="1238"/>
      <c r="FB323" s="1238"/>
      <c r="FC323" s="1238"/>
      <c r="FD323" s="1238"/>
      <c r="FE323" s="1238"/>
      <c r="FF323" s="1238"/>
      <c r="FG323" s="1238"/>
      <c r="FH323" s="1238"/>
      <c r="FI323" s="1238"/>
      <c r="FJ323" s="1238"/>
      <c r="FK323" s="1238"/>
      <c r="FL323" s="1238"/>
      <c r="FM323" s="1238"/>
      <c r="FN323" s="1238"/>
      <c r="FO323" s="1238"/>
      <c r="FP323" s="1238"/>
      <c r="FQ323" s="1238"/>
      <c r="FR323" s="1238"/>
      <c r="FS323" s="1238"/>
      <c r="FT323" s="1238"/>
      <c r="FU323" s="1238"/>
      <c r="FV323" s="1238"/>
      <c r="FW323" s="1238"/>
      <c r="FX323" s="1238"/>
      <c r="FY323" s="1238"/>
      <c r="FZ323" s="1238"/>
      <c r="GA323" s="1238"/>
      <c r="GB323" s="1238"/>
      <c r="GC323" s="1238"/>
      <c r="GD323" s="1238"/>
      <c r="GE323" s="1238"/>
      <c r="GF323" s="1238"/>
      <c r="GG323" s="1238"/>
      <c r="GH323" s="1238"/>
      <c r="GI323" s="1238"/>
      <c r="GJ323" s="1238"/>
      <c r="GK323" s="1238"/>
      <c r="GL323" s="1238"/>
      <c r="GM323" s="1238"/>
      <c r="GN323" s="1238"/>
      <c r="GO323" s="1238"/>
      <c r="GP323" s="1238"/>
      <c r="GQ323" s="1238"/>
      <c r="GR323" s="1238"/>
      <c r="GS323" s="1238"/>
      <c r="GT323" s="1238"/>
      <c r="GU323" s="1238"/>
      <c r="GV323" s="1238"/>
      <c r="GW323" s="1238"/>
      <c r="GX323" s="1238"/>
      <c r="GY323" s="1238"/>
      <c r="GZ323" s="1238"/>
      <c r="HA323" s="1238"/>
      <c r="HB323" s="1238"/>
      <c r="HC323" s="1238"/>
      <c r="HD323" s="1238"/>
      <c r="HE323" s="1238"/>
      <c r="HF323" s="1238"/>
      <c r="HG323" s="1238"/>
      <c r="HH323" s="1238"/>
      <c r="HI323" s="1238"/>
      <c r="HJ323" s="1238"/>
      <c r="HK323" s="1238"/>
      <c r="HL323" s="1238"/>
      <c r="HM323" s="1238"/>
      <c r="HN323" s="1238"/>
      <c r="HO323" s="1238"/>
      <c r="HP323" s="1238"/>
      <c r="HQ323" s="1238"/>
      <c r="HR323" s="1238"/>
      <c r="HS323" s="1238"/>
      <c r="HT323" s="1238"/>
      <c r="HU323" s="1238"/>
      <c r="HV323" s="1238"/>
      <c r="HW323" s="1238"/>
      <c r="HX323" s="1238"/>
      <c r="HY323" s="1238"/>
      <c r="HZ323" s="1238"/>
      <c r="IA323" s="1238"/>
      <c r="IB323" s="1238"/>
      <c r="IC323" s="1238"/>
      <c r="ID323" s="1238"/>
      <c r="IE323" s="1238"/>
      <c r="IF323" s="1238"/>
      <c r="IG323" s="1238"/>
      <c r="IH323" s="1238"/>
      <c r="II323" s="1238"/>
      <c r="IJ323" s="1238"/>
      <c r="IK323" s="1238"/>
      <c r="IL323" s="1238"/>
      <c r="IM323" s="1238"/>
      <c r="IN323" s="1238"/>
      <c r="IO323" s="1238"/>
      <c r="IP323" s="1238"/>
      <c r="IQ323" s="1238"/>
      <c r="IR323" s="1238"/>
      <c r="IS323" s="1238"/>
      <c r="IT323" s="1238"/>
      <c r="IU323" s="1238"/>
      <c r="IV323" s="1238"/>
    </row>
    <row r="324" spans="1:256" ht="11.25" customHeight="1">
      <c r="B324" s="153" t="s">
        <v>1958</v>
      </c>
      <c r="D324" s="153"/>
      <c r="E324" s="153"/>
      <c r="F324" s="153"/>
      <c r="G324" s="153"/>
      <c r="H324" s="40"/>
      <c r="I324" s="787"/>
      <c r="J324" s="787"/>
      <c r="K324" s="787"/>
      <c r="L324" s="1238"/>
      <c r="M324" s="1238"/>
      <c r="N324" s="1238"/>
      <c r="O324" s="1238"/>
      <c r="P324" s="1238"/>
      <c r="Q324" s="1274"/>
    </row>
    <row r="325" spans="1:256" ht="11.45" customHeight="1">
      <c r="A325" s="1598"/>
      <c r="B325" s="1599"/>
      <c r="C325" s="1599"/>
      <c r="D325" s="1599"/>
      <c r="E325" s="1599"/>
      <c r="F325" s="1599"/>
      <c r="G325" s="1599"/>
      <c r="H325" s="1599"/>
      <c r="I325" s="1599"/>
      <c r="J325" s="1599"/>
      <c r="K325" s="1599"/>
      <c r="L325" s="1599"/>
      <c r="M325" s="1599"/>
      <c r="N325" s="1599"/>
      <c r="O325" s="1599"/>
      <c r="P325" s="1599"/>
      <c r="Q325" s="1600"/>
      <c r="R325" s="532" t="s">
        <v>1313</v>
      </c>
      <c r="S325" s="131"/>
      <c r="U325" s="148"/>
      <c r="V325" s="148"/>
      <c r="W325" s="148"/>
      <c r="X325" s="148"/>
      <c r="Y325" s="148"/>
      <c r="Z325" s="148"/>
      <c r="AA325" s="148"/>
      <c r="AB325" s="148"/>
      <c r="AC325" s="148"/>
      <c r="AD325" s="148"/>
      <c r="AE325" s="533"/>
    </row>
    <row r="326" spans="1:256" ht="11.25" customHeight="1">
      <c r="B326" s="149" t="s">
        <v>1959</v>
      </c>
      <c r="C326" s="150"/>
      <c r="D326" s="1244"/>
      <c r="E326" s="1244"/>
      <c r="F326" s="1244"/>
      <c r="G326" s="1244"/>
      <c r="H326" s="1244"/>
      <c r="I326" s="1244"/>
      <c r="J326" s="1244"/>
      <c r="K326" s="1244"/>
      <c r="L326" s="1244"/>
      <c r="M326" s="1244"/>
      <c r="N326" s="1244"/>
      <c r="O326" s="1244"/>
      <c r="P326" s="1244"/>
      <c r="Q326" s="1244"/>
    </row>
    <row r="327" spans="1:256" ht="11.45" customHeight="1">
      <c r="A327" s="1644"/>
      <c r="B327" s="1645"/>
      <c r="C327" s="1645"/>
      <c r="D327" s="1645"/>
      <c r="E327" s="1645"/>
      <c r="F327" s="1645"/>
      <c r="G327" s="1645"/>
      <c r="H327" s="1645"/>
      <c r="I327" s="1645"/>
      <c r="J327" s="1645"/>
      <c r="K327" s="1645"/>
      <c r="L327" s="1645"/>
      <c r="M327" s="1645"/>
      <c r="N327" s="1645"/>
      <c r="O327" s="1645"/>
      <c r="P327" s="1645"/>
      <c r="Q327" s="1646"/>
    </row>
    <row r="328" spans="1:256" ht="3" customHeight="1">
      <c r="A328" s="1238"/>
      <c r="B328" s="787"/>
      <c r="C328" s="1244"/>
      <c r="D328" s="1244"/>
      <c r="E328" s="1244"/>
      <c r="F328" s="1244"/>
      <c r="G328" s="1244"/>
      <c r="H328" s="1244"/>
      <c r="I328" s="1244"/>
      <c r="J328" s="1244"/>
      <c r="K328" s="1244"/>
      <c r="L328" s="1244"/>
      <c r="M328" s="1244"/>
      <c r="N328" s="1244"/>
      <c r="O328" s="1244"/>
      <c r="P328" s="1244"/>
      <c r="Q328" s="1238"/>
    </row>
    <row r="329" spans="1:256" ht="13.9" customHeight="1">
      <c r="A329" s="1246">
        <v>20</v>
      </c>
      <c r="B329" s="1246" t="s">
        <v>3276</v>
      </c>
      <c r="C329" s="1246"/>
      <c r="D329" s="1244"/>
      <c r="E329" s="1244"/>
      <c r="F329" s="1244"/>
      <c r="G329" s="1244"/>
      <c r="H329" s="1244"/>
      <c r="O329" s="143" t="s">
        <v>1960</v>
      </c>
      <c r="P329" s="1642"/>
      <c r="Q329" s="1674"/>
    </row>
    <row r="330" spans="1:256" ht="11.45" customHeight="1">
      <c r="B330" s="56" t="s">
        <v>3277</v>
      </c>
      <c r="P330" s="1291" t="s">
        <v>3424</v>
      </c>
      <c r="Q330" s="631"/>
    </row>
    <row r="331" spans="1:256" ht="11.45" customHeight="1">
      <c r="B331" s="157" t="s">
        <v>2459</v>
      </c>
      <c r="P331" s="1292"/>
      <c r="Q331" s="633"/>
    </row>
    <row r="332" spans="1:256" ht="11.45" customHeight="1">
      <c r="B332" s="56" t="s">
        <v>3278</v>
      </c>
      <c r="M332" s="1636" t="s">
        <v>3279</v>
      </c>
      <c r="N332" s="1637"/>
      <c r="O332" s="1638"/>
    </row>
    <row r="333" spans="1:256" ht="11.45" customHeight="1">
      <c r="B333" s="459" t="s">
        <v>2460</v>
      </c>
      <c r="M333" s="2635" t="s">
        <v>3279</v>
      </c>
      <c r="N333" s="2636"/>
      <c r="O333" s="2637"/>
    </row>
    <row r="334" spans="1:256" ht="11.25" customHeight="1">
      <c r="B334" s="153" t="s">
        <v>1958</v>
      </c>
      <c r="D334" s="153"/>
      <c r="E334" s="153"/>
      <c r="F334" s="153"/>
      <c r="G334" s="153"/>
      <c r="H334" s="40"/>
      <c r="I334" s="787"/>
      <c r="J334" s="787"/>
      <c r="K334" s="787"/>
      <c r="L334" s="1238"/>
      <c r="M334" s="1238"/>
      <c r="N334" s="1238"/>
      <c r="O334" s="1238"/>
      <c r="P334" s="1238"/>
      <c r="Q334" s="1274"/>
    </row>
    <row r="335" spans="1:256" ht="34.5" customHeight="1">
      <c r="A335" s="1598" t="s">
        <v>4521</v>
      </c>
      <c r="B335" s="1599"/>
      <c r="C335" s="1599"/>
      <c r="D335" s="1599"/>
      <c r="E335" s="1599"/>
      <c r="F335" s="1599"/>
      <c r="G335" s="1599"/>
      <c r="H335" s="1599"/>
      <c r="I335" s="1599"/>
      <c r="J335" s="1599"/>
      <c r="K335" s="1599"/>
      <c r="L335" s="1599"/>
      <c r="M335" s="1599"/>
      <c r="N335" s="1599"/>
      <c r="O335" s="1599"/>
      <c r="P335" s="1599"/>
      <c r="Q335" s="1600"/>
      <c r="R335" s="501" t="s">
        <v>1313</v>
      </c>
      <c r="S335" s="502"/>
      <c r="U335" s="148"/>
      <c r="V335" s="148"/>
      <c r="W335" s="148"/>
      <c r="X335" s="148"/>
      <c r="Y335" s="148"/>
      <c r="Z335" s="148"/>
      <c r="AA335" s="148"/>
      <c r="AB335" s="148"/>
      <c r="AC335" s="148"/>
      <c r="AD335" s="148"/>
      <c r="AE335" s="533"/>
    </row>
    <row r="336" spans="1:256" ht="11.25" customHeight="1">
      <c r="B336" s="149" t="s">
        <v>1959</v>
      </c>
      <c r="C336" s="150"/>
      <c r="D336" s="1244"/>
      <c r="E336" s="1244"/>
      <c r="F336" s="1244"/>
      <c r="G336" s="1244"/>
      <c r="H336" s="1244"/>
      <c r="I336" s="1244"/>
      <c r="J336" s="1244"/>
      <c r="K336" s="1244"/>
      <c r="L336" s="1244"/>
      <c r="M336" s="1244"/>
      <c r="N336" s="1244"/>
      <c r="O336" s="1244"/>
      <c r="P336" s="1244"/>
      <c r="Q336" s="1244"/>
    </row>
    <row r="337" spans="1:31" ht="13.15" customHeight="1">
      <c r="A337" s="1644"/>
      <c r="B337" s="1645"/>
      <c r="C337" s="1645"/>
      <c r="D337" s="1645"/>
      <c r="E337" s="1645"/>
      <c r="F337" s="1645"/>
      <c r="G337" s="1645"/>
      <c r="H337" s="1645"/>
      <c r="I337" s="1645"/>
      <c r="J337" s="1645"/>
      <c r="K337" s="1645"/>
      <c r="L337" s="1645"/>
      <c r="M337" s="1645"/>
      <c r="N337" s="1645"/>
      <c r="O337" s="1645"/>
      <c r="P337" s="1645"/>
      <c r="Q337" s="1646"/>
    </row>
    <row r="338" spans="1:31" ht="4.1500000000000004" customHeight="1">
      <c r="B338" s="787"/>
      <c r="C338" s="1244"/>
      <c r="D338" s="1244"/>
      <c r="E338" s="1244"/>
      <c r="F338" s="1244"/>
      <c r="G338" s="1244"/>
      <c r="H338" s="1244"/>
      <c r="I338" s="1244"/>
      <c r="J338" s="1244"/>
      <c r="K338" s="1244"/>
      <c r="L338" s="1244"/>
      <c r="M338" s="1244"/>
      <c r="Q338" s="1274"/>
    </row>
    <row r="339" spans="1:31" ht="13.9" customHeight="1">
      <c r="A339" s="1246">
        <v>21</v>
      </c>
      <c r="B339" s="4" t="s">
        <v>2805</v>
      </c>
      <c r="C339" s="4"/>
      <c r="D339" s="91"/>
      <c r="E339" s="1244"/>
      <c r="F339" s="1244"/>
      <c r="G339" s="1244"/>
      <c r="H339" s="1244"/>
      <c r="I339" s="1244"/>
      <c r="J339" s="1244"/>
      <c r="K339" s="1244"/>
      <c r="L339" s="1244"/>
      <c r="M339" s="1244"/>
      <c r="O339" s="143" t="s">
        <v>1960</v>
      </c>
      <c r="P339" s="1642"/>
      <c r="Q339" s="1674"/>
    </row>
    <row r="340" spans="1:31" ht="22.15" customHeight="1">
      <c r="B340" s="154" t="s">
        <v>2080</v>
      </c>
      <c r="C340" s="1618" t="s">
        <v>4179</v>
      </c>
      <c r="D340" s="1618"/>
      <c r="E340" s="1618"/>
      <c r="F340" s="1618"/>
      <c r="G340" s="1618"/>
      <c r="H340" s="1618"/>
      <c r="I340" s="1618"/>
      <c r="J340" s="1618"/>
      <c r="K340" s="1618"/>
      <c r="L340" s="1618"/>
      <c r="M340" s="1618"/>
      <c r="N340" s="1618"/>
      <c r="O340" s="177" t="s">
        <v>2080</v>
      </c>
      <c r="P340" s="1291" t="s">
        <v>3421</v>
      </c>
      <c r="Q340" s="631"/>
    </row>
    <row r="341" spans="1:31" ht="12" customHeight="1">
      <c r="B341" s="154" t="s">
        <v>2083</v>
      </c>
      <c r="C341" s="1618" t="s">
        <v>3302</v>
      </c>
      <c r="D341" s="1618"/>
      <c r="E341" s="1618"/>
      <c r="F341" s="1618"/>
      <c r="G341" s="1618"/>
      <c r="H341" s="1618"/>
      <c r="I341" s="1618"/>
      <c r="J341" s="1618"/>
      <c r="K341" s="1618"/>
      <c r="L341" s="1618"/>
      <c r="M341" s="1618"/>
      <c r="N341" s="1618"/>
      <c r="O341" s="177" t="s">
        <v>2083</v>
      </c>
      <c r="P341" s="1293" t="s">
        <v>3421</v>
      </c>
      <c r="Q341" s="632"/>
    </row>
    <row r="342" spans="1:31" ht="12" customHeight="1">
      <c r="B342" s="154" t="s">
        <v>788</v>
      </c>
      <c r="C342" s="1286" t="s">
        <v>3127</v>
      </c>
      <c r="D342" s="1286"/>
      <c r="E342" s="1286"/>
      <c r="F342" s="1286"/>
      <c r="G342" s="1286"/>
      <c r="H342" s="1286"/>
      <c r="I342" s="1286"/>
      <c r="J342" s="1286"/>
      <c r="K342" s="1286"/>
      <c r="L342" s="1286"/>
      <c r="M342" s="1286"/>
      <c r="O342" s="177" t="s">
        <v>788</v>
      </c>
      <c r="P342" s="1293" t="s">
        <v>3421</v>
      </c>
      <c r="Q342" s="632"/>
    </row>
    <row r="343" spans="1:31" ht="12" customHeight="1">
      <c r="B343" s="154" t="s">
        <v>2215</v>
      </c>
      <c r="C343" s="1618" t="s">
        <v>3033</v>
      </c>
      <c r="D343" s="1618"/>
      <c r="E343" s="1618"/>
      <c r="F343" s="1618"/>
      <c r="G343" s="1618"/>
      <c r="H343" s="1618"/>
      <c r="I343" s="1618"/>
      <c r="J343" s="1618"/>
      <c r="K343" s="1618"/>
      <c r="L343" s="1618"/>
      <c r="M343" s="1618"/>
      <c r="N343" s="1618"/>
      <c r="O343" s="177" t="s">
        <v>2215</v>
      </c>
      <c r="P343" s="1293" t="s">
        <v>3424</v>
      </c>
      <c r="Q343" s="632"/>
    </row>
    <row r="344" spans="1:31" ht="12" customHeight="1">
      <c r="B344" s="154" t="s">
        <v>1822</v>
      </c>
      <c r="C344" s="1618" t="s">
        <v>3128</v>
      </c>
      <c r="D344" s="1618"/>
      <c r="E344" s="1618"/>
      <c r="F344" s="1618"/>
      <c r="G344" s="1618"/>
      <c r="H344" s="1618"/>
      <c r="I344" s="1618"/>
      <c r="J344" s="1618"/>
      <c r="K344" s="1618"/>
      <c r="L344" s="1618"/>
      <c r="M344" s="1618"/>
      <c r="N344" s="1618"/>
      <c r="O344" s="177" t="s">
        <v>1822</v>
      </c>
      <c r="P344" s="1292" t="s">
        <v>3421</v>
      </c>
      <c r="Q344" s="633"/>
    </row>
    <row r="345" spans="1:31" ht="11.25" customHeight="1">
      <c r="B345" s="153" t="s">
        <v>1958</v>
      </c>
      <c r="D345" s="153"/>
      <c r="E345" s="153"/>
      <c r="F345" s="153"/>
      <c r="G345" s="153"/>
      <c r="H345" s="40"/>
      <c r="I345" s="787"/>
      <c r="J345" s="787"/>
      <c r="K345" s="787"/>
      <c r="L345" s="1238"/>
      <c r="M345" s="1238"/>
      <c r="N345" s="1238"/>
      <c r="O345" s="1238"/>
      <c r="P345" s="1238"/>
      <c r="Q345" s="1274"/>
    </row>
    <row r="346" spans="1:31" ht="39.75" customHeight="1">
      <c r="A346" s="1598" t="s">
        <v>4549</v>
      </c>
      <c r="B346" s="1599"/>
      <c r="C346" s="1599"/>
      <c r="D346" s="1599"/>
      <c r="E346" s="1599"/>
      <c r="F346" s="1599"/>
      <c r="G346" s="1599"/>
      <c r="H346" s="1599"/>
      <c r="I346" s="1599"/>
      <c r="J346" s="1599"/>
      <c r="K346" s="1599"/>
      <c r="L346" s="1599"/>
      <c r="M346" s="1599"/>
      <c r="N346" s="1599"/>
      <c r="O346" s="1599"/>
      <c r="P346" s="1599"/>
      <c r="Q346" s="1600"/>
      <c r="U346" s="148"/>
      <c r="V346" s="148"/>
      <c r="W346" s="148"/>
      <c r="X346" s="148"/>
      <c r="Y346" s="148"/>
      <c r="Z346" s="148"/>
      <c r="AA346" s="148"/>
      <c r="AB346" s="148"/>
      <c r="AC346" s="148"/>
      <c r="AD346" s="148"/>
      <c r="AE346" s="533"/>
    </row>
    <row r="347" spans="1:31" ht="11.25" customHeight="1">
      <c r="B347" s="149" t="s">
        <v>1959</v>
      </c>
      <c r="C347" s="150"/>
      <c r="D347" s="1244"/>
      <c r="E347" s="1244"/>
      <c r="F347" s="1244"/>
      <c r="G347" s="1244"/>
      <c r="H347" s="1244"/>
      <c r="I347" s="1244"/>
      <c r="J347" s="1244"/>
      <c r="K347" s="1244"/>
      <c r="L347" s="1244"/>
      <c r="M347" s="1244"/>
      <c r="N347" s="1244"/>
      <c r="O347" s="1244"/>
      <c r="P347" s="1244"/>
      <c r="Q347" s="1244"/>
    </row>
    <row r="348" spans="1:31" ht="11.45" customHeight="1">
      <c r="A348" s="1644"/>
      <c r="B348" s="1645"/>
      <c r="C348" s="1645"/>
      <c r="D348" s="1645"/>
      <c r="E348" s="1645"/>
      <c r="F348" s="1645"/>
      <c r="G348" s="1645"/>
      <c r="H348" s="1645"/>
      <c r="I348" s="1645"/>
      <c r="J348" s="1645"/>
      <c r="K348" s="1645"/>
      <c r="L348" s="1645"/>
      <c r="M348" s="1645"/>
      <c r="N348" s="1645"/>
      <c r="O348" s="1645"/>
      <c r="P348" s="1645"/>
      <c r="Q348" s="1646"/>
    </row>
    <row r="349" spans="1:31" ht="2.25" customHeight="1">
      <c r="A349" s="1238"/>
      <c r="B349" s="787"/>
      <c r="C349" s="1244"/>
      <c r="D349" s="1244"/>
      <c r="E349" s="1244"/>
      <c r="F349" s="1244"/>
      <c r="G349" s="1244"/>
      <c r="H349" s="1244"/>
      <c r="I349" s="1244"/>
      <c r="J349" s="1244"/>
      <c r="K349" s="1244"/>
      <c r="L349" s="1244"/>
      <c r="M349" s="1244"/>
      <c r="N349" s="1244"/>
      <c r="O349" s="1244"/>
      <c r="P349" s="1244"/>
      <c r="Q349" s="1274"/>
      <c r="R349" s="8"/>
      <c r="S349" s="8"/>
    </row>
    <row r="350" spans="1:31" ht="13.9" customHeight="1">
      <c r="A350" s="1246">
        <v>22</v>
      </c>
      <c r="B350" s="4" t="s">
        <v>2833</v>
      </c>
      <c r="C350" s="4"/>
      <c r="D350" s="4"/>
      <c r="E350" s="4"/>
      <c r="F350" s="4"/>
      <c r="G350" s="4"/>
      <c r="H350" s="1244"/>
      <c r="I350" s="1244"/>
      <c r="J350" s="1244"/>
      <c r="K350" s="1244"/>
      <c r="L350" s="1244"/>
      <c r="M350" s="1244"/>
      <c r="O350" s="143" t="s">
        <v>1960</v>
      </c>
      <c r="P350" s="1642"/>
      <c r="Q350" s="1674"/>
    </row>
    <row r="351" spans="1:31" ht="12" customHeight="1">
      <c r="B351" s="47" t="s">
        <v>2080</v>
      </c>
      <c r="C351" s="126" t="s">
        <v>2829</v>
      </c>
      <c r="D351" s="163"/>
      <c r="E351" s="163"/>
      <c r="F351" s="163"/>
      <c r="G351" s="163"/>
      <c r="H351" s="163"/>
      <c r="I351" s="42"/>
      <c r="J351" s="531" t="s">
        <v>2080</v>
      </c>
      <c r="K351" s="1595"/>
      <c r="L351" s="1596"/>
      <c r="M351" s="1596"/>
      <c r="N351" s="1596"/>
      <c r="O351" s="1596"/>
      <c r="P351" s="1597"/>
      <c r="Q351" s="2611"/>
    </row>
    <row r="352" spans="1:31" ht="22.5" customHeight="1">
      <c r="B352" s="154" t="s">
        <v>2083</v>
      </c>
      <c r="C352" s="1570" t="s">
        <v>2828</v>
      </c>
      <c r="D352" s="1570"/>
      <c r="E352" s="1570"/>
      <c r="F352" s="1570"/>
      <c r="G352" s="1570"/>
      <c r="H352" s="1570"/>
      <c r="I352" s="1570"/>
      <c r="J352" s="1570"/>
      <c r="K352" s="1570"/>
      <c r="L352" s="1570"/>
      <c r="M352" s="1570"/>
      <c r="N352" s="1570"/>
      <c r="O352" s="177" t="s">
        <v>2083</v>
      </c>
      <c r="P352" s="1296"/>
      <c r="Q352" s="631"/>
    </row>
    <row r="353" spans="1:32" ht="11.45" customHeight="1">
      <c r="B353" s="47" t="s">
        <v>788</v>
      </c>
      <c r="C353" s="53" t="s">
        <v>2830</v>
      </c>
      <c r="D353" s="53"/>
      <c r="E353" s="53"/>
      <c r="F353" s="53"/>
      <c r="G353" s="53"/>
      <c r="H353" s="53"/>
      <c r="I353" s="53"/>
      <c r="J353" s="53"/>
      <c r="K353" s="53"/>
      <c r="L353" s="1275"/>
      <c r="M353" s="1275"/>
      <c r="O353" s="531" t="s">
        <v>788</v>
      </c>
      <c r="P353" s="1293"/>
      <c r="Q353" s="632"/>
    </row>
    <row r="354" spans="1:32" ht="11.45" customHeight="1">
      <c r="B354" s="47" t="s">
        <v>2215</v>
      </c>
      <c r="C354" s="53" t="s">
        <v>2831</v>
      </c>
      <c r="D354" s="53"/>
      <c r="E354" s="53"/>
      <c r="F354" s="53"/>
      <c r="G354" s="53"/>
      <c r="H354" s="53"/>
      <c r="I354" s="53"/>
      <c r="J354" s="53"/>
      <c r="K354" s="53"/>
      <c r="L354" s="53"/>
      <c r="M354" s="53"/>
      <c r="O354" s="531" t="s">
        <v>2215</v>
      </c>
      <c r="P354" s="1293"/>
      <c r="Q354" s="632"/>
    </row>
    <row r="355" spans="1:32" s="144" customFormat="1" ht="11.45" customHeight="1">
      <c r="B355" s="154" t="s">
        <v>1822</v>
      </c>
      <c r="C355" s="1618" t="s">
        <v>2834</v>
      </c>
      <c r="D355" s="1618"/>
      <c r="E355" s="1618"/>
      <c r="F355" s="1618"/>
      <c r="G355" s="1618"/>
      <c r="H355" s="1618"/>
      <c r="I355" s="1618"/>
      <c r="J355" s="1618"/>
      <c r="K355" s="1618"/>
      <c r="L355" s="1618"/>
      <c r="M355" s="1618"/>
      <c r="N355" s="1618"/>
      <c r="O355" s="177" t="s">
        <v>1822</v>
      </c>
      <c r="P355" s="1294"/>
      <c r="Q355" s="634"/>
      <c r="AE355" s="534"/>
      <c r="AF355" s="534"/>
    </row>
    <row r="356" spans="1:32" s="144" customFormat="1" ht="11.45" customHeight="1">
      <c r="B356" s="154" t="s">
        <v>1823</v>
      </c>
      <c r="C356" s="1618" t="s">
        <v>2835</v>
      </c>
      <c r="D356" s="1618"/>
      <c r="E356" s="1618"/>
      <c r="F356" s="1618"/>
      <c r="G356" s="1618"/>
      <c r="H356" s="1618"/>
      <c r="I356" s="1618"/>
      <c r="J356" s="1618"/>
      <c r="K356" s="1618"/>
      <c r="L356" s="1618"/>
      <c r="M356" s="1618"/>
      <c r="N356" s="1618"/>
      <c r="O356" s="177" t="s">
        <v>1823</v>
      </c>
      <c r="P356" s="1294"/>
      <c r="Q356" s="634"/>
      <c r="AE356" s="534"/>
      <c r="AF356" s="534"/>
    </row>
    <row r="357" spans="1:32" ht="11.45" customHeight="1">
      <c r="B357" s="47" t="s">
        <v>2043</v>
      </c>
      <c r="C357" s="53" t="s">
        <v>2832</v>
      </c>
      <c r="D357" s="53"/>
      <c r="E357" s="53"/>
      <c r="F357" s="53"/>
      <c r="G357" s="53"/>
      <c r="H357" s="53"/>
      <c r="I357" s="53"/>
      <c r="J357" s="53"/>
      <c r="K357" s="53"/>
      <c r="L357" s="53"/>
      <c r="M357" s="53"/>
      <c r="O357" s="531" t="s">
        <v>2043</v>
      </c>
      <c r="P357" s="1292"/>
      <c r="Q357" s="633"/>
    </row>
    <row r="358" spans="1:32" ht="11.25" customHeight="1">
      <c r="B358" s="153" t="s">
        <v>1958</v>
      </c>
      <c r="D358" s="153"/>
      <c r="E358" s="153"/>
      <c r="F358" s="153"/>
      <c r="G358" s="153"/>
      <c r="H358" s="40"/>
      <c r="I358" s="787"/>
      <c r="J358" s="787"/>
      <c r="K358" s="787"/>
      <c r="L358" s="1238"/>
      <c r="M358" s="1238"/>
      <c r="N358" s="1238"/>
      <c r="O358" s="1238"/>
      <c r="P358" s="1238"/>
      <c r="Q358" s="1274"/>
    </row>
    <row r="359" spans="1:32" ht="11.45" customHeight="1">
      <c r="A359" s="1598" t="s">
        <v>1820</v>
      </c>
      <c r="B359" s="1599"/>
      <c r="C359" s="1599"/>
      <c r="D359" s="1599"/>
      <c r="E359" s="1599"/>
      <c r="F359" s="1599"/>
      <c r="G359" s="1599"/>
      <c r="H359" s="1599"/>
      <c r="I359" s="1599"/>
      <c r="J359" s="1599"/>
      <c r="K359" s="1599"/>
      <c r="L359" s="1599"/>
      <c r="M359" s="1599"/>
      <c r="N359" s="1599"/>
      <c r="O359" s="1599"/>
      <c r="P359" s="1599"/>
      <c r="Q359" s="1600"/>
      <c r="U359" s="148"/>
      <c r="V359" s="148"/>
      <c r="W359" s="148"/>
      <c r="X359" s="148"/>
      <c r="Y359" s="148"/>
      <c r="Z359" s="148"/>
      <c r="AA359" s="148"/>
      <c r="AB359" s="148"/>
      <c r="AC359" s="148"/>
      <c r="AD359" s="148"/>
      <c r="AE359" s="533"/>
    </row>
    <row r="360" spans="1:32" ht="11.25" customHeight="1">
      <c r="B360" s="149" t="s">
        <v>1959</v>
      </c>
      <c r="C360" s="150"/>
      <c r="D360" s="1244"/>
      <c r="E360" s="1244"/>
      <c r="F360" s="1244"/>
      <c r="G360" s="1244"/>
      <c r="H360" s="1244"/>
      <c r="I360" s="1244"/>
      <c r="J360" s="1244"/>
      <c r="K360" s="1244"/>
      <c r="L360" s="1244"/>
      <c r="M360" s="1244"/>
      <c r="N360" s="1244"/>
      <c r="O360" s="1244"/>
      <c r="P360" s="1244"/>
      <c r="Q360" s="1244"/>
    </row>
    <row r="361" spans="1:32" ht="11.45" customHeight="1">
      <c r="A361" s="1644"/>
      <c r="B361" s="1645"/>
      <c r="C361" s="1645"/>
      <c r="D361" s="1645"/>
      <c r="E361" s="1645"/>
      <c r="F361" s="1645"/>
      <c r="G361" s="1645"/>
      <c r="H361" s="1645"/>
      <c r="I361" s="1645"/>
      <c r="J361" s="1645"/>
      <c r="K361" s="1645"/>
      <c r="L361" s="1645"/>
      <c r="M361" s="1645"/>
      <c r="N361" s="1645"/>
      <c r="O361" s="1645"/>
      <c r="P361" s="1645"/>
      <c r="Q361" s="1646"/>
    </row>
    <row r="362" spans="1:32" ht="3" customHeight="1">
      <c r="A362" s="1238"/>
      <c r="B362" s="787"/>
      <c r="C362" s="1244"/>
      <c r="D362" s="1244"/>
      <c r="E362" s="1244"/>
      <c r="F362" s="1244"/>
      <c r="G362" s="1244"/>
      <c r="H362" s="1244"/>
      <c r="I362" s="1244"/>
      <c r="J362" s="1244"/>
      <c r="K362" s="1244"/>
      <c r="L362" s="1244"/>
      <c r="M362" s="1244"/>
      <c r="Q362" s="1274"/>
    </row>
    <row r="363" spans="1:32" ht="13.9" customHeight="1">
      <c r="A363" s="1246">
        <v>23</v>
      </c>
      <c r="B363" s="4" t="s">
        <v>2836</v>
      </c>
      <c r="C363" s="4"/>
      <c r="D363" s="4"/>
      <c r="E363" s="4"/>
      <c r="F363" s="4"/>
      <c r="G363" s="4"/>
      <c r="H363" s="1244"/>
      <c r="I363" s="1244"/>
      <c r="J363" s="1244"/>
      <c r="O363" s="143" t="s">
        <v>1960</v>
      </c>
      <c r="P363" s="1642"/>
      <c r="Q363" s="1674"/>
    </row>
    <row r="364" spans="1:32" ht="11.45" customHeight="1">
      <c r="B364" s="47" t="s">
        <v>2080</v>
      </c>
      <c r="C364" s="126" t="s">
        <v>1083</v>
      </c>
      <c r="E364" s="1649"/>
      <c r="F364" s="1650"/>
      <c r="G364" s="1650"/>
      <c r="H364" s="1650"/>
      <c r="I364" s="1651"/>
      <c r="J364" s="1621" t="s">
        <v>2810</v>
      </c>
      <c r="K364" s="1622"/>
      <c r="L364" s="1623"/>
      <c r="M364" s="1649"/>
      <c r="N364" s="1650"/>
      <c r="O364" s="1650"/>
      <c r="P364" s="1650"/>
      <c r="Q364" s="1651"/>
    </row>
    <row r="365" spans="1:32" ht="11.45" customHeight="1">
      <c r="B365" s="47" t="s">
        <v>2083</v>
      </c>
      <c r="C365" s="53" t="s">
        <v>4080</v>
      </c>
      <c r="D365" s="53"/>
      <c r="E365" s="53"/>
      <c r="F365" s="53"/>
      <c r="G365" s="53"/>
      <c r="H365" s="53"/>
      <c r="I365" s="53"/>
      <c r="J365" s="53"/>
      <c r="K365" s="53"/>
      <c r="L365" s="1275"/>
      <c r="M365" s="1275"/>
      <c r="O365" s="531" t="s">
        <v>2083</v>
      </c>
      <c r="P365" s="1291"/>
      <c r="Q365" s="631"/>
    </row>
    <row r="366" spans="1:32" ht="22.5" customHeight="1">
      <c r="B366" s="154" t="s">
        <v>788</v>
      </c>
      <c r="C366" s="1570" t="s">
        <v>4180</v>
      </c>
      <c r="D366" s="1570"/>
      <c r="E366" s="1570"/>
      <c r="F366" s="1570"/>
      <c r="G366" s="1570"/>
      <c r="H366" s="1570"/>
      <c r="I366" s="1570"/>
      <c r="J366" s="1570"/>
      <c r="K366" s="1570"/>
      <c r="L366" s="1570"/>
      <c r="M366" s="1570"/>
      <c r="N366" s="1570"/>
      <c r="O366" s="531" t="s">
        <v>788</v>
      </c>
      <c r="P366" s="1292"/>
      <c r="Q366" s="633"/>
    </row>
    <row r="367" spans="1:32">
      <c r="B367" s="47" t="s">
        <v>2215</v>
      </c>
      <c r="C367" s="1275" t="s">
        <v>4181</v>
      </c>
      <c r="D367" s="1239"/>
      <c r="E367" s="1634">
        <f>'Part III-Sources of Funds'!H10</f>
        <v>0</v>
      </c>
      <c r="F367" s="1635"/>
      <c r="G367" s="1239"/>
      <c r="H367" s="1239"/>
      <c r="I367" s="1239"/>
      <c r="J367" s="1239"/>
      <c r="K367" s="1239"/>
      <c r="L367" s="1239"/>
      <c r="M367" s="1239"/>
      <c r="N367" s="1239"/>
      <c r="O367" s="531" t="s">
        <v>2215</v>
      </c>
      <c r="P367" s="1292"/>
      <c r="Q367" s="633"/>
    </row>
    <row r="368" spans="1:32" ht="11.25" customHeight="1">
      <c r="B368" s="153" t="s">
        <v>1958</v>
      </c>
      <c r="D368" s="153"/>
      <c r="E368" s="153"/>
      <c r="F368" s="153"/>
      <c r="G368" s="153"/>
      <c r="H368" s="40"/>
      <c r="I368" s="787"/>
      <c r="J368" s="787"/>
      <c r="K368" s="787"/>
      <c r="L368" s="1238"/>
      <c r="M368" s="1238"/>
      <c r="N368" s="1238"/>
      <c r="O368" s="1238"/>
      <c r="P368" s="1238"/>
      <c r="Q368" s="1274"/>
    </row>
    <row r="369" spans="1:31" ht="11.45" customHeight="1">
      <c r="A369" s="1598" t="s">
        <v>1820</v>
      </c>
      <c r="B369" s="1599"/>
      <c r="C369" s="1599"/>
      <c r="D369" s="1599"/>
      <c r="E369" s="1599"/>
      <c r="F369" s="1599"/>
      <c r="G369" s="1599"/>
      <c r="H369" s="1599"/>
      <c r="I369" s="1599"/>
      <c r="J369" s="1599"/>
      <c r="K369" s="1599"/>
      <c r="L369" s="1599"/>
      <c r="M369" s="1599"/>
      <c r="N369" s="1599"/>
      <c r="O369" s="1599"/>
      <c r="P369" s="1599"/>
      <c r="Q369" s="1600"/>
      <c r="U369" s="148"/>
      <c r="V369" s="148"/>
      <c r="W369" s="148"/>
      <c r="X369" s="148"/>
      <c r="Y369" s="148"/>
      <c r="Z369" s="148"/>
      <c r="AA369" s="148"/>
      <c r="AB369" s="148"/>
      <c r="AC369" s="148"/>
      <c r="AD369" s="148"/>
      <c r="AE369" s="533"/>
    </row>
    <row r="370" spans="1:31" ht="11.25" customHeight="1">
      <c r="B370" s="149" t="s">
        <v>1959</v>
      </c>
      <c r="C370" s="150"/>
      <c r="D370" s="1244"/>
      <c r="E370" s="1244"/>
      <c r="F370" s="1244"/>
      <c r="G370" s="1244"/>
      <c r="H370" s="1244"/>
      <c r="I370" s="1244"/>
      <c r="J370" s="1244"/>
      <c r="K370" s="1244"/>
      <c r="L370" s="1244"/>
      <c r="M370" s="1244"/>
      <c r="N370" s="1244"/>
      <c r="O370" s="1244"/>
      <c r="P370" s="1244"/>
      <c r="Q370" s="1244"/>
    </row>
    <row r="371" spans="1:31" ht="11.45" customHeight="1">
      <c r="A371" s="1644"/>
      <c r="B371" s="1645"/>
      <c r="C371" s="1645"/>
      <c r="D371" s="1645"/>
      <c r="E371" s="1645"/>
      <c r="F371" s="1645"/>
      <c r="G371" s="1645"/>
      <c r="H371" s="1645"/>
      <c r="I371" s="1645"/>
      <c r="J371" s="1645"/>
      <c r="K371" s="1645"/>
      <c r="L371" s="1645"/>
      <c r="M371" s="1645"/>
      <c r="N371" s="1645"/>
      <c r="O371" s="1645"/>
      <c r="P371" s="1645"/>
      <c r="Q371" s="1646"/>
    </row>
    <row r="372" spans="1:31" ht="3.6" customHeight="1">
      <c r="A372" s="1238"/>
      <c r="B372" s="787"/>
      <c r="C372" s="1244"/>
      <c r="D372" s="1244"/>
      <c r="E372" s="1244"/>
      <c r="F372" s="1244"/>
      <c r="G372" s="1244"/>
      <c r="H372" s="1244"/>
      <c r="I372" s="1244"/>
      <c r="J372" s="1244"/>
      <c r="K372" s="1244"/>
      <c r="L372" s="1244"/>
      <c r="M372" s="1244"/>
      <c r="Q372" s="1274"/>
    </row>
    <row r="373" spans="1:31" ht="13.9" customHeight="1">
      <c r="A373" s="1246">
        <v>24</v>
      </c>
      <c r="B373" s="4" t="s">
        <v>2806</v>
      </c>
      <c r="C373" s="4"/>
      <c r="D373" s="4"/>
      <c r="E373" s="1244"/>
      <c r="G373" s="152" t="s">
        <v>738</v>
      </c>
      <c r="H373" s="1244"/>
      <c r="I373" s="1244"/>
      <c r="J373" s="1244"/>
      <c r="K373" s="1244"/>
      <c r="L373" s="1244"/>
      <c r="M373" s="1244"/>
      <c r="O373" s="143" t="s">
        <v>1960</v>
      </c>
      <c r="P373" s="1642"/>
      <c r="Q373" s="1643"/>
    </row>
    <row r="374" spans="1:31" ht="12" customHeight="1">
      <c r="A374" s="156"/>
      <c r="B374" s="47" t="s">
        <v>2080</v>
      </c>
      <c r="C374" s="53" t="s">
        <v>2812</v>
      </c>
      <c r="D374" s="1281"/>
      <c r="E374" s="1281"/>
      <c r="H374" s="152"/>
      <c r="O374" s="531" t="s">
        <v>2080</v>
      </c>
      <c r="P374" s="1291" t="s">
        <v>3421</v>
      </c>
      <c r="Q374" s="631"/>
    </row>
    <row r="375" spans="1:31" ht="12" customHeight="1">
      <c r="A375" s="156"/>
      <c r="B375" s="47" t="s">
        <v>2083</v>
      </c>
      <c r="C375" s="53" t="s">
        <v>2813</v>
      </c>
      <c r="D375" s="1281"/>
      <c r="E375" s="1281"/>
      <c r="O375" s="531" t="s">
        <v>2083</v>
      </c>
      <c r="P375" s="1293" t="s">
        <v>3424</v>
      </c>
      <c r="Q375" s="632"/>
    </row>
    <row r="376" spans="1:31" ht="12" customHeight="1">
      <c r="A376" s="156"/>
      <c r="B376" s="47" t="s">
        <v>788</v>
      </c>
      <c r="C376" s="53" t="s">
        <v>2837</v>
      </c>
      <c r="D376" s="1281"/>
      <c r="E376" s="1281"/>
      <c r="O376" s="531" t="s">
        <v>788</v>
      </c>
      <c r="P376" s="1293" t="s">
        <v>3424</v>
      </c>
      <c r="Q376" s="632"/>
    </row>
    <row r="377" spans="1:31" ht="12" customHeight="1">
      <c r="A377" s="156"/>
      <c r="B377" s="47" t="s">
        <v>2215</v>
      </c>
      <c r="C377" s="53" t="s">
        <v>2809</v>
      </c>
      <c r="E377" s="152"/>
      <c r="O377" s="531" t="s">
        <v>2215</v>
      </c>
      <c r="P377" s="1293" t="s">
        <v>3424</v>
      </c>
      <c r="Q377" s="632"/>
    </row>
    <row r="378" spans="1:31" ht="12" customHeight="1">
      <c r="B378" s="47" t="s">
        <v>1822</v>
      </c>
      <c r="C378" s="53" t="s">
        <v>2179</v>
      </c>
      <c r="E378" s="152"/>
      <c r="G378" s="531" t="s">
        <v>1822</v>
      </c>
      <c r="H378" s="1685" t="s">
        <v>1820</v>
      </c>
      <c r="I378" s="1686"/>
      <c r="J378" s="1686"/>
      <c r="K378" s="1686"/>
      <c r="L378" s="1686"/>
      <c r="M378" s="1686"/>
      <c r="N378" s="1686"/>
      <c r="O378" s="1687"/>
      <c r="P378" s="1292" t="s">
        <v>3424</v>
      </c>
      <c r="Q378" s="633"/>
    </row>
    <row r="379" spans="1:31" ht="11.25" customHeight="1">
      <c r="B379" s="153" t="s">
        <v>1958</v>
      </c>
      <c r="D379" s="153"/>
      <c r="E379" s="153"/>
      <c r="F379" s="153"/>
      <c r="G379" s="153"/>
      <c r="H379" s="40"/>
      <c r="I379" s="787"/>
      <c r="J379" s="787"/>
      <c r="K379" s="787"/>
      <c r="L379" s="1238"/>
      <c r="M379" s="1238"/>
      <c r="N379" s="1238"/>
      <c r="O379" s="1238"/>
      <c r="P379" s="1238"/>
      <c r="Q379" s="1274"/>
    </row>
    <row r="380" spans="1:31" ht="11.45" customHeight="1">
      <c r="A380" s="1598" t="s">
        <v>4462</v>
      </c>
      <c r="B380" s="1599"/>
      <c r="C380" s="1599"/>
      <c r="D380" s="1599"/>
      <c r="E380" s="1599"/>
      <c r="F380" s="1599"/>
      <c r="G380" s="1599"/>
      <c r="H380" s="1599"/>
      <c r="I380" s="1599"/>
      <c r="J380" s="1599"/>
      <c r="K380" s="1599"/>
      <c r="L380" s="1599"/>
      <c r="M380" s="1599"/>
      <c r="N380" s="1599"/>
      <c r="O380" s="1599"/>
      <c r="P380" s="1599"/>
      <c r="Q380" s="1600"/>
      <c r="U380" s="148"/>
      <c r="V380" s="148"/>
      <c r="W380" s="148"/>
      <c r="X380" s="148"/>
      <c r="Y380" s="148"/>
      <c r="Z380" s="148"/>
      <c r="AA380" s="148"/>
      <c r="AB380" s="148"/>
      <c r="AC380" s="148"/>
      <c r="AD380" s="148"/>
      <c r="AE380" s="533"/>
    </row>
    <row r="381" spans="1:31" ht="11.25" customHeight="1">
      <c r="B381" s="149" t="s">
        <v>1959</v>
      </c>
      <c r="C381" s="150"/>
      <c r="D381" s="1244"/>
      <c r="E381" s="1244"/>
      <c r="F381" s="1244"/>
      <c r="G381" s="1244"/>
      <c r="H381" s="1244"/>
      <c r="I381" s="1244"/>
      <c r="J381" s="1244"/>
      <c r="K381" s="1244"/>
      <c r="L381" s="1244"/>
      <c r="M381" s="1244"/>
      <c r="N381" s="1244"/>
      <c r="O381" s="1244"/>
      <c r="P381" s="1244"/>
      <c r="Q381" s="1244"/>
    </row>
    <row r="382" spans="1:31" ht="11.45" customHeight="1">
      <c r="A382" s="1644"/>
      <c r="B382" s="1645"/>
      <c r="C382" s="1645"/>
      <c r="D382" s="1645"/>
      <c r="E382" s="1645"/>
      <c r="F382" s="1645"/>
      <c r="G382" s="1645"/>
      <c r="H382" s="1645"/>
      <c r="I382" s="1645"/>
      <c r="J382" s="1645"/>
      <c r="K382" s="1645"/>
      <c r="L382" s="1645"/>
      <c r="M382" s="1645"/>
      <c r="N382" s="1645"/>
      <c r="O382" s="1645"/>
      <c r="P382" s="1645"/>
      <c r="Q382" s="1646"/>
    </row>
    <row r="383" spans="1:31" ht="3" customHeight="1">
      <c r="A383" s="1238"/>
      <c r="B383" s="787"/>
      <c r="C383" s="1244"/>
      <c r="D383" s="1244"/>
      <c r="E383" s="1244"/>
      <c r="F383" s="1244"/>
      <c r="G383" s="1244"/>
      <c r="H383" s="1244"/>
      <c r="I383" s="1244"/>
      <c r="J383" s="1244"/>
      <c r="K383" s="1244"/>
      <c r="L383" s="1244"/>
      <c r="M383" s="1244"/>
      <c r="N383" s="1244"/>
      <c r="O383" s="1244"/>
      <c r="P383" s="1244"/>
      <c r="Q383" s="1238"/>
    </row>
    <row r="384" spans="1:31" ht="13.9" customHeight="1">
      <c r="A384" s="1246">
        <v>25</v>
      </c>
      <c r="B384" s="4" t="s">
        <v>2807</v>
      </c>
      <c r="C384" s="4"/>
      <c r="D384" s="4"/>
      <c r="E384" s="4"/>
      <c r="F384" s="4"/>
      <c r="G384" s="4"/>
      <c r="H384" s="1244"/>
      <c r="I384" s="1244"/>
      <c r="J384" s="1244"/>
      <c r="K384" s="1244"/>
      <c r="L384" s="1244"/>
      <c r="M384" s="1244"/>
      <c r="O384" s="143" t="s">
        <v>1960</v>
      </c>
      <c r="P384" s="1642"/>
      <c r="Q384" s="1643"/>
    </row>
    <row r="385" spans="1:32" ht="12" customHeight="1">
      <c r="A385" s="42"/>
      <c r="B385" s="47" t="s">
        <v>2080</v>
      </c>
      <c r="C385" s="39" t="s">
        <v>791</v>
      </c>
      <c r="D385" s="42"/>
      <c r="E385" s="42"/>
      <c r="F385" s="42"/>
      <c r="G385" s="42"/>
      <c r="H385" s="42"/>
      <c r="I385" s="42"/>
      <c r="J385" s="42"/>
      <c r="K385" s="42"/>
      <c r="L385" s="42"/>
      <c r="M385" s="42"/>
      <c r="N385" s="42"/>
      <c r="O385" s="531" t="s">
        <v>2080</v>
      </c>
      <c r="P385" s="1291" t="s">
        <v>3421</v>
      </c>
      <c r="Q385" s="631"/>
    </row>
    <row r="386" spans="1:32" ht="12" customHeight="1">
      <c r="A386" s="42"/>
      <c r="B386" s="47" t="s">
        <v>2083</v>
      </c>
      <c r="C386" s="36" t="s">
        <v>4186</v>
      </c>
      <c r="D386" s="42"/>
      <c r="E386" s="42"/>
      <c r="F386" s="42"/>
      <c r="G386" s="42"/>
      <c r="H386" s="42"/>
      <c r="I386" s="42"/>
      <c r="J386" s="42"/>
      <c r="K386" s="42"/>
      <c r="L386" s="42"/>
      <c r="M386" s="42"/>
      <c r="N386" s="42"/>
      <c r="O386" s="531" t="s">
        <v>1519</v>
      </c>
      <c r="P386" s="1292" t="s">
        <v>3424</v>
      </c>
      <c r="Q386" s="633"/>
    </row>
    <row r="387" spans="1:32" ht="12" customHeight="1">
      <c r="A387" s="42"/>
      <c r="B387" s="47"/>
      <c r="C387" s="53" t="s">
        <v>1558</v>
      </c>
      <c r="D387" s="53"/>
      <c r="E387" s="53"/>
      <c r="F387" s="53"/>
      <c r="G387" s="53"/>
      <c r="H387" s="53"/>
      <c r="I387" s="53"/>
      <c r="J387" s="53"/>
      <c r="K387" s="53"/>
      <c r="L387" s="53"/>
      <c r="M387" s="53"/>
      <c r="N387" s="42"/>
    </row>
    <row r="388" spans="1:32" ht="12" customHeight="1">
      <c r="A388" s="42"/>
      <c r="B388" s="47"/>
      <c r="C388" s="53" t="s">
        <v>2305</v>
      </c>
      <c r="D388" s="53" t="s">
        <v>4182</v>
      </c>
      <c r="E388" s="53"/>
      <c r="F388" s="53"/>
      <c r="G388" s="53"/>
      <c r="H388" s="53"/>
      <c r="I388" s="53"/>
      <c r="J388" s="53"/>
      <c r="K388" s="53"/>
      <c r="L388" s="53"/>
      <c r="M388" s="53"/>
      <c r="N388" s="42"/>
      <c r="O388" s="531" t="s">
        <v>1825</v>
      </c>
      <c r="P388" s="1291"/>
      <c r="Q388" s="631"/>
    </row>
    <row r="389" spans="1:32" s="160" customFormat="1" ht="12" customHeight="1">
      <c r="A389" s="100"/>
      <c r="B389" s="47"/>
      <c r="C389" s="53" t="s">
        <v>4185</v>
      </c>
      <c r="D389" s="53"/>
      <c r="E389" s="53"/>
      <c r="F389" s="53"/>
      <c r="G389" s="53"/>
      <c r="H389" s="53"/>
      <c r="I389" s="53"/>
      <c r="J389" s="53"/>
      <c r="K389" s="53"/>
      <c r="L389" s="53"/>
      <c r="M389" s="53"/>
      <c r="N389" s="100"/>
      <c r="O389" s="531" t="s">
        <v>1826</v>
      </c>
      <c r="P389" s="1299" t="s">
        <v>3424</v>
      </c>
      <c r="Q389" s="2616"/>
      <c r="AE389" s="1270"/>
      <c r="AF389" s="1270"/>
    </row>
    <row r="390" spans="1:32" ht="12" customHeight="1">
      <c r="A390" s="42"/>
      <c r="B390" s="47" t="s">
        <v>788</v>
      </c>
      <c r="C390" s="1570" t="s">
        <v>2304</v>
      </c>
      <c r="D390" s="1570"/>
      <c r="E390" s="1570"/>
      <c r="F390" s="1570"/>
      <c r="G390" s="1570"/>
      <c r="H390" s="1570"/>
      <c r="I390" s="1570"/>
      <c r="J390" s="1570"/>
      <c r="K390" s="1570"/>
      <c r="L390" s="1570"/>
      <c r="M390" s="1570"/>
      <c r="N390" s="1570"/>
      <c r="O390" s="531" t="s">
        <v>788</v>
      </c>
      <c r="P390" s="1292" t="s">
        <v>3421</v>
      </c>
      <c r="Q390" s="633"/>
    </row>
    <row r="391" spans="1:32" ht="12" customHeight="1">
      <c r="A391" s="42"/>
      <c r="B391" s="47" t="s">
        <v>2215</v>
      </c>
      <c r="C391" s="1275" t="s">
        <v>3129</v>
      </c>
      <c r="D391" s="1275"/>
      <c r="E391" s="1275"/>
      <c r="F391" s="1275"/>
      <c r="G391" s="1275"/>
      <c r="H391" s="1275"/>
      <c r="I391" s="1275"/>
      <c r="J391" s="1275"/>
      <c r="K391" s="1275"/>
      <c r="L391" s="1275"/>
      <c r="M391" s="1275"/>
      <c r="N391" s="42"/>
      <c r="O391" s="531"/>
      <c r="P391" s="42"/>
      <c r="Q391" s="42"/>
    </row>
    <row r="392" spans="1:32" ht="12" customHeight="1">
      <c r="A392" s="42"/>
      <c r="B392" s="47"/>
      <c r="C392" s="146" t="s">
        <v>2306</v>
      </c>
      <c r="D392" s="36"/>
      <c r="E392" s="42"/>
      <c r="F392" s="1275"/>
      <c r="G392" s="1300">
        <v>7</v>
      </c>
      <c r="H392" s="2638" t="s">
        <v>254</v>
      </c>
      <c r="J392" s="146" t="s">
        <v>2309</v>
      </c>
      <c r="K392" s="1275"/>
      <c r="N392" s="1300" t="s">
        <v>4445</v>
      </c>
      <c r="O392" s="2638" t="s">
        <v>254</v>
      </c>
    </row>
    <row r="393" spans="1:32" ht="12" customHeight="1">
      <c r="A393" s="42"/>
      <c r="B393" s="47"/>
      <c r="C393" s="146" t="s">
        <v>2307</v>
      </c>
      <c r="D393" s="36"/>
      <c r="E393" s="42"/>
      <c r="F393" s="1275"/>
      <c r="G393" s="1301">
        <v>13</v>
      </c>
      <c r="H393" s="2639"/>
      <c r="J393" s="146" t="s">
        <v>2310</v>
      </c>
      <c r="K393" s="1275"/>
      <c r="N393" s="1302">
        <v>1</v>
      </c>
      <c r="O393" s="2640"/>
    </row>
    <row r="394" spans="1:32" ht="12" customHeight="1">
      <c r="A394" s="42"/>
      <c r="B394" s="47"/>
      <c r="C394" s="146" t="s">
        <v>2308</v>
      </c>
      <c r="D394" s="36"/>
      <c r="E394" s="42"/>
      <c r="F394" s="1275"/>
      <c r="G394" s="1302">
        <v>2</v>
      </c>
      <c r="H394" s="2640" t="s">
        <v>254</v>
      </c>
      <c r="K394" s="1275"/>
      <c r="L394" s="1275"/>
      <c r="M394" s="1275"/>
      <c r="N394" s="42"/>
      <c r="O394" s="531"/>
    </row>
    <row r="395" spans="1:32" ht="12" customHeight="1">
      <c r="A395" s="42"/>
      <c r="B395" s="47" t="s">
        <v>1822</v>
      </c>
      <c r="C395" s="1275" t="s">
        <v>2498</v>
      </c>
      <c r="D395" s="1275"/>
      <c r="E395" s="1275"/>
      <c r="F395" s="1275"/>
      <c r="G395" s="1275"/>
      <c r="J395" s="42"/>
      <c r="K395" s="1275"/>
      <c r="L395" s="1275"/>
      <c r="M395" s="1275"/>
      <c r="N395" s="42"/>
      <c r="O395" s="531"/>
      <c r="P395" s="531"/>
      <c r="Q395" s="531"/>
    </row>
    <row r="396" spans="1:32" ht="12" customHeight="1">
      <c r="A396" s="42"/>
      <c r="B396" s="47"/>
      <c r="C396" s="484" t="s">
        <v>2311</v>
      </c>
      <c r="D396" s="1275"/>
      <c r="E396" s="1275"/>
      <c r="F396" s="1275"/>
      <c r="G396" s="1291" t="s">
        <v>3421</v>
      </c>
      <c r="H396" s="631"/>
      <c r="J396" s="484" t="s">
        <v>1237</v>
      </c>
      <c r="K396" s="1275"/>
      <c r="N396" s="1299" t="s">
        <v>3421</v>
      </c>
      <c r="O396" s="2616"/>
    </row>
    <row r="397" spans="1:32" ht="12" customHeight="1">
      <c r="A397" s="42"/>
      <c r="B397" s="47"/>
      <c r="C397" s="484" t="s">
        <v>1236</v>
      </c>
      <c r="D397" s="1275"/>
      <c r="E397" s="1275"/>
      <c r="F397" s="1275"/>
      <c r="G397" s="1292" t="s">
        <v>3421</v>
      </c>
      <c r="H397" s="633"/>
      <c r="J397" s="484" t="s">
        <v>2361</v>
      </c>
      <c r="N397" s="1653"/>
      <c r="O397" s="1654"/>
      <c r="P397" s="1654"/>
      <c r="Q397" s="1655"/>
    </row>
    <row r="398" spans="1:32" ht="12" customHeight="1">
      <c r="B398" s="153" t="s">
        <v>1958</v>
      </c>
      <c r="D398" s="153"/>
      <c r="E398" s="153"/>
      <c r="F398" s="153"/>
      <c r="G398" s="153"/>
      <c r="H398" s="40"/>
      <c r="I398" s="787"/>
      <c r="J398" s="787"/>
      <c r="K398" s="787"/>
      <c r="P398" s="1238"/>
      <c r="Q398" s="1274"/>
    </row>
    <row r="399" spans="1:32" ht="53.25" customHeight="1">
      <c r="A399" s="1598" t="s">
        <v>4554</v>
      </c>
      <c r="B399" s="1599"/>
      <c r="C399" s="1599"/>
      <c r="D399" s="1599"/>
      <c r="E399" s="1599"/>
      <c r="F399" s="1599"/>
      <c r="G399" s="1599"/>
      <c r="H399" s="1599"/>
      <c r="I399" s="1599"/>
      <c r="J399" s="1599"/>
      <c r="K399" s="1599"/>
      <c r="L399" s="1599"/>
      <c r="M399" s="1599"/>
      <c r="N399" s="1599"/>
      <c r="O399" s="1599"/>
      <c r="P399" s="1599"/>
      <c r="Q399" s="1600"/>
      <c r="U399" s="148"/>
      <c r="V399" s="148"/>
      <c r="W399" s="148"/>
      <c r="X399" s="148"/>
      <c r="Y399" s="148"/>
      <c r="Z399" s="148"/>
      <c r="AA399" s="148"/>
      <c r="AB399" s="148"/>
      <c r="AC399" s="148"/>
      <c r="AD399" s="148"/>
      <c r="AE399" s="533"/>
    </row>
    <row r="400" spans="1:32" ht="12" customHeight="1">
      <c r="B400" s="149" t="s">
        <v>1959</v>
      </c>
      <c r="C400" s="150"/>
      <c r="D400" s="1244"/>
      <c r="E400" s="1244"/>
      <c r="F400" s="1244"/>
      <c r="G400" s="1244"/>
      <c r="H400" s="1244"/>
      <c r="I400" s="1244"/>
      <c r="J400" s="1244"/>
      <c r="K400" s="1244"/>
      <c r="L400" s="1244"/>
      <c r="M400" s="1244"/>
      <c r="N400" s="1244"/>
      <c r="O400" s="1244"/>
      <c r="P400" s="1244"/>
      <c r="Q400" s="1244"/>
    </row>
    <row r="401" spans="1:32" ht="12" customHeight="1">
      <c r="A401" s="1644"/>
      <c r="B401" s="1645"/>
      <c r="C401" s="1645"/>
      <c r="D401" s="1645"/>
      <c r="E401" s="1645"/>
      <c r="F401" s="1645"/>
      <c r="G401" s="1645"/>
      <c r="H401" s="1645"/>
      <c r="I401" s="1645"/>
      <c r="J401" s="1645"/>
      <c r="K401" s="1645"/>
      <c r="L401" s="1645"/>
      <c r="M401" s="1645"/>
      <c r="N401" s="1645"/>
      <c r="O401" s="1645"/>
      <c r="P401" s="1645"/>
      <c r="Q401" s="1646"/>
    </row>
    <row r="402" spans="1:32" ht="3" customHeight="1">
      <c r="A402" s="1238"/>
      <c r="B402" s="787"/>
      <c r="C402" s="1244"/>
      <c r="D402" s="1244"/>
      <c r="E402" s="1244"/>
      <c r="F402" s="1244"/>
      <c r="G402" s="1244"/>
      <c r="H402" s="1244"/>
      <c r="I402" s="1244"/>
      <c r="J402" s="1244"/>
      <c r="K402" s="1244"/>
      <c r="L402" s="1244"/>
      <c r="M402" s="1244"/>
      <c r="Q402" s="1274"/>
    </row>
    <row r="403" spans="1:32" ht="13.9" customHeight="1">
      <c r="A403" s="1246">
        <v>26</v>
      </c>
      <c r="B403" s="4" t="s">
        <v>3130</v>
      </c>
      <c r="C403" s="4"/>
      <c r="D403" s="91"/>
      <c r="E403" s="1244"/>
      <c r="F403" s="1244"/>
      <c r="G403" s="1244"/>
      <c r="H403" s="1244"/>
      <c r="O403" s="143" t="s">
        <v>1960</v>
      </c>
      <c r="P403" s="1642"/>
      <c r="Q403" s="1674"/>
    </row>
    <row r="404" spans="1:32" ht="13.9" customHeight="1">
      <c r="A404" s="1246"/>
      <c r="B404" s="91" t="s">
        <v>3839</v>
      </c>
      <c r="C404" s="4"/>
      <c r="D404" s="91"/>
      <c r="E404" s="1244"/>
      <c r="F404" s="1244"/>
      <c r="G404" s="1244"/>
      <c r="H404" s="1244"/>
    </row>
    <row r="405" spans="1:32" s="144" customFormat="1" ht="21.75" customHeight="1">
      <c r="B405" s="154" t="s">
        <v>2080</v>
      </c>
      <c r="C405" s="1619" t="s">
        <v>3840</v>
      </c>
      <c r="D405" s="1619"/>
      <c r="E405" s="1619"/>
      <c r="F405" s="1619"/>
      <c r="G405" s="1619"/>
      <c r="H405" s="1619"/>
      <c r="I405" s="1619"/>
      <c r="J405" s="1619"/>
      <c r="K405" s="1619"/>
      <c r="L405" s="1619"/>
      <c r="M405" s="1619"/>
      <c r="N405" s="1619"/>
      <c r="O405" s="177" t="s">
        <v>2080</v>
      </c>
      <c r="P405" s="1296" t="s">
        <v>4442</v>
      </c>
      <c r="Q405" s="2627"/>
      <c r="AE405" s="534"/>
      <c r="AF405" s="534"/>
    </row>
    <row r="406" spans="1:32" s="144" customFormat="1">
      <c r="B406" s="154" t="s">
        <v>2083</v>
      </c>
      <c r="C406" s="1619" t="s">
        <v>4183</v>
      </c>
      <c r="D406" s="1619"/>
      <c r="E406" s="1619"/>
      <c r="F406" s="1619"/>
      <c r="G406" s="1619"/>
      <c r="H406" s="1619"/>
      <c r="I406" s="1619"/>
      <c r="J406" s="1619"/>
      <c r="K406" s="1619"/>
      <c r="L406" s="1619"/>
      <c r="M406" s="1619"/>
      <c r="N406" s="1619"/>
      <c r="O406" s="177" t="s">
        <v>2083</v>
      </c>
      <c r="P406" s="1294" t="s">
        <v>4442</v>
      </c>
      <c r="Q406" s="634"/>
      <c r="AE406" s="534"/>
      <c r="AF406" s="534"/>
    </row>
    <row r="407" spans="1:32" s="144" customFormat="1">
      <c r="B407" s="154" t="s">
        <v>788</v>
      </c>
      <c r="C407" s="1619" t="s">
        <v>4184</v>
      </c>
      <c r="D407" s="1619"/>
      <c r="E407" s="1619"/>
      <c r="F407" s="1619"/>
      <c r="G407" s="1619"/>
      <c r="H407" s="1619"/>
      <c r="I407" s="1619"/>
      <c r="J407" s="1619"/>
      <c r="K407" s="1619"/>
      <c r="L407" s="1619"/>
      <c r="M407" s="1619"/>
      <c r="N407" s="1619"/>
      <c r="O407" s="177" t="s">
        <v>788</v>
      </c>
      <c r="P407" s="1294" t="s">
        <v>4442</v>
      </c>
      <c r="Q407" s="634"/>
      <c r="AE407" s="534"/>
      <c r="AF407" s="534"/>
    </row>
    <row r="408" spans="1:32" s="144" customFormat="1" ht="22.5" customHeight="1">
      <c r="B408" s="154" t="s">
        <v>2215</v>
      </c>
      <c r="C408" s="1619" t="s">
        <v>3841</v>
      </c>
      <c r="D408" s="1619"/>
      <c r="E408" s="1619"/>
      <c r="F408" s="1619"/>
      <c r="G408" s="1619"/>
      <c r="H408" s="1619"/>
      <c r="I408" s="1619"/>
      <c r="J408" s="1619"/>
      <c r="K408" s="1619"/>
      <c r="L408" s="1619"/>
      <c r="M408" s="1619"/>
      <c r="N408" s="1619"/>
      <c r="O408" s="177" t="s">
        <v>2215</v>
      </c>
      <c r="P408" s="1294" t="s">
        <v>4442</v>
      </c>
      <c r="Q408" s="634"/>
      <c r="AE408" s="534"/>
      <c r="AF408" s="534"/>
    </row>
    <row r="409" spans="1:32" s="144" customFormat="1">
      <c r="B409" s="154" t="s">
        <v>1822</v>
      </c>
      <c r="C409" s="1619" t="s">
        <v>3842</v>
      </c>
      <c r="D409" s="1619"/>
      <c r="E409" s="1619"/>
      <c r="F409" s="1619"/>
      <c r="G409" s="1619"/>
      <c r="H409" s="1619"/>
      <c r="I409" s="1619"/>
      <c r="J409" s="1619"/>
      <c r="K409" s="1619"/>
      <c r="L409" s="1619"/>
      <c r="M409" s="1619"/>
      <c r="N409" s="1619"/>
      <c r="O409" s="177" t="s">
        <v>1822</v>
      </c>
      <c r="P409" s="1294" t="s">
        <v>4442</v>
      </c>
      <c r="Q409" s="634"/>
      <c r="AE409" s="534"/>
      <c r="AF409" s="534"/>
    </row>
    <row r="410" spans="1:32" s="144" customFormat="1">
      <c r="B410" s="154" t="s">
        <v>1823</v>
      </c>
      <c r="C410" s="1619" t="s">
        <v>3843</v>
      </c>
      <c r="D410" s="1619"/>
      <c r="E410" s="1619"/>
      <c r="F410" s="1619"/>
      <c r="G410" s="1619"/>
      <c r="H410" s="1619"/>
      <c r="I410" s="1619"/>
      <c r="J410" s="1619"/>
      <c r="K410" s="1619"/>
      <c r="L410" s="1619"/>
      <c r="M410" s="1619"/>
      <c r="N410" s="1619"/>
      <c r="O410" s="177" t="s">
        <v>1823</v>
      </c>
      <c r="P410" s="1294" t="s">
        <v>4442</v>
      </c>
      <c r="Q410" s="634"/>
      <c r="AE410" s="534"/>
      <c r="AF410" s="534"/>
    </row>
    <row r="411" spans="1:32" s="144" customFormat="1" ht="21.75" customHeight="1">
      <c r="B411" s="154" t="s">
        <v>2043</v>
      </c>
      <c r="C411" s="1619" t="s">
        <v>4187</v>
      </c>
      <c r="D411" s="1619"/>
      <c r="E411" s="1619"/>
      <c r="F411" s="1619"/>
      <c r="G411" s="1619"/>
      <c r="H411" s="1619"/>
      <c r="I411" s="1619"/>
      <c r="J411" s="1619"/>
      <c r="K411" s="1619"/>
      <c r="L411" s="1619"/>
      <c r="M411" s="1619"/>
      <c r="N411" s="1619"/>
      <c r="O411" s="177" t="s">
        <v>2043</v>
      </c>
      <c r="P411" s="1297" t="s">
        <v>4442</v>
      </c>
      <c r="Q411" s="2628"/>
      <c r="AE411" s="534"/>
      <c r="AF411" s="534"/>
    </row>
    <row r="412" spans="1:32" ht="11.25" customHeight="1">
      <c r="B412" s="153" t="s">
        <v>1958</v>
      </c>
      <c r="D412" s="153"/>
      <c r="E412" s="153"/>
      <c r="F412" s="153"/>
      <c r="G412" s="153"/>
      <c r="H412" s="40"/>
      <c r="I412" s="787"/>
      <c r="J412" s="787"/>
      <c r="K412" s="787"/>
      <c r="L412" s="1238"/>
      <c r="M412" s="1238"/>
      <c r="N412" s="1238"/>
      <c r="O412" s="1238"/>
      <c r="P412" s="1238"/>
      <c r="Q412" s="1274"/>
    </row>
    <row r="413" spans="1:32" ht="11.45" customHeight="1">
      <c r="A413" s="1598" t="s">
        <v>4463</v>
      </c>
      <c r="B413" s="1599"/>
      <c r="C413" s="1599"/>
      <c r="D413" s="1599"/>
      <c r="E413" s="1599"/>
      <c r="F413" s="1599"/>
      <c r="G413" s="1599"/>
      <c r="H413" s="1599"/>
      <c r="I413" s="1599"/>
      <c r="J413" s="1599"/>
      <c r="K413" s="1599"/>
      <c r="L413" s="1599"/>
      <c r="M413" s="1599"/>
      <c r="N413" s="1599"/>
      <c r="O413" s="1599"/>
      <c r="P413" s="1599"/>
      <c r="Q413" s="1600"/>
      <c r="R413" s="501" t="s">
        <v>1313</v>
      </c>
      <c r="S413" s="502"/>
      <c r="U413" s="148"/>
      <c r="V413" s="148"/>
      <c r="W413" s="148"/>
      <c r="X413" s="148"/>
      <c r="Y413" s="148"/>
      <c r="Z413" s="148"/>
      <c r="AA413" s="148"/>
      <c r="AB413" s="148"/>
      <c r="AC413" s="148"/>
      <c r="AD413" s="148"/>
      <c r="AE413" s="533"/>
    </row>
    <row r="414" spans="1:32" ht="11.25" customHeight="1">
      <c r="B414" s="149" t="s">
        <v>1959</v>
      </c>
      <c r="C414" s="150"/>
      <c r="D414" s="1244"/>
      <c r="E414" s="1244"/>
      <c r="F414" s="1244"/>
      <c r="G414" s="1244"/>
      <c r="H414" s="1244"/>
      <c r="I414" s="1244"/>
      <c r="J414" s="1244"/>
      <c r="K414" s="1244"/>
      <c r="L414" s="1244"/>
      <c r="M414" s="1244"/>
      <c r="N414" s="1244"/>
      <c r="O414" s="1244"/>
      <c r="P414" s="1244"/>
      <c r="Q414" s="1244"/>
    </row>
    <row r="415" spans="1:32" ht="11.45" customHeight="1">
      <c r="A415" s="1644"/>
      <c r="B415" s="1645"/>
      <c r="C415" s="1645"/>
      <c r="D415" s="1645"/>
      <c r="E415" s="1645"/>
      <c r="F415" s="1645"/>
      <c r="G415" s="1645"/>
      <c r="H415" s="1645"/>
      <c r="I415" s="1645"/>
      <c r="J415" s="1645"/>
      <c r="K415" s="1645"/>
      <c r="L415" s="1645"/>
      <c r="M415" s="1645"/>
      <c r="N415" s="1645"/>
      <c r="O415" s="1645"/>
      <c r="P415" s="1645"/>
      <c r="Q415" s="1646"/>
    </row>
    <row r="416" spans="1:32" ht="3" customHeight="1">
      <c r="A416" s="1238"/>
      <c r="B416" s="787"/>
      <c r="C416" s="1244"/>
      <c r="D416" s="1244"/>
      <c r="E416" s="1244"/>
      <c r="F416" s="1244"/>
      <c r="G416" s="1244"/>
      <c r="H416" s="1244"/>
      <c r="I416" s="1244"/>
      <c r="J416" s="1244"/>
      <c r="K416" s="1244"/>
      <c r="L416" s="1244"/>
      <c r="M416" s="1244"/>
      <c r="Q416" s="1274"/>
    </row>
    <row r="417" spans="1:32" ht="13.9" customHeight="1">
      <c r="A417" s="1246">
        <v>27</v>
      </c>
      <c r="B417" s="4" t="s">
        <v>2808</v>
      </c>
      <c r="C417" s="4"/>
      <c r="D417" s="91"/>
      <c r="E417" s="1244"/>
      <c r="F417" s="1244"/>
      <c r="G417" s="1244"/>
      <c r="H417" s="1244"/>
      <c r="I417" s="1244"/>
      <c r="J417" s="1244"/>
      <c r="K417" s="1244"/>
      <c r="L417" s="1244"/>
      <c r="M417" s="1244"/>
      <c r="O417" s="143" t="s">
        <v>1960</v>
      </c>
      <c r="P417" s="1642"/>
      <c r="Q417" s="1674"/>
    </row>
    <row r="418" spans="1:32" ht="11.25" customHeight="1">
      <c r="A418" s="1246"/>
      <c r="B418" s="153" t="s">
        <v>1958</v>
      </c>
      <c r="D418" s="153"/>
      <c r="E418" s="153"/>
      <c r="F418" s="153"/>
      <c r="G418" s="153"/>
      <c r="H418" s="40"/>
      <c r="I418" s="787"/>
      <c r="J418" s="787"/>
      <c r="K418" s="787"/>
      <c r="L418" s="1238"/>
      <c r="M418" s="1238"/>
      <c r="N418" s="1238"/>
      <c r="O418" s="1238"/>
      <c r="P418" s="1238"/>
      <c r="Q418" s="1274"/>
    </row>
    <row r="419" spans="1:32" ht="11.45" customHeight="1">
      <c r="A419" s="1598" t="s">
        <v>4464</v>
      </c>
      <c r="B419" s="1599"/>
      <c r="C419" s="1599"/>
      <c r="D419" s="1599"/>
      <c r="E419" s="1599"/>
      <c r="F419" s="1599"/>
      <c r="G419" s="1599"/>
      <c r="H419" s="1599"/>
      <c r="I419" s="1599"/>
      <c r="J419" s="1599"/>
      <c r="K419" s="1599"/>
      <c r="L419" s="1599"/>
      <c r="M419" s="1599"/>
      <c r="N419" s="1599"/>
      <c r="O419" s="1599"/>
      <c r="P419" s="1599"/>
      <c r="Q419" s="1600"/>
      <c r="R419" s="501" t="s">
        <v>1313</v>
      </c>
      <c r="S419" s="502"/>
      <c r="U419" s="148"/>
      <c r="V419" s="148"/>
      <c r="W419" s="148"/>
      <c r="X419" s="148"/>
      <c r="Y419" s="148"/>
      <c r="Z419" s="148"/>
      <c r="AA419" s="148"/>
      <c r="AB419" s="148"/>
      <c r="AC419" s="148"/>
      <c r="AD419" s="148"/>
      <c r="AE419" s="533"/>
    </row>
    <row r="420" spans="1:32" ht="11.25" customHeight="1">
      <c r="B420" s="149" t="s">
        <v>1959</v>
      </c>
      <c r="C420" s="150"/>
      <c r="D420" s="1244"/>
      <c r="E420" s="1244"/>
      <c r="F420" s="1244"/>
      <c r="G420" s="1244"/>
      <c r="H420" s="1244"/>
      <c r="I420" s="1244"/>
      <c r="J420" s="1244"/>
      <c r="K420" s="1244"/>
      <c r="L420" s="1244"/>
      <c r="M420" s="1244"/>
      <c r="N420" s="1244"/>
      <c r="O420" s="1244"/>
      <c r="P420" s="1244"/>
      <c r="Q420" s="1244"/>
    </row>
    <row r="421" spans="1:32" ht="12" customHeight="1">
      <c r="A421" s="1644"/>
      <c r="B421" s="1645"/>
      <c r="C421" s="1645"/>
      <c r="D421" s="1645"/>
      <c r="E421" s="1645"/>
      <c r="F421" s="1645"/>
      <c r="G421" s="1645"/>
      <c r="H421" s="1645"/>
      <c r="I421" s="1645"/>
      <c r="J421" s="1645"/>
      <c r="K421" s="1645"/>
      <c r="L421" s="1645"/>
      <c r="M421" s="1645"/>
      <c r="N421" s="1645"/>
      <c r="O421" s="1645"/>
      <c r="P421" s="1645"/>
      <c r="Q421" s="1646"/>
    </row>
    <row r="422" spans="1:32" ht="3" customHeight="1">
      <c r="A422" s="1238"/>
      <c r="B422" s="787"/>
      <c r="C422" s="1244"/>
      <c r="D422" s="1244"/>
      <c r="E422" s="1244"/>
      <c r="F422" s="1244"/>
      <c r="G422" s="1244"/>
      <c r="H422" s="1244"/>
      <c r="I422" s="1244"/>
      <c r="J422" s="1244"/>
      <c r="K422" s="1244"/>
      <c r="L422" s="1244"/>
      <c r="M422" s="1244"/>
      <c r="N422" s="1244"/>
      <c r="O422" s="1244"/>
      <c r="P422" s="1244"/>
      <c r="Q422" s="1238"/>
    </row>
    <row r="423" spans="1:32" s="160" customFormat="1" ht="8.4499999999999993" customHeight="1">
      <c r="A423" s="1238"/>
      <c r="B423" s="787"/>
      <c r="C423" s="1244"/>
      <c r="D423" s="1244"/>
      <c r="E423" s="1244"/>
      <c r="F423" s="1244"/>
      <c r="G423" s="1244"/>
      <c r="H423" s="1244"/>
      <c r="I423" s="1244"/>
      <c r="J423" s="1244"/>
      <c r="K423" s="1244"/>
      <c r="L423" s="1244"/>
      <c r="M423" s="1244"/>
      <c r="AE423" s="1270"/>
      <c r="AF423" s="1270"/>
    </row>
    <row r="424" spans="1:32" s="160" customFormat="1" ht="3" customHeight="1">
      <c r="A424" s="1238"/>
      <c r="B424" s="787"/>
      <c r="C424" s="1244"/>
      <c r="D424" s="1244"/>
      <c r="E424" s="1244"/>
      <c r="F424" s="1244"/>
      <c r="G424" s="1244"/>
      <c r="H424" s="1244"/>
      <c r="I424" s="1244"/>
      <c r="J424" s="1244"/>
      <c r="K424" s="1244"/>
      <c r="L424" s="1244"/>
      <c r="M424" s="1244"/>
      <c r="N424" s="1244"/>
      <c r="O424" s="1244"/>
      <c r="P424" s="1244"/>
      <c r="Q424" s="1238"/>
      <c r="AE424" s="1270"/>
      <c r="AF424" s="1270"/>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70"/>
      <c r="AF425" s="1270"/>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70"/>
      <c r="AF426" s="1270"/>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70"/>
      <c r="AF427" s="1270"/>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70"/>
      <c r="AF428" s="1270"/>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70"/>
      <c r="AF429" s="1270"/>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70"/>
      <c r="AF430" s="1270"/>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70"/>
      <c r="AF431" s="1270"/>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70"/>
      <c r="AF432" s="1270"/>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70"/>
      <c r="AF433" s="1270"/>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70"/>
      <c r="AF434" s="1270"/>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70"/>
      <c r="AF435" s="1270"/>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70"/>
      <c r="AF436" s="1270"/>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70"/>
      <c r="AF437" s="1270"/>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70"/>
      <c r="AF438" s="1270"/>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70"/>
      <c r="AF439" s="1270"/>
    </row>
    <row r="440" spans="1:32" s="160" customFormat="1">
      <c r="A440" s="506"/>
      <c r="B440" s="506"/>
      <c r="C440" s="506"/>
      <c r="D440" s="506"/>
      <c r="E440" s="506"/>
      <c r="F440" s="506"/>
      <c r="G440" s="506"/>
      <c r="H440" s="506"/>
      <c r="I440" s="506"/>
      <c r="J440" s="506"/>
      <c r="K440" s="506"/>
      <c r="L440" s="506"/>
      <c r="M440" s="506"/>
      <c r="AE440" s="1270"/>
      <c r="AF440" s="1270"/>
    </row>
    <row r="441" spans="1:32" s="174" customFormat="1">
      <c r="A441" s="551"/>
      <c r="B441" s="551"/>
      <c r="C441" s="551"/>
      <c r="D441" s="551"/>
      <c r="E441" s="551"/>
      <c r="F441" s="551"/>
      <c r="G441" s="551"/>
      <c r="H441" s="551"/>
      <c r="I441" s="551"/>
      <c r="J441" s="551"/>
      <c r="K441" s="551"/>
      <c r="L441" s="551"/>
      <c r="M441" s="551"/>
      <c r="N441" s="130"/>
      <c r="O441" s="1234"/>
      <c r="P441" s="1234"/>
      <c r="AE441" s="536"/>
      <c r="AF441" s="536"/>
    </row>
    <row r="442" spans="1:32" s="484" customFormat="1" ht="15">
      <c r="A442" s="552"/>
      <c r="B442" s="552"/>
      <c r="C442" s="553" t="s">
        <v>1728</v>
      </c>
      <c r="D442" s="553"/>
      <c r="E442" s="553"/>
      <c r="F442" s="553"/>
      <c r="G442" s="553"/>
      <c r="H442" s="553"/>
      <c r="I442" s="553"/>
      <c r="J442" s="553" t="s">
        <v>1061</v>
      </c>
      <c r="K442" s="553"/>
      <c r="L442" s="552"/>
      <c r="M442" s="552"/>
      <c r="N442" s="487"/>
      <c r="O442" s="883" t="s">
        <v>3279</v>
      </c>
      <c r="P442" s="499"/>
      <c r="AE442" s="493"/>
      <c r="AF442" s="493"/>
    </row>
    <row r="443" spans="1:32" s="484" customFormat="1" ht="15">
      <c r="A443" s="552"/>
      <c r="B443" s="552"/>
      <c r="C443" s="552" t="s">
        <v>2189</v>
      </c>
      <c r="D443" s="552"/>
      <c r="E443" s="552"/>
      <c r="F443" s="552"/>
      <c r="G443" s="552"/>
      <c r="H443" s="552"/>
      <c r="I443" s="552"/>
      <c r="J443" s="552" t="s">
        <v>1858</v>
      </c>
      <c r="K443" s="552"/>
      <c r="L443" s="552"/>
      <c r="M443" s="552"/>
      <c r="N443" s="487"/>
      <c r="O443" s="883" t="s">
        <v>3280</v>
      </c>
      <c r="P443" s="499"/>
      <c r="AE443" s="493"/>
      <c r="AF443" s="493"/>
    </row>
    <row r="444" spans="1:32" s="484" customFormat="1" ht="15">
      <c r="A444" s="552"/>
      <c r="B444" s="552"/>
      <c r="C444" s="553" t="s">
        <v>2671</v>
      </c>
      <c r="D444" s="553"/>
      <c r="E444" s="553"/>
      <c r="F444" s="553"/>
      <c r="G444" s="553"/>
      <c r="H444" s="553"/>
      <c r="I444" s="553"/>
      <c r="J444" s="554" t="s">
        <v>1810</v>
      </c>
      <c r="K444" s="553"/>
      <c r="L444" s="552"/>
      <c r="M444" s="552"/>
      <c r="N444" s="487"/>
      <c r="O444" s="883" t="s">
        <v>3281</v>
      </c>
      <c r="P444" s="499"/>
      <c r="AE444" s="493"/>
      <c r="AF444" s="493"/>
    </row>
    <row r="445" spans="1:32" s="484" customFormat="1" ht="15">
      <c r="A445" s="552"/>
      <c r="B445" s="552"/>
      <c r="C445" s="553" t="s">
        <v>2190</v>
      </c>
      <c r="D445" s="553"/>
      <c r="E445" s="553"/>
      <c r="F445" s="553"/>
      <c r="G445" s="553"/>
      <c r="H445" s="553"/>
      <c r="I445" s="553"/>
      <c r="J445" s="554" t="s">
        <v>239</v>
      </c>
      <c r="K445" s="553"/>
      <c r="L445" s="552"/>
      <c r="M445" s="552"/>
      <c r="N445" s="487"/>
      <c r="O445" s="883" t="s">
        <v>3282</v>
      </c>
      <c r="P445" s="499"/>
      <c r="AE445" s="493"/>
      <c r="AF445" s="493"/>
    </row>
    <row r="446" spans="1:32" s="484" customFormat="1" ht="15">
      <c r="A446" s="552"/>
      <c r="B446" s="552"/>
      <c r="C446" s="553" t="s">
        <v>2191</v>
      </c>
      <c r="D446" s="553"/>
      <c r="E446" s="553"/>
      <c r="F446" s="553"/>
      <c r="G446" s="553"/>
      <c r="H446" s="553"/>
      <c r="I446" s="553"/>
      <c r="J446" s="552" t="s">
        <v>1241</v>
      </c>
      <c r="K446" s="553"/>
      <c r="L446" s="552"/>
      <c r="M446" s="552"/>
      <c r="N446" s="487"/>
      <c r="O446" s="883" t="s">
        <v>3283</v>
      </c>
      <c r="P446" s="499"/>
      <c r="AE446" s="493"/>
      <c r="AF446" s="493"/>
    </row>
    <row r="447" spans="1:32" s="484" customFormat="1" ht="15">
      <c r="A447" s="552"/>
      <c r="B447" s="552"/>
      <c r="C447" s="555" t="s">
        <v>2192</v>
      </c>
      <c r="D447" s="553"/>
      <c r="E447" s="553"/>
      <c r="F447" s="553"/>
      <c r="G447" s="553"/>
      <c r="H447" s="553"/>
      <c r="I447" s="553"/>
      <c r="J447" s="556" t="s">
        <v>2204</v>
      </c>
      <c r="K447" s="553"/>
      <c r="L447" s="552"/>
      <c r="M447" s="552"/>
      <c r="N447" s="487"/>
      <c r="O447" s="883" t="s">
        <v>3284</v>
      </c>
      <c r="P447" s="499"/>
      <c r="AE447" s="493"/>
      <c r="AF447" s="493"/>
    </row>
    <row r="448" spans="1:32" s="484" customFormat="1" ht="15">
      <c r="A448" s="552"/>
      <c r="B448" s="552"/>
      <c r="C448" s="555" t="s">
        <v>2193</v>
      </c>
      <c r="D448" s="553"/>
      <c r="E448" s="553"/>
      <c r="F448" s="553"/>
      <c r="G448" s="553"/>
      <c r="H448" s="553"/>
      <c r="I448" s="553"/>
      <c r="J448" s="554" t="s">
        <v>1740</v>
      </c>
      <c r="K448" s="553"/>
      <c r="L448" s="552"/>
      <c r="M448" s="552"/>
      <c r="N448" s="487"/>
      <c r="O448" s="883" t="s">
        <v>3285</v>
      </c>
      <c r="P448" s="499"/>
      <c r="AE448" s="493"/>
      <c r="AF448" s="493"/>
    </row>
    <row r="449" spans="1:32" s="484" customFormat="1" ht="15">
      <c r="A449" s="552"/>
      <c r="B449" s="552"/>
      <c r="C449" s="555"/>
      <c r="D449" s="553"/>
      <c r="E449" s="553"/>
      <c r="F449" s="553"/>
      <c r="G449" s="553"/>
      <c r="H449" s="553"/>
      <c r="I449" s="553"/>
      <c r="J449" s="554" t="s">
        <v>1248</v>
      </c>
      <c r="K449" s="553"/>
      <c r="L449" s="552"/>
      <c r="M449" s="552"/>
      <c r="N449" s="487"/>
      <c r="O449" s="883" t="s">
        <v>3286</v>
      </c>
      <c r="P449" s="499"/>
      <c r="AE449" s="493"/>
      <c r="AF449" s="493"/>
    </row>
    <row r="450" spans="1:32" s="484" customFormat="1" ht="15">
      <c r="A450" s="552"/>
      <c r="B450" s="552"/>
      <c r="C450" s="552" t="s">
        <v>1858</v>
      </c>
      <c r="D450" s="553"/>
      <c r="E450" s="553"/>
      <c r="F450" s="553"/>
      <c r="G450" s="553"/>
      <c r="H450" s="553"/>
      <c r="I450" s="553"/>
      <c r="J450" s="554" t="s">
        <v>1737</v>
      </c>
      <c r="K450" s="553"/>
      <c r="L450" s="552"/>
      <c r="M450" s="552"/>
      <c r="N450" s="487"/>
      <c r="O450" s="883" t="s">
        <v>3287</v>
      </c>
      <c r="P450" s="499"/>
      <c r="AE450" s="493"/>
      <c r="AF450" s="493"/>
    </row>
    <row r="451" spans="1:32" s="484" customFormat="1" ht="11.25">
      <c r="A451" s="552"/>
      <c r="B451" s="552"/>
      <c r="C451" s="557" t="s">
        <v>1458</v>
      </c>
      <c r="D451" s="553"/>
      <c r="E451" s="553"/>
      <c r="F451" s="553"/>
      <c r="G451" s="553"/>
      <c r="H451" s="553"/>
      <c r="I451" s="553"/>
      <c r="J451" s="554" t="s">
        <v>2205</v>
      </c>
      <c r="K451" s="553"/>
      <c r="L451" s="552"/>
      <c r="M451" s="552"/>
      <c r="N451" s="487"/>
      <c r="O451" s="499"/>
      <c r="P451" s="499"/>
      <c r="AE451" s="493"/>
      <c r="AF451" s="493"/>
    </row>
    <row r="452" spans="1:32" s="484" customFormat="1" ht="11.25">
      <c r="A452" s="552"/>
      <c r="B452" s="552"/>
      <c r="C452" s="557" t="s">
        <v>1459</v>
      </c>
      <c r="D452" s="553"/>
      <c r="E452" s="553"/>
      <c r="F452" s="553"/>
      <c r="G452" s="553"/>
      <c r="H452" s="553"/>
      <c r="I452" s="553"/>
      <c r="J452" s="554" t="s">
        <v>1730</v>
      </c>
      <c r="K452" s="553"/>
      <c r="L452" s="552"/>
      <c r="M452" s="552"/>
      <c r="N452" s="487"/>
      <c r="O452" s="499"/>
      <c r="P452" s="499"/>
      <c r="AE452" s="493"/>
      <c r="AF452" s="493"/>
    </row>
    <row r="453" spans="1:32" s="484" customFormat="1" ht="11.25">
      <c r="A453" s="552"/>
      <c r="B453" s="552"/>
      <c r="C453" s="558" t="s">
        <v>2233</v>
      </c>
      <c r="D453" s="553"/>
      <c r="E453" s="553"/>
      <c r="F453" s="553"/>
      <c r="G453" s="553"/>
      <c r="H453" s="553"/>
      <c r="I453" s="553"/>
      <c r="J453" s="554" t="s">
        <v>1249</v>
      </c>
      <c r="K453" s="553"/>
      <c r="L453" s="552"/>
      <c r="M453" s="552"/>
      <c r="N453" s="487"/>
      <c r="O453" s="499"/>
      <c r="P453" s="499"/>
      <c r="AE453" s="493"/>
      <c r="AF453" s="493"/>
    </row>
    <row r="454" spans="1:32" s="484" customFormat="1" ht="11.25">
      <c r="A454" s="552"/>
      <c r="B454" s="552"/>
      <c r="C454" s="558" t="s">
        <v>1455</v>
      </c>
      <c r="D454" s="553"/>
      <c r="E454" s="553"/>
      <c r="F454" s="553"/>
      <c r="G454" s="553"/>
      <c r="H454" s="553"/>
      <c r="I454" s="553"/>
      <c r="J454" s="554" t="s">
        <v>619</v>
      </c>
      <c r="K454" s="553"/>
      <c r="L454" s="552"/>
      <c r="M454" s="552"/>
      <c r="N454" s="487"/>
      <c r="O454" s="499"/>
      <c r="P454" s="499"/>
      <c r="AE454" s="493"/>
      <c r="AF454" s="493"/>
    </row>
    <row r="455" spans="1:32" s="484" customFormat="1" ht="11.25">
      <c r="A455" s="552"/>
      <c r="B455" s="552"/>
      <c r="C455" s="558" t="s">
        <v>1456</v>
      </c>
      <c r="D455" s="553"/>
      <c r="E455" s="553"/>
      <c r="F455" s="553"/>
      <c r="G455" s="553"/>
      <c r="H455" s="553"/>
      <c r="I455" s="553"/>
      <c r="J455" s="554" t="s">
        <v>1736</v>
      </c>
      <c r="K455" s="553"/>
      <c r="L455" s="552"/>
      <c r="M455" s="552"/>
      <c r="N455" s="487"/>
      <c r="O455" s="499"/>
      <c r="P455" s="499"/>
      <c r="AE455" s="493"/>
      <c r="AF455" s="493"/>
    </row>
    <row r="456" spans="1:32" s="484" customFormat="1" ht="11.25">
      <c r="A456" s="552"/>
      <c r="B456" s="552"/>
      <c r="C456" s="557" t="s">
        <v>2228</v>
      </c>
      <c r="D456" s="553"/>
      <c r="E456" s="553"/>
      <c r="F456" s="553"/>
      <c r="G456" s="553"/>
      <c r="H456" s="553"/>
      <c r="I456" s="553"/>
      <c r="J456" s="554" t="s">
        <v>1243</v>
      </c>
      <c r="K456" s="553"/>
      <c r="L456" s="552"/>
      <c r="M456" s="552"/>
      <c r="N456" s="487"/>
      <c r="O456" s="499"/>
      <c r="P456" s="499"/>
      <c r="AE456" s="493"/>
      <c r="AF456" s="493"/>
    </row>
    <row r="457" spans="1:32" s="484" customFormat="1" ht="11.25">
      <c r="A457" s="552"/>
      <c r="B457" s="552"/>
      <c r="C457" s="557" t="s">
        <v>2229</v>
      </c>
      <c r="D457" s="553"/>
      <c r="E457" s="553"/>
      <c r="F457" s="553"/>
      <c r="G457" s="553"/>
      <c r="H457" s="553"/>
      <c r="I457" s="553"/>
      <c r="J457" s="554" t="s">
        <v>1242</v>
      </c>
      <c r="K457" s="552"/>
      <c r="L457" s="552"/>
      <c r="M457" s="552"/>
      <c r="N457" s="487"/>
      <c r="O457" s="499"/>
      <c r="P457" s="499"/>
      <c r="AE457" s="493"/>
      <c r="AF457" s="493"/>
    </row>
    <row r="458" spans="1:32" s="484" customFormat="1" ht="11.25">
      <c r="A458" s="552"/>
      <c r="B458" s="552"/>
      <c r="C458" s="557" t="s">
        <v>2230</v>
      </c>
      <c r="D458" s="552"/>
      <c r="E458" s="552"/>
      <c r="F458" s="552"/>
      <c r="G458" s="552"/>
      <c r="H458" s="552"/>
      <c r="I458" s="552"/>
      <c r="J458" s="554" t="s">
        <v>1811</v>
      </c>
      <c r="K458" s="552"/>
      <c r="L458" s="552"/>
      <c r="M458" s="552"/>
      <c r="N458" s="487"/>
      <c r="O458" s="499"/>
      <c r="P458" s="499"/>
      <c r="AE458" s="493"/>
      <c r="AF458" s="493"/>
    </row>
    <row r="459" spans="1:32" s="484" customFormat="1" ht="11.25">
      <c r="A459" s="552"/>
      <c r="B459" s="552"/>
      <c r="C459" s="557" t="s">
        <v>2231</v>
      </c>
      <c r="D459" s="552"/>
      <c r="E459" s="552"/>
      <c r="F459" s="552"/>
      <c r="G459" s="552"/>
      <c r="H459" s="552"/>
      <c r="I459" s="552"/>
      <c r="J459" s="554" t="s">
        <v>1739</v>
      </c>
      <c r="K459" s="552"/>
      <c r="L459" s="552"/>
      <c r="M459" s="552"/>
      <c r="N459" s="487"/>
      <c r="O459" s="499"/>
      <c r="P459" s="499"/>
      <c r="AE459" s="493"/>
      <c r="AF459" s="493"/>
    </row>
    <row r="460" spans="1:32" s="484" customFormat="1" ht="11.25">
      <c r="A460" s="552"/>
      <c r="B460" s="552"/>
      <c r="C460" s="557" t="s">
        <v>2232</v>
      </c>
      <c r="D460" s="552"/>
      <c r="E460" s="552"/>
      <c r="F460" s="552"/>
      <c r="G460" s="552"/>
      <c r="H460" s="552"/>
      <c r="I460" s="552"/>
      <c r="J460" s="554" t="s">
        <v>1731</v>
      </c>
      <c r="K460" s="552"/>
      <c r="L460" s="552"/>
      <c r="M460" s="552"/>
      <c r="N460" s="487"/>
      <c r="O460" s="499"/>
      <c r="P460" s="499"/>
      <c r="AE460" s="493"/>
      <c r="AF460" s="493"/>
    </row>
    <row r="461" spans="1:32" s="484" customFormat="1" ht="11.25">
      <c r="A461" s="552"/>
      <c r="B461" s="552"/>
      <c r="C461" s="557" t="s">
        <v>1457</v>
      </c>
      <c r="D461" s="552"/>
      <c r="E461" s="552"/>
      <c r="F461" s="552"/>
      <c r="G461" s="552"/>
      <c r="H461" s="552"/>
      <c r="I461" s="552"/>
      <c r="J461" s="554" t="s">
        <v>2203</v>
      </c>
      <c r="K461" s="552"/>
      <c r="L461" s="552"/>
      <c r="M461" s="552"/>
      <c r="N461" s="487"/>
      <c r="O461" s="499"/>
      <c r="P461" s="499"/>
      <c r="AE461" s="493"/>
      <c r="AF461" s="493"/>
    </row>
    <row r="462" spans="1:32" s="484" customFormat="1" ht="11.25">
      <c r="A462" s="552"/>
      <c r="B462" s="552"/>
      <c r="C462" s="557" t="s">
        <v>2390</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1665</v>
      </c>
      <c r="D464" s="553"/>
      <c r="E464" s="553"/>
      <c r="F464" s="553"/>
      <c r="G464" s="553"/>
      <c r="H464" s="553"/>
      <c r="I464" s="553"/>
      <c r="J464" s="553"/>
      <c r="K464" s="553"/>
      <c r="L464" s="553"/>
      <c r="M464" s="553"/>
      <c r="AE464" s="466"/>
      <c r="AF464" s="466"/>
    </row>
    <row r="465" spans="1:32" s="56" customFormat="1" ht="11.25">
      <c r="A465" s="553"/>
      <c r="B465" s="553"/>
      <c r="C465" s="553" t="s">
        <v>1858</v>
      </c>
      <c r="D465" s="553"/>
      <c r="E465" s="553"/>
      <c r="F465" s="553"/>
      <c r="G465" s="553"/>
      <c r="H465" s="553"/>
      <c r="I465" s="553"/>
      <c r="J465" s="553"/>
      <c r="K465" s="553"/>
      <c r="L465" s="553"/>
      <c r="M465" s="553"/>
      <c r="AE465" s="466"/>
      <c r="AF465" s="466"/>
    </row>
    <row r="466" spans="1:32" s="56" customFormat="1" ht="11.25">
      <c r="A466" s="553"/>
      <c r="B466" s="553"/>
      <c r="C466" s="553" t="s">
        <v>2189</v>
      </c>
      <c r="D466" s="553"/>
      <c r="E466" s="552"/>
      <c r="F466" s="552"/>
      <c r="G466" s="552"/>
      <c r="H466" s="552"/>
      <c r="I466" s="552"/>
      <c r="J466" s="552"/>
      <c r="K466" s="552"/>
      <c r="L466" s="552"/>
      <c r="M466" s="552"/>
      <c r="AE466" s="466"/>
      <c r="AF466" s="466"/>
    </row>
    <row r="467" spans="1:32" s="56" customFormat="1" ht="11.25">
      <c r="A467" s="553"/>
      <c r="B467" s="553"/>
      <c r="C467" s="553" t="s">
        <v>2671</v>
      </c>
      <c r="D467" s="552"/>
      <c r="E467" s="552"/>
      <c r="F467" s="552"/>
      <c r="G467" s="552"/>
      <c r="H467" s="553"/>
      <c r="I467" s="552"/>
      <c r="J467" s="552"/>
      <c r="K467" s="552"/>
      <c r="L467" s="552"/>
      <c r="M467" s="552"/>
      <c r="AE467" s="466"/>
      <c r="AF467" s="466"/>
    </row>
    <row r="468" spans="1:32" s="56" customFormat="1" ht="11.25">
      <c r="A468" s="553"/>
      <c r="B468" s="553"/>
      <c r="C468" s="553" t="s">
        <v>2190</v>
      </c>
      <c r="D468" s="552"/>
      <c r="E468" s="552"/>
      <c r="F468" s="552"/>
      <c r="G468" s="552"/>
      <c r="H468" s="552"/>
      <c r="I468" s="552"/>
      <c r="J468" s="552"/>
      <c r="K468" s="552"/>
      <c r="L468" s="552"/>
      <c r="M468" s="552"/>
      <c r="AE468" s="466"/>
      <c r="AF468" s="466"/>
    </row>
    <row r="469" spans="1:32" s="56" customFormat="1" ht="11.25">
      <c r="A469" s="553"/>
      <c r="B469" s="553"/>
      <c r="C469" s="553" t="s">
        <v>1729</v>
      </c>
      <c r="D469" s="552"/>
      <c r="E469" s="552"/>
      <c r="F469" s="552"/>
      <c r="G469" s="552"/>
      <c r="H469" s="553"/>
      <c r="I469" s="552"/>
      <c r="J469" s="552"/>
      <c r="K469" s="552"/>
      <c r="L469" s="552"/>
      <c r="M469" s="552"/>
      <c r="AE469" s="466"/>
      <c r="AF469" s="466"/>
    </row>
    <row r="470" spans="1:32" s="56" customFormat="1" ht="11.25">
      <c r="A470" s="553"/>
      <c r="B470" s="553"/>
      <c r="C470" s="555" t="s">
        <v>2109</v>
      </c>
      <c r="D470" s="552"/>
      <c r="E470" s="552"/>
      <c r="F470" s="552"/>
      <c r="G470" s="552"/>
      <c r="H470" s="553"/>
      <c r="I470" s="552"/>
      <c r="J470" s="552"/>
      <c r="K470" s="552"/>
      <c r="L470" s="552"/>
      <c r="M470" s="552"/>
      <c r="AE470" s="466"/>
      <c r="AF470" s="466"/>
    </row>
    <row r="471" spans="1:32" s="56" customFormat="1" ht="11.25">
      <c r="A471" s="553"/>
      <c r="B471" s="553"/>
      <c r="C471" s="553" t="s">
        <v>239</v>
      </c>
      <c r="D471" s="552"/>
      <c r="E471" s="552"/>
      <c r="F471" s="552"/>
      <c r="G471" s="552"/>
      <c r="H471" s="553"/>
      <c r="I471" s="552"/>
      <c r="J471" s="553"/>
      <c r="K471" s="552"/>
      <c r="L471" s="552"/>
      <c r="M471" s="552"/>
      <c r="AE471" s="466"/>
      <c r="AF471" s="466"/>
    </row>
    <row r="472" spans="1:32" s="56" customFormat="1" ht="11.25">
      <c r="A472" s="553"/>
      <c r="B472" s="553"/>
      <c r="C472" s="553" t="s">
        <v>1730</v>
      </c>
      <c r="D472" s="552"/>
      <c r="E472" s="552"/>
      <c r="F472" s="552"/>
      <c r="G472" s="552"/>
      <c r="H472" s="553"/>
      <c r="I472" s="552"/>
      <c r="J472" s="553"/>
      <c r="K472" s="552"/>
      <c r="L472" s="552"/>
      <c r="M472" s="552"/>
      <c r="AE472" s="466"/>
      <c r="AF472" s="466"/>
    </row>
    <row r="473" spans="1:32" s="56" customFormat="1" ht="11.25">
      <c r="A473" s="553"/>
      <c r="B473" s="553"/>
      <c r="C473" s="553" t="s">
        <v>1731</v>
      </c>
      <c r="D473" s="552"/>
      <c r="E473" s="552"/>
      <c r="F473" s="552"/>
      <c r="G473" s="552"/>
      <c r="H473" s="553"/>
      <c r="I473" s="552"/>
      <c r="J473" s="553"/>
      <c r="K473" s="552"/>
      <c r="L473" s="552"/>
      <c r="M473" s="552"/>
      <c r="AE473" s="466"/>
      <c r="AF473" s="466"/>
    </row>
    <row r="474" spans="1:32" s="56" customFormat="1" ht="11.25">
      <c r="A474" s="553"/>
      <c r="B474" s="553"/>
      <c r="C474" s="553" t="s">
        <v>2627</v>
      </c>
      <c r="D474" s="552"/>
      <c r="E474" s="552"/>
      <c r="F474" s="552"/>
      <c r="G474" s="552"/>
      <c r="H474" s="552"/>
      <c r="I474" s="552"/>
      <c r="J474" s="552"/>
      <c r="K474" s="552"/>
      <c r="L474" s="552"/>
      <c r="M474" s="552"/>
      <c r="AE474" s="466"/>
      <c r="AF474" s="466"/>
    </row>
    <row r="475" spans="1:32" s="56" customFormat="1" ht="11.25">
      <c r="A475" s="553"/>
      <c r="B475" s="553"/>
      <c r="C475" s="553" t="s">
        <v>1666</v>
      </c>
      <c r="D475" s="552"/>
      <c r="E475" s="552"/>
      <c r="F475" s="552"/>
      <c r="G475" s="552"/>
      <c r="H475" s="552"/>
      <c r="I475" s="552"/>
      <c r="J475" s="552"/>
      <c r="K475" s="552"/>
      <c r="L475" s="552"/>
      <c r="M475" s="552"/>
      <c r="AE475" s="466"/>
      <c r="AF475" s="466"/>
    </row>
    <row r="476" spans="1:32" s="56" customFormat="1" ht="11.25">
      <c r="A476" s="553"/>
      <c r="B476" s="553"/>
      <c r="C476" s="553" t="s">
        <v>1733</v>
      </c>
      <c r="D476" s="552"/>
      <c r="E476" s="552"/>
      <c r="F476" s="552"/>
      <c r="G476" s="552"/>
      <c r="H476" s="552"/>
      <c r="I476" s="552"/>
      <c r="J476" s="552"/>
      <c r="K476" s="552"/>
      <c r="L476" s="552"/>
      <c r="M476" s="552"/>
      <c r="AE476" s="466"/>
      <c r="AF476" s="466"/>
    </row>
    <row r="477" spans="1:32" s="56" customFormat="1" ht="11.25">
      <c r="A477" s="553"/>
      <c r="B477" s="553"/>
      <c r="C477" s="553" t="s">
        <v>2630</v>
      </c>
      <c r="D477" s="552"/>
      <c r="E477" s="552"/>
      <c r="F477" s="552"/>
      <c r="G477" s="552"/>
      <c r="H477" s="552"/>
      <c r="I477" s="552"/>
      <c r="J477" s="552"/>
      <c r="K477" s="552"/>
      <c r="L477" s="552"/>
      <c r="M477" s="552"/>
      <c r="AE477" s="466"/>
      <c r="AF477" s="466"/>
    </row>
    <row r="478" spans="1:32" s="56" customFormat="1" ht="11.25">
      <c r="A478" s="553"/>
      <c r="B478" s="553"/>
      <c r="C478" s="553" t="s">
        <v>1735</v>
      </c>
      <c r="D478" s="552"/>
      <c r="E478" s="552"/>
      <c r="F478" s="552"/>
      <c r="G478" s="552"/>
      <c r="H478" s="552"/>
      <c r="I478" s="552"/>
      <c r="J478" s="552"/>
      <c r="K478" s="552"/>
      <c r="L478" s="552"/>
      <c r="M478" s="552"/>
      <c r="N478" s="56" t="s">
        <v>2628</v>
      </c>
      <c r="AE478" s="466"/>
      <c r="AF478" s="466"/>
    </row>
    <row r="479" spans="1:32" s="56" customFormat="1" ht="11.25">
      <c r="A479" s="553"/>
      <c r="B479" s="553"/>
      <c r="C479" s="553" t="s">
        <v>1736</v>
      </c>
      <c r="D479" s="552"/>
      <c r="E479" s="552"/>
      <c r="F479" s="552"/>
      <c r="G479" s="552"/>
      <c r="H479" s="552"/>
      <c r="I479" s="552"/>
      <c r="J479" s="552"/>
      <c r="K479" s="552"/>
      <c r="L479" s="552"/>
      <c r="M479" s="552"/>
      <c r="AE479" s="466"/>
      <c r="AF479" s="466"/>
    </row>
    <row r="480" spans="1:32" s="56" customFormat="1" ht="11.25">
      <c r="A480" s="553"/>
      <c r="B480" s="553"/>
      <c r="C480" s="553" t="s">
        <v>1737</v>
      </c>
      <c r="D480" s="552"/>
      <c r="E480" s="552"/>
      <c r="F480" s="552"/>
      <c r="G480" s="552"/>
      <c r="H480" s="552"/>
      <c r="I480" s="552"/>
      <c r="J480" s="552"/>
      <c r="K480" s="552"/>
      <c r="L480" s="552"/>
      <c r="M480" s="552"/>
      <c r="AE480" s="466"/>
      <c r="AF480" s="466"/>
    </row>
    <row r="481" spans="1:32" s="56" customFormat="1" ht="11.25">
      <c r="A481" s="553"/>
      <c r="B481" s="553"/>
      <c r="C481" s="553" t="s">
        <v>619</v>
      </c>
      <c r="D481" s="552"/>
      <c r="E481" s="552"/>
      <c r="F481" s="552"/>
      <c r="G481" s="552"/>
      <c r="H481" s="552"/>
      <c r="I481" s="552"/>
      <c r="J481" s="552"/>
      <c r="K481" s="552"/>
      <c r="L481" s="552"/>
      <c r="M481" s="552"/>
      <c r="AE481" s="466"/>
      <c r="AF481" s="466"/>
    </row>
    <row r="482" spans="1:32" s="56" customFormat="1" ht="11.25">
      <c r="A482" s="553"/>
      <c r="B482" s="553"/>
      <c r="C482" s="553" t="s">
        <v>1738</v>
      </c>
      <c r="D482" s="552"/>
      <c r="E482" s="552"/>
      <c r="F482" s="552"/>
      <c r="G482" s="552"/>
      <c r="H482" s="552"/>
      <c r="I482" s="552"/>
      <c r="J482" s="552"/>
      <c r="K482" s="552"/>
      <c r="L482" s="552"/>
      <c r="M482" s="552"/>
      <c r="AE482" s="466"/>
      <c r="AF482" s="466"/>
    </row>
    <row r="483" spans="1:32" s="56" customFormat="1" ht="11.25">
      <c r="A483" s="553"/>
      <c r="B483" s="553"/>
      <c r="C483" s="553" t="s">
        <v>1971</v>
      </c>
      <c r="D483" s="552"/>
      <c r="E483" s="552"/>
      <c r="F483" s="552"/>
      <c r="G483" s="552"/>
      <c r="H483" s="552"/>
      <c r="I483" s="552"/>
      <c r="J483" s="552"/>
      <c r="K483" s="552"/>
      <c r="L483" s="552"/>
      <c r="M483" s="552"/>
      <c r="AE483" s="466"/>
      <c r="AF483" s="466"/>
    </row>
    <row r="484" spans="1:32" s="56" customFormat="1" ht="11.25">
      <c r="A484" s="553"/>
      <c r="B484" s="553"/>
      <c r="C484" s="553" t="s">
        <v>238</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1876</v>
      </c>
      <c r="D486" s="553"/>
      <c r="E486" s="553"/>
      <c r="F486" s="553"/>
      <c r="G486" s="553"/>
      <c r="H486" s="553"/>
      <c r="I486" s="553"/>
      <c r="J486" s="553"/>
      <c r="K486" s="553"/>
      <c r="L486" s="553"/>
      <c r="M486" s="553"/>
      <c r="AE486" s="466"/>
      <c r="AF486" s="466"/>
    </row>
    <row r="487" spans="1:32" s="56" customFormat="1" ht="11.25">
      <c r="A487" s="553"/>
      <c r="B487" s="553"/>
      <c r="C487" s="553" t="s">
        <v>970</v>
      </c>
      <c r="D487" s="553"/>
      <c r="E487" s="553"/>
      <c r="F487" s="553"/>
      <c r="G487" s="553"/>
      <c r="H487" s="553"/>
      <c r="I487" s="553"/>
      <c r="J487" s="553"/>
      <c r="K487" s="553"/>
      <c r="L487" s="553"/>
      <c r="M487" s="553"/>
      <c r="AE487" s="466"/>
      <c r="AF487" s="466"/>
    </row>
    <row r="488" spans="1:32" s="56" customFormat="1" ht="11.25">
      <c r="A488" s="553"/>
      <c r="B488" s="553"/>
      <c r="C488" s="557" t="s">
        <v>1707</v>
      </c>
      <c r="D488" s="553"/>
      <c r="E488" s="553"/>
      <c r="F488" s="553"/>
      <c r="G488" s="553"/>
      <c r="H488" s="553"/>
      <c r="I488" s="553"/>
      <c r="J488" s="553"/>
      <c r="K488" s="553"/>
      <c r="L488" s="553"/>
      <c r="M488" s="553"/>
      <c r="AE488" s="466"/>
      <c r="AF488" s="466"/>
    </row>
    <row r="489" spans="1:32" s="56" customFormat="1" ht="11.25">
      <c r="A489" s="553"/>
      <c r="B489" s="553"/>
      <c r="C489" s="557" t="s">
        <v>758</v>
      </c>
      <c r="D489" s="553"/>
      <c r="E489" s="553"/>
      <c r="F489" s="553"/>
      <c r="G489" s="553"/>
      <c r="H489" s="553"/>
      <c r="I489" s="553"/>
      <c r="J489" s="553"/>
      <c r="K489" s="553"/>
      <c r="L489" s="557"/>
      <c r="M489" s="553"/>
      <c r="AE489" s="466"/>
      <c r="AF489" s="466"/>
    </row>
    <row r="490" spans="1:32" s="56" customFormat="1" ht="11.25">
      <c r="A490" s="553"/>
      <c r="B490" s="553"/>
      <c r="C490" s="557" t="s">
        <v>759</v>
      </c>
      <c r="D490" s="553"/>
      <c r="E490" s="553"/>
      <c r="F490" s="553"/>
      <c r="G490" s="553"/>
      <c r="H490" s="553"/>
      <c r="I490" s="553"/>
      <c r="J490" s="553"/>
      <c r="K490" s="553"/>
      <c r="L490" s="557"/>
      <c r="M490" s="553"/>
      <c r="AE490" s="466"/>
      <c r="AF490" s="466"/>
    </row>
    <row r="491" spans="1:32" s="56" customFormat="1" ht="11.25">
      <c r="A491" s="553"/>
      <c r="B491" s="553"/>
      <c r="C491" s="557" t="s">
        <v>2256</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1976</v>
      </c>
      <c r="D494" s="553"/>
      <c r="E494" s="553"/>
      <c r="F494" s="553"/>
      <c r="G494" s="553"/>
      <c r="H494" s="553"/>
      <c r="I494" s="553"/>
      <c r="J494" s="553"/>
      <c r="K494" s="553"/>
      <c r="L494" s="553"/>
      <c r="M494" s="553"/>
      <c r="AE494" s="466"/>
      <c r="AF494" s="466"/>
    </row>
    <row r="495" spans="1:32" s="56" customFormat="1" ht="11.25">
      <c r="A495" s="553"/>
      <c r="B495" s="553"/>
      <c r="C495" s="557" t="s">
        <v>990</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2814</v>
      </c>
      <c r="D499" s="553"/>
      <c r="E499" s="553"/>
      <c r="F499" s="553"/>
      <c r="G499" s="553"/>
      <c r="H499" s="553"/>
      <c r="I499" s="553"/>
      <c r="J499" s="553"/>
      <c r="K499" s="553"/>
      <c r="L499" s="553"/>
      <c r="M499" s="553"/>
      <c r="AE499" s="466"/>
      <c r="AF499" s="466"/>
    </row>
    <row r="500" spans="1:32" s="56" customFormat="1" ht="11.25">
      <c r="A500" s="553"/>
      <c r="B500" s="553"/>
      <c r="C500" s="557" t="s">
        <v>2108</v>
      </c>
      <c r="D500" s="553"/>
      <c r="E500" s="553"/>
      <c r="F500" s="553"/>
      <c r="G500" s="553"/>
      <c r="H500" s="553"/>
      <c r="I500" s="553"/>
      <c r="J500" s="553"/>
      <c r="K500" s="553"/>
      <c r="L500" s="557"/>
      <c r="M500" s="553"/>
      <c r="AE500" s="466"/>
      <c r="AF500" s="466"/>
    </row>
    <row r="501" spans="1:32" s="56" customFormat="1" ht="11.25">
      <c r="A501" s="553"/>
      <c r="B501" s="553"/>
      <c r="C501" s="505" t="s">
        <v>2815</v>
      </c>
      <c r="D501" s="553"/>
      <c r="E501" s="553"/>
      <c r="F501" s="553"/>
      <c r="G501" s="553"/>
      <c r="H501" s="553"/>
      <c r="I501" s="553"/>
      <c r="J501" s="553"/>
      <c r="K501" s="553"/>
      <c r="L501" s="557"/>
      <c r="M501" s="553"/>
      <c r="AE501" s="466"/>
      <c r="AF501" s="466"/>
    </row>
    <row r="502" spans="1:32" s="56" customFormat="1" ht="11.25">
      <c r="A502" s="553"/>
      <c r="B502" s="553"/>
      <c r="C502" s="505" t="s">
        <v>1448</v>
      </c>
      <c r="D502" s="553"/>
      <c r="E502" s="553"/>
      <c r="F502" s="553"/>
      <c r="G502" s="553"/>
      <c r="H502" s="553"/>
      <c r="I502" s="553"/>
      <c r="J502" s="553"/>
      <c r="K502" s="553"/>
      <c r="L502" s="557"/>
      <c r="M502" s="553"/>
      <c r="AE502" s="466"/>
      <c r="AF502" s="466"/>
    </row>
    <row r="503" spans="1:32" s="56" customFormat="1" ht="11.25">
      <c r="A503" s="553"/>
      <c r="B503" s="553"/>
      <c r="C503" s="505" t="s">
        <v>1664</v>
      </c>
      <c r="D503" s="553"/>
      <c r="E503" s="553"/>
      <c r="F503" s="553"/>
      <c r="G503" s="553"/>
      <c r="H503" s="553"/>
      <c r="I503" s="553"/>
      <c r="J503" s="553"/>
      <c r="K503" s="560" t="s">
        <v>480</v>
      </c>
      <c r="L503" s="557"/>
      <c r="M503" s="553"/>
      <c r="AE503" s="466"/>
      <c r="AF503" s="466"/>
    </row>
    <row r="504" spans="1:32" s="56" customFormat="1" ht="11.25">
      <c r="A504" s="553"/>
      <c r="B504" s="553"/>
      <c r="C504" s="505" t="s">
        <v>2816</v>
      </c>
      <c r="D504" s="553"/>
      <c r="E504" s="553"/>
      <c r="F504" s="553"/>
      <c r="G504" s="553"/>
      <c r="H504" s="553"/>
      <c r="I504" s="553"/>
      <c r="J504" s="553"/>
      <c r="K504" s="553" t="s">
        <v>1133</v>
      </c>
      <c r="L504" s="557"/>
      <c r="M504" s="553"/>
      <c r="AE504" s="466"/>
      <c r="AF504" s="466"/>
    </row>
    <row r="505" spans="1:32" s="56" customFormat="1" ht="11.25">
      <c r="A505" s="553"/>
      <c r="B505" s="553"/>
      <c r="C505" s="505" t="s">
        <v>2817</v>
      </c>
      <c r="D505" s="553"/>
      <c r="E505" s="553"/>
      <c r="F505" s="553"/>
      <c r="G505" s="553"/>
      <c r="H505" s="553"/>
      <c r="I505" s="553"/>
      <c r="J505" s="553"/>
      <c r="K505" s="553" t="s">
        <v>2786</v>
      </c>
      <c r="L505" s="553"/>
      <c r="M505" s="553"/>
      <c r="AE505" s="466"/>
      <c r="AF505" s="466"/>
    </row>
    <row r="506" spans="1:32" s="56" customFormat="1" ht="11.25">
      <c r="A506" s="553"/>
      <c r="B506" s="553"/>
      <c r="C506" s="557" t="s">
        <v>1262</v>
      </c>
      <c r="D506" s="553"/>
      <c r="E506" s="553"/>
      <c r="F506" s="553"/>
      <c r="G506" s="553"/>
      <c r="H506" s="553"/>
      <c r="I506" s="553"/>
      <c r="J506" s="553"/>
      <c r="K506" s="553" t="s">
        <v>2787</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266</v>
      </c>
      <c r="D508" s="553"/>
      <c r="E508" s="553"/>
      <c r="F508" s="553"/>
      <c r="G508" s="553"/>
      <c r="H508" s="553"/>
      <c r="I508" s="553"/>
      <c r="J508" s="553"/>
      <c r="K508" s="560" t="s">
        <v>2349</v>
      </c>
      <c r="L508" s="553"/>
      <c r="M508" s="553"/>
      <c r="AE508" s="466"/>
      <c r="AF508" s="466"/>
    </row>
    <row r="509" spans="1:32" s="56" customFormat="1" ht="11.25">
      <c r="A509" s="553"/>
      <c r="B509" s="553"/>
      <c r="C509" s="553" t="s">
        <v>1134</v>
      </c>
      <c r="D509" s="553"/>
      <c r="E509" s="553"/>
      <c r="F509" s="553"/>
      <c r="G509" s="553"/>
      <c r="H509" s="553"/>
      <c r="I509" s="553"/>
      <c r="J509" s="553"/>
      <c r="K509" s="553" t="s">
        <v>2435</v>
      </c>
      <c r="L509" s="553"/>
      <c r="M509" s="553"/>
      <c r="AE509" s="466"/>
      <c r="AF509" s="466"/>
    </row>
    <row r="510" spans="1:32" s="56" customFormat="1" ht="11.25">
      <c r="A510" s="553"/>
      <c r="B510" s="553"/>
      <c r="C510" s="553" t="s">
        <v>175</v>
      </c>
      <c r="D510" s="553"/>
      <c r="E510" s="553"/>
      <c r="F510" s="553"/>
      <c r="G510" s="553"/>
      <c r="H510" s="553"/>
      <c r="I510" s="553"/>
      <c r="J510" s="553"/>
      <c r="K510" s="553" t="s">
        <v>1516</v>
      </c>
      <c r="L510" s="553"/>
      <c r="M510" s="553"/>
      <c r="AE510" s="466"/>
      <c r="AF510" s="466"/>
    </row>
    <row r="511" spans="1:32" s="56" customFormat="1" ht="11.25">
      <c r="A511" s="553"/>
      <c r="B511" s="553"/>
      <c r="C511" s="553" t="s">
        <v>1601</v>
      </c>
      <c r="D511" s="553"/>
      <c r="E511" s="553"/>
      <c r="F511" s="553"/>
      <c r="G511" s="553"/>
      <c r="H511" s="553"/>
      <c r="I511" s="553"/>
      <c r="J511" s="553"/>
      <c r="K511" s="553" t="s">
        <v>1185</v>
      </c>
      <c r="L511" s="553"/>
      <c r="M511" s="553"/>
      <c r="AE511" s="466"/>
      <c r="AF511" s="466"/>
    </row>
    <row r="512" spans="1:32" s="56" customFormat="1" ht="11.25">
      <c r="A512" s="553"/>
      <c r="B512" s="553"/>
      <c r="C512" s="553" t="s">
        <v>2218</v>
      </c>
      <c r="D512" s="553"/>
      <c r="E512" s="553"/>
      <c r="F512" s="553"/>
      <c r="G512" s="553"/>
      <c r="H512" s="553"/>
      <c r="I512" s="553"/>
      <c r="J512" s="553"/>
      <c r="K512" s="553" t="s">
        <v>1184</v>
      </c>
      <c r="L512" s="553"/>
      <c r="M512" s="553"/>
      <c r="AE512" s="466"/>
      <c r="AF512" s="466"/>
    </row>
    <row r="513" spans="1:32" s="56" customFormat="1" ht="11.25">
      <c r="A513" s="553"/>
      <c r="B513" s="553"/>
      <c r="C513" s="553" t="s">
        <v>174</v>
      </c>
      <c r="D513" s="553"/>
      <c r="E513" s="553"/>
      <c r="F513" s="553"/>
      <c r="G513" s="553"/>
      <c r="H513" s="553"/>
      <c r="I513" s="553"/>
      <c r="J513" s="553"/>
      <c r="K513" s="553" t="s">
        <v>2904</v>
      </c>
      <c r="L513" s="553"/>
      <c r="M513" s="553"/>
      <c r="AE513" s="466"/>
      <c r="AF513" s="466"/>
    </row>
    <row r="514" spans="1:32" s="56" customFormat="1" ht="11.25">
      <c r="A514" s="553"/>
      <c r="B514" s="553"/>
      <c r="C514" s="553"/>
      <c r="D514" s="553"/>
      <c r="E514" s="553"/>
      <c r="F514" s="553"/>
      <c r="G514" s="553"/>
      <c r="H514" s="553"/>
      <c r="I514" s="553"/>
      <c r="J514" s="553"/>
      <c r="K514" s="560" t="s">
        <v>2044</v>
      </c>
      <c r="L514" s="553"/>
      <c r="M514" s="553"/>
      <c r="AE514" s="466"/>
      <c r="AF514" s="466"/>
    </row>
    <row r="515" spans="1:32" s="56" customFormat="1" ht="11.25">
      <c r="A515" s="553"/>
      <c r="B515" s="553"/>
      <c r="C515" s="553"/>
      <c r="D515" s="553"/>
      <c r="E515" s="553"/>
      <c r="F515" s="553"/>
      <c r="G515" s="553"/>
      <c r="H515" s="553"/>
      <c r="I515" s="553"/>
      <c r="J515" s="553"/>
      <c r="K515" s="553" t="s">
        <v>1132</v>
      </c>
      <c r="L515" s="553"/>
      <c r="M515" s="553"/>
      <c r="AE515" s="466"/>
      <c r="AF515" s="466"/>
    </row>
    <row r="516" spans="1:32" s="56" customFormat="1" ht="11.25">
      <c r="A516" s="553"/>
      <c r="B516" s="553"/>
      <c r="C516" s="553"/>
      <c r="D516" s="553"/>
      <c r="E516" s="553"/>
      <c r="F516" s="553"/>
      <c r="G516" s="553"/>
      <c r="H516" s="553"/>
      <c r="I516" s="553"/>
      <c r="J516" s="553"/>
      <c r="K516" s="553" t="s">
        <v>1838</v>
      </c>
      <c r="L516" s="553"/>
      <c r="M516" s="553"/>
      <c r="AE516" s="466"/>
      <c r="AF516" s="466"/>
    </row>
    <row r="517" spans="1:32" s="56" customFormat="1" ht="11.25">
      <c r="A517" s="553"/>
      <c r="B517" s="553"/>
      <c r="C517" s="553"/>
      <c r="D517" s="553"/>
      <c r="E517" s="553"/>
      <c r="F517" s="553"/>
      <c r="G517" s="553"/>
      <c r="H517" s="553"/>
      <c r="I517" s="553"/>
      <c r="J517" s="553"/>
      <c r="K517" s="553" t="s">
        <v>1186</v>
      </c>
      <c r="L517" s="553"/>
      <c r="M517" s="553"/>
      <c r="AE517" s="466"/>
      <c r="AF517" s="466"/>
    </row>
    <row r="518" spans="1:32" s="56" customFormat="1" ht="11.25">
      <c r="A518" s="553"/>
      <c r="B518" s="553"/>
      <c r="C518" s="553"/>
      <c r="D518" s="553"/>
      <c r="E518" s="553"/>
      <c r="F518" s="553"/>
      <c r="G518" s="553"/>
      <c r="H518" s="553"/>
      <c r="I518" s="553"/>
      <c r="J518" s="553"/>
      <c r="K518" s="553" t="s">
        <v>1839</v>
      </c>
      <c r="L518" s="553"/>
      <c r="M518" s="553"/>
      <c r="AE518" s="466"/>
      <c r="AF518" s="466"/>
    </row>
    <row r="519" spans="1:32" s="56" customFormat="1" ht="11.25">
      <c r="A519" s="553"/>
      <c r="B519" s="553"/>
      <c r="C519" s="553"/>
      <c r="D519" s="553"/>
      <c r="E519" s="553"/>
      <c r="F519" s="553"/>
      <c r="G519" s="553"/>
      <c r="H519" s="553"/>
      <c r="I519" s="553"/>
      <c r="J519" s="553"/>
      <c r="K519" s="553" t="s">
        <v>2479</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1062</v>
      </c>
      <c r="D521" s="553"/>
      <c r="E521" s="553"/>
      <c r="F521" s="553"/>
      <c r="G521" s="553"/>
      <c r="H521" s="553"/>
      <c r="I521" s="553"/>
      <c r="J521" s="553"/>
      <c r="K521" s="559" t="s">
        <v>1063</v>
      </c>
      <c r="L521" s="553"/>
      <c r="M521" s="553"/>
      <c r="AE521" s="466"/>
      <c r="AF521" s="466"/>
    </row>
    <row r="522" spans="1:32" s="56" customFormat="1" ht="11.25">
      <c r="A522" s="553"/>
      <c r="B522" s="553"/>
      <c r="C522" s="553" t="s">
        <v>1061</v>
      </c>
      <c r="D522" s="553"/>
      <c r="E522" s="553"/>
      <c r="F522" s="553"/>
      <c r="G522" s="553"/>
      <c r="H522" s="553"/>
      <c r="I522" s="553"/>
      <c r="J522" s="553"/>
      <c r="K522" s="553" t="s">
        <v>1061</v>
      </c>
      <c r="L522" s="553"/>
      <c r="M522" s="553"/>
      <c r="AE522" s="466"/>
      <c r="AF522" s="466"/>
    </row>
    <row r="523" spans="1:32" s="56" customFormat="1" ht="11.25">
      <c r="A523" s="553"/>
      <c r="B523" s="553"/>
      <c r="C523" s="553" t="s">
        <v>2189</v>
      </c>
      <c r="D523" s="553"/>
      <c r="E523" s="553"/>
      <c r="F523" s="553"/>
      <c r="G523" s="553"/>
      <c r="H523" s="553"/>
      <c r="I523" s="553"/>
      <c r="J523" s="553"/>
      <c r="K523" s="553" t="s">
        <v>239</v>
      </c>
      <c r="L523" s="553"/>
      <c r="M523" s="553"/>
      <c r="AE523" s="466"/>
      <c r="AF523" s="466"/>
    </row>
    <row r="524" spans="1:32" s="56" customFormat="1" ht="11.25">
      <c r="A524" s="553"/>
      <c r="B524" s="553"/>
      <c r="C524" s="553" t="s">
        <v>2671</v>
      </c>
      <c r="D524" s="553"/>
      <c r="E524" s="553"/>
      <c r="F524" s="553"/>
      <c r="G524" s="553"/>
      <c r="H524" s="553"/>
      <c r="I524" s="553"/>
      <c r="J524" s="553"/>
      <c r="K524" s="553" t="s">
        <v>505</v>
      </c>
      <c r="L524" s="553"/>
      <c r="M524" s="553"/>
      <c r="AE524" s="466"/>
      <c r="AF524" s="466"/>
    </row>
    <row r="525" spans="1:32" s="56" customFormat="1" ht="11.25">
      <c r="A525" s="553"/>
      <c r="B525" s="553"/>
      <c r="C525" s="553" t="s">
        <v>2190</v>
      </c>
      <c r="D525" s="553"/>
      <c r="E525" s="553"/>
      <c r="F525" s="553"/>
      <c r="G525" s="553"/>
      <c r="H525" s="553"/>
      <c r="I525" s="553"/>
      <c r="J525" s="553"/>
      <c r="K525" s="553" t="s">
        <v>2627</v>
      </c>
      <c r="L525" s="553"/>
      <c r="M525" s="553"/>
      <c r="AE525" s="466"/>
      <c r="AF525" s="466"/>
    </row>
    <row r="526" spans="1:32" s="56" customFormat="1" ht="11.25">
      <c r="A526" s="553"/>
      <c r="B526" s="553"/>
      <c r="C526" s="553" t="s">
        <v>2045</v>
      </c>
      <c r="D526" s="553"/>
      <c r="E526" s="553"/>
      <c r="F526" s="553"/>
      <c r="G526" s="553"/>
      <c r="H526" s="553"/>
      <c r="I526" s="553"/>
      <c r="J526" s="553"/>
      <c r="K526" s="553" t="s">
        <v>2054</v>
      </c>
      <c r="L526" s="553"/>
      <c r="M526" s="553"/>
      <c r="AE526" s="466"/>
      <c r="AF526" s="466"/>
    </row>
    <row r="527" spans="1:32" s="56" customFormat="1" ht="11.25">
      <c r="A527" s="553"/>
      <c r="B527" s="553"/>
      <c r="C527" s="553" t="s">
        <v>618</v>
      </c>
      <c r="D527" s="553"/>
      <c r="E527" s="553"/>
      <c r="F527" s="553"/>
      <c r="G527" s="553"/>
      <c r="H527" s="553"/>
      <c r="I527" s="553"/>
      <c r="J527" s="553"/>
      <c r="K527" s="553" t="s">
        <v>2629</v>
      </c>
      <c r="L527" s="553"/>
      <c r="M527" s="553"/>
      <c r="AE527" s="466"/>
      <c r="AF527" s="466"/>
    </row>
    <row r="528" spans="1:32" s="56" customFormat="1" ht="11.25">
      <c r="A528" s="553"/>
      <c r="B528" s="553"/>
      <c r="C528" s="553" t="s">
        <v>2297</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1911</v>
      </c>
      <c r="L529" s="553"/>
      <c r="M529" s="553"/>
      <c r="AE529" s="466"/>
      <c r="AF529" s="466"/>
    </row>
    <row r="530" spans="1:32" s="56" customFormat="1" ht="11.25">
      <c r="A530" s="553"/>
      <c r="B530" s="553"/>
      <c r="C530" s="553"/>
      <c r="D530" s="553"/>
      <c r="E530" s="553"/>
      <c r="F530" s="553"/>
      <c r="G530" s="553"/>
      <c r="H530" s="553"/>
      <c r="I530" s="553"/>
      <c r="J530" s="553"/>
      <c r="K530" s="553" t="s">
        <v>2630</v>
      </c>
      <c r="L530" s="553"/>
      <c r="M530" s="553"/>
      <c r="AE530" s="466"/>
      <c r="AF530" s="466"/>
    </row>
    <row r="531" spans="1:32" s="56" customFormat="1" ht="11.25">
      <c r="A531" s="553"/>
      <c r="B531" s="553"/>
      <c r="C531" s="553"/>
      <c r="D531" s="553"/>
      <c r="E531" s="553"/>
      <c r="F531" s="553"/>
      <c r="G531" s="553"/>
      <c r="H531" s="553"/>
      <c r="I531" s="553"/>
      <c r="J531" s="553"/>
      <c r="K531" s="553" t="s">
        <v>1217</v>
      </c>
      <c r="L531" s="553"/>
      <c r="M531" s="553"/>
      <c r="AE531" s="466"/>
      <c r="AF531" s="466"/>
    </row>
    <row r="532" spans="1:32" s="56" customFormat="1" ht="11.25">
      <c r="A532" s="553"/>
      <c r="B532" s="553"/>
      <c r="C532" s="553"/>
      <c r="D532" s="553"/>
      <c r="E532" s="553"/>
      <c r="F532" s="553"/>
      <c r="G532" s="553"/>
      <c r="H532" s="553"/>
      <c r="I532" s="553"/>
      <c r="J532" s="553"/>
      <c r="K532" s="553" t="s">
        <v>1970</v>
      </c>
      <c r="L532" s="553"/>
      <c r="M532" s="553"/>
      <c r="AE532" s="466"/>
      <c r="AF532" s="466"/>
    </row>
    <row r="533" spans="1:32" s="56" customFormat="1" ht="11.25">
      <c r="A533" s="553"/>
      <c r="B533" s="553"/>
      <c r="C533" s="553"/>
      <c r="D533" s="553"/>
      <c r="E533" s="553"/>
      <c r="F533" s="553"/>
      <c r="G533" s="553"/>
      <c r="H533" s="553"/>
      <c r="I533" s="553"/>
      <c r="J533" s="553"/>
      <c r="K533" s="553" t="s">
        <v>617</v>
      </c>
      <c r="L533" s="553"/>
      <c r="M533" s="553"/>
      <c r="AE533" s="466"/>
      <c r="AF533" s="466"/>
    </row>
    <row r="534" spans="1:32" s="56" customFormat="1" ht="11.25">
      <c r="A534" s="553"/>
      <c r="B534" s="553"/>
      <c r="C534" s="553"/>
      <c r="D534" s="553"/>
      <c r="E534" s="553"/>
      <c r="F534" s="553"/>
      <c r="G534" s="553"/>
      <c r="H534" s="553"/>
      <c r="I534" s="553"/>
      <c r="J534" s="553"/>
      <c r="K534" s="553" t="s">
        <v>1971</v>
      </c>
      <c r="L534" s="553"/>
      <c r="M534" s="553"/>
      <c r="AE534" s="466"/>
      <c r="AF534" s="466"/>
    </row>
    <row r="535" spans="1:32" s="56" customFormat="1" ht="11.25">
      <c r="A535" s="553"/>
      <c r="B535" s="553"/>
      <c r="C535" s="553"/>
      <c r="D535" s="553"/>
      <c r="E535" s="553"/>
      <c r="F535" s="553"/>
      <c r="G535" s="553"/>
      <c r="H535" s="553"/>
      <c r="I535" s="553"/>
      <c r="J535" s="553"/>
      <c r="K535" s="553" t="s">
        <v>619</v>
      </c>
      <c r="L535" s="553"/>
      <c r="M535" s="553"/>
      <c r="AE535" s="466"/>
      <c r="AF535" s="466"/>
    </row>
    <row r="536" spans="1:32" s="56" customFormat="1" ht="11.25">
      <c r="A536" s="553"/>
      <c r="B536" s="553"/>
      <c r="C536" s="553"/>
      <c r="D536" s="553"/>
      <c r="E536" s="553"/>
      <c r="F536" s="553"/>
      <c r="G536" s="553"/>
      <c r="H536" s="553"/>
      <c r="I536" s="553"/>
      <c r="J536" s="553"/>
      <c r="K536" s="553" t="s">
        <v>238</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2136</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70"/>
      <c r="AF540" s="1270"/>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XBMJloy5mHN7kCbiyY7Zt1kmjpGXS6YFTOO0gJi4evZ2EVKdLRdEdoQDlGBMQUg/5udc56pZyhq+Of0R2DHYCg==" saltValue="SyWzFq2R7lZvzSPrPmSPUA=="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0"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4" customWidth="1"/>
    <col min="17" max="17" width="6" style="28" customWidth="1"/>
    <col min="18" max="21" width="9.140625" style="28" customWidth="1"/>
    <col min="22" max="22" width="8.85546875" style="28" customWidth="1"/>
    <col min="23" max="16384" width="9.140625" style="28"/>
  </cols>
  <sheetData>
    <row r="1" spans="1:19" s="35" customFormat="1" ht="13.9" customHeight="1">
      <c r="A1" s="1453" t="str">
        <f>CONCATENATE("PART NINE - SCORING CRITERIA","  -  ",'Part I-Project Information'!$O$4," ",'Part I-Project Information'!$F$24,", ",'Part I-Project Information'!F28,", ",'Part I-Project Information'!J29," County")</f>
        <v>PART NINE - SCORING CRITERIA  -  2015-026 Arbor Trace Apartments Phase II, Lake Park, Lowndes County</v>
      </c>
      <c r="B1" s="1454"/>
      <c r="C1" s="1454"/>
      <c r="D1" s="1454"/>
      <c r="E1" s="1454"/>
      <c r="F1" s="1454"/>
      <c r="G1" s="1454"/>
      <c r="H1" s="1454"/>
      <c r="I1" s="1454"/>
      <c r="J1" s="1454"/>
      <c r="K1" s="1454"/>
      <c r="L1" s="1454"/>
      <c r="M1" s="1454"/>
      <c r="N1" s="1454"/>
      <c r="O1" s="1454"/>
      <c r="P1" s="1455"/>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87" t="s">
        <v>4188</v>
      </c>
      <c r="B3" s="1787"/>
      <c r="C3" s="1787"/>
      <c r="D3" s="1787"/>
      <c r="E3" s="1787"/>
      <c r="F3" s="1787"/>
      <c r="G3" s="1787"/>
      <c r="H3" s="1787"/>
      <c r="I3" s="1787"/>
      <c r="J3" s="1787"/>
      <c r="K3" s="1787"/>
      <c r="L3" s="1787"/>
      <c r="M3" s="97" t="s">
        <v>2324</v>
      </c>
      <c r="N3" s="77"/>
      <c r="O3" s="87" t="s">
        <v>2323</v>
      </c>
      <c r="P3" s="193" t="s">
        <v>268</v>
      </c>
    </row>
    <row r="4" spans="1:19" s="44" customFormat="1" ht="12.6" customHeight="1">
      <c r="A4" s="1787"/>
      <c r="B4" s="1787"/>
      <c r="C4" s="1787"/>
      <c r="D4" s="1787"/>
      <c r="E4" s="1787"/>
      <c r="F4" s="1787"/>
      <c r="G4" s="1787"/>
      <c r="H4" s="1787"/>
      <c r="I4" s="1787"/>
      <c r="J4" s="1787"/>
      <c r="K4" s="1787"/>
      <c r="L4" s="1787"/>
      <c r="M4" s="195" t="s">
        <v>95</v>
      </c>
      <c r="N4" s="89"/>
      <c r="O4" s="194" t="s">
        <v>2324</v>
      </c>
      <c r="P4" s="88" t="s">
        <v>2324</v>
      </c>
    </row>
    <row r="5" spans="1:19" s="44" customFormat="1" ht="3" customHeight="1">
      <c r="A5" s="42"/>
      <c r="B5" s="42"/>
      <c r="C5" s="42"/>
      <c r="D5" s="42"/>
      <c r="E5" s="42"/>
      <c r="F5" s="42"/>
      <c r="G5" s="42"/>
      <c r="H5" s="42"/>
      <c r="I5" s="42"/>
      <c r="J5" s="42"/>
      <c r="K5" s="42"/>
      <c r="M5" s="97"/>
      <c r="N5" s="10"/>
      <c r="O5" s="1273"/>
      <c r="P5" s="1272"/>
    </row>
    <row r="6" spans="1:19" s="44" customFormat="1" ht="12.75" customHeight="1">
      <c r="A6" s="42"/>
      <c r="B6" s="50"/>
      <c r="C6" s="42"/>
      <c r="D6" s="42"/>
      <c r="E6" s="42"/>
      <c r="F6" s="42"/>
      <c r="G6" s="42"/>
      <c r="H6" s="1724" t="s">
        <v>4383</v>
      </c>
      <c r="I6" s="1725"/>
      <c r="J6" s="1726"/>
      <c r="L6" s="73" t="s">
        <v>1284</v>
      </c>
      <c r="M6" s="299">
        <f>M373</f>
        <v>92</v>
      </c>
      <c r="N6" s="9"/>
      <c r="O6" s="67">
        <f>O373</f>
        <v>50</v>
      </c>
      <c r="P6" s="67">
        <f>P373</f>
        <v>12</v>
      </c>
    </row>
    <row r="7" spans="1:19" s="44" customFormat="1" ht="3" customHeight="1">
      <c r="A7" s="42"/>
      <c r="B7" s="50"/>
      <c r="C7" s="42"/>
      <c r="D7" s="42"/>
      <c r="E7" s="42"/>
      <c r="F7" s="42"/>
      <c r="G7" s="42"/>
      <c r="H7" s="42"/>
      <c r="I7" s="42"/>
      <c r="J7" s="42"/>
      <c r="K7" s="42"/>
      <c r="M7" s="97"/>
      <c r="N7" s="10"/>
      <c r="O7" s="1273"/>
      <c r="P7" s="1272"/>
    </row>
    <row r="8" spans="1:19" s="42" customFormat="1" ht="12.6" customHeight="1">
      <c r="A8" s="167" t="s">
        <v>2084</v>
      </c>
      <c r="B8" s="112" t="s">
        <v>3090</v>
      </c>
      <c r="C8" s="4"/>
      <c r="D8" s="4"/>
      <c r="E8" s="4"/>
      <c r="F8" s="10"/>
      <c r="H8" s="49" t="s">
        <v>4189</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73"/>
      <c r="R9" s="42"/>
      <c r="S9" s="42"/>
    </row>
    <row r="10" spans="1:19" s="42" customFormat="1" ht="11.25" customHeight="1">
      <c r="A10" s="200" t="s">
        <v>2080</v>
      </c>
      <c r="B10" s="184" t="s">
        <v>1961</v>
      </c>
      <c r="D10" s="48"/>
      <c r="E10" s="48"/>
      <c r="F10" s="1251" t="s">
        <v>2710</v>
      </c>
      <c r="G10" s="1275">
        <f>F16</f>
        <v>0</v>
      </c>
      <c r="H10" s="192" t="s">
        <v>3267</v>
      </c>
      <c r="M10" s="6"/>
      <c r="N10" s="68" t="s">
        <v>2080</v>
      </c>
      <c r="O10" s="1303">
        <v>0</v>
      </c>
      <c r="P10" s="2641"/>
    </row>
    <row r="11" spans="1:19" s="43" customFormat="1" ht="11.25" customHeight="1">
      <c r="A11" s="200"/>
      <c r="B11" s="116" t="s">
        <v>2213</v>
      </c>
      <c r="D11" s="48"/>
      <c r="E11" s="48"/>
      <c r="F11" s="1251" t="s">
        <v>2710</v>
      </c>
      <c r="G11" s="1275">
        <f>P16</f>
        <v>0</v>
      </c>
      <c r="H11" s="192" t="s">
        <v>3037</v>
      </c>
      <c r="J11" s="49"/>
      <c r="M11" s="6">
        <v>1</v>
      </c>
      <c r="N11" s="68"/>
      <c r="O11" s="1304">
        <v>0</v>
      </c>
      <c r="P11" s="2642"/>
    </row>
    <row r="12" spans="1:19" s="42" customFormat="1" ht="11.25" customHeight="1">
      <c r="A12" s="200" t="s">
        <v>2083</v>
      </c>
      <c r="B12" s="184" t="s">
        <v>765</v>
      </c>
      <c r="D12" s="48"/>
      <c r="E12" s="48"/>
      <c r="F12" s="1251" t="s">
        <v>2710</v>
      </c>
      <c r="G12" s="1275">
        <f>K16</f>
        <v>0</v>
      </c>
      <c r="H12" s="192" t="s">
        <v>2905</v>
      </c>
      <c r="J12" s="49"/>
      <c r="M12" s="6"/>
      <c r="N12" s="68" t="s">
        <v>2083</v>
      </c>
      <c r="O12" s="1305">
        <v>0</v>
      </c>
      <c r="P12" s="2643"/>
      <c r="Q12" s="115"/>
    </row>
    <row r="13" spans="1:19" s="42" customFormat="1" ht="10.5" customHeight="1">
      <c r="A13" s="49" t="s">
        <v>267</v>
      </c>
      <c r="D13" s="48"/>
      <c r="E13" s="48"/>
      <c r="F13" s="48"/>
      <c r="G13" s="48"/>
      <c r="H13" s="36"/>
      <c r="I13" s="36"/>
      <c r="J13" s="36"/>
      <c r="K13" s="36"/>
      <c r="L13" s="43"/>
      <c r="M13" s="46"/>
      <c r="N13" s="64"/>
      <c r="O13" s="3"/>
      <c r="P13" s="1243"/>
    </row>
    <row r="14" spans="1:19" s="42" customFormat="1" ht="12.6" customHeight="1">
      <c r="A14" s="1598" t="s">
        <v>4465</v>
      </c>
      <c r="B14" s="1599"/>
      <c r="C14" s="1599"/>
      <c r="D14" s="1599"/>
      <c r="E14" s="1599"/>
      <c r="F14" s="1599"/>
      <c r="G14" s="1599"/>
      <c r="H14" s="1599"/>
      <c r="I14" s="1599"/>
      <c r="J14" s="1599"/>
      <c r="K14" s="1599"/>
      <c r="L14" s="1599"/>
      <c r="M14" s="1599"/>
      <c r="N14" s="1599"/>
      <c r="O14" s="1599"/>
      <c r="P14" s="1600"/>
      <c r="Q14" s="501" t="s">
        <v>1313</v>
      </c>
      <c r="R14" s="502"/>
    </row>
    <row r="15" spans="1:19" s="42" customFormat="1" ht="10.9" customHeight="1">
      <c r="A15" s="70" t="s">
        <v>1959</v>
      </c>
      <c r="C15" s="100"/>
      <c r="D15" s="100"/>
      <c r="F15" s="787" t="s">
        <v>1800</v>
      </c>
      <c r="K15" s="787" t="s">
        <v>1800</v>
      </c>
      <c r="P15" s="531" t="s">
        <v>1800</v>
      </c>
      <c r="R15" s="503"/>
      <c r="S15" s="173"/>
    </row>
    <row r="16" spans="1:19" s="42" customFormat="1" ht="12" customHeight="1">
      <c r="A16" s="1843" t="s">
        <v>2520</v>
      </c>
      <c r="B16" s="1843"/>
      <c r="C16" s="1843"/>
      <c r="D16" s="1843"/>
      <c r="E16" s="69" t="s">
        <v>531</v>
      </c>
      <c r="F16" s="80">
        <f>SUM(F17:F28)</f>
        <v>0</v>
      </c>
      <c r="G16" s="1844" t="s">
        <v>3844</v>
      </c>
      <c r="H16" s="1843"/>
      <c r="I16" s="1843"/>
      <c r="J16" s="69" t="s">
        <v>531</v>
      </c>
      <c r="K16" s="80">
        <f>SUM(K17:K28)</f>
        <v>0</v>
      </c>
      <c r="L16" s="1253" t="s">
        <v>3036</v>
      </c>
      <c r="M16" s="100"/>
      <c r="N16" s="99"/>
      <c r="O16" s="69"/>
      <c r="P16" s="80">
        <f>SUM(P17:P28)</f>
        <v>0</v>
      </c>
      <c r="R16" s="503"/>
      <c r="S16" s="173"/>
    </row>
    <row r="17" spans="1:19" s="42" customFormat="1" ht="22.5" customHeight="1">
      <c r="A17" s="2644">
        <v>1</v>
      </c>
      <c r="B17" s="2645"/>
      <c r="C17" s="2645"/>
      <c r="D17" s="2645"/>
      <c r="E17" s="2646"/>
      <c r="F17" s="2647"/>
      <c r="G17" s="2648">
        <v>1</v>
      </c>
      <c r="H17" s="2649"/>
      <c r="I17" s="2649"/>
      <c r="J17" s="2649"/>
      <c r="K17" s="817" t="s">
        <v>1820</v>
      </c>
      <c r="L17" s="2648">
        <v>1</v>
      </c>
      <c r="M17" s="2649"/>
      <c r="N17" s="2649"/>
      <c r="O17" s="2649"/>
      <c r="P17" s="2647"/>
      <c r="Q17" s="501" t="s">
        <v>1313</v>
      </c>
      <c r="R17" s="502"/>
      <c r="S17" s="173"/>
    </row>
    <row r="18" spans="1:19" s="42" customFormat="1" ht="22.5" customHeight="1">
      <c r="A18" s="2650">
        <v>2</v>
      </c>
      <c r="B18" s="2651"/>
      <c r="C18" s="2651"/>
      <c r="D18" s="2651"/>
      <c r="E18" s="2652"/>
      <c r="F18" s="2653"/>
      <c r="G18" s="2654">
        <v>2</v>
      </c>
      <c r="H18" s="2655"/>
      <c r="I18" s="2655"/>
      <c r="J18" s="2655"/>
      <c r="K18" s="2653"/>
      <c r="L18" s="2654">
        <v>2</v>
      </c>
      <c r="M18" s="2655"/>
      <c r="N18" s="2655"/>
      <c r="O18" s="2655"/>
      <c r="P18" s="2653"/>
      <c r="Q18" s="501"/>
      <c r="R18" s="502"/>
      <c r="S18" s="173"/>
    </row>
    <row r="19" spans="1:19" s="42" customFormat="1" ht="22.5" customHeight="1">
      <c r="A19" s="2650">
        <v>3</v>
      </c>
      <c r="B19" s="2651"/>
      <c r="C19" s="2651"/>
      <c r="D19" s="2651"/>
      <c r="E19" s="2652"/>
      <c r="F19" s="2653"/>
      <c r="G19" s="2654">
        <v>3</v>
      </c>
      <c r="H19" s="2655"/>
      <c r="I19" s="2655"/>
      <c r="J19" s="2655"/>
      <c r="K19" s="818" t="s">
        <v>3310</v>
      </c>
      <c r="L19" s="2654">
        <v>3</v>
      </c>
      <c r="M19" s="2655"/>
      <c r="N19" s="2655"/>
      <c r="O19" s="2655"/>
      <c r="P19" s="2653"/>
      <c r="Q19" s="501"/>
      <c r="R19" s="502"/>
      <c r="S19" s="173"/>
    </row>
    <row r="20" spans="1:19" s="42" customFormat="1" ht="22.5" customHeight="1">
      <c r="A20" s="2650">
        <v>4</v>
      </c>
      <c r="B20" s="2651"/>
      <c r="C20" s="2651"/>
      <c r="D20" s="2651"/>
      <c r="E20" s="2652"/>
      <c r="F20" s="2653"/>
      <c r="G20" s="2654">
        <v>4</v>
      </c>
      <c r="H20" s="2655"/>
      <c r="I20" s="2655"/>
      <c r="J20" s="2655"/>
      <c r="K20" s="818" t="s">
        <v>3310</v>
      </c>
      <c r="L20" s="2654">
        <v>4</v>
      </c>
      <c r="M20" s="2655"/>
      <c r="N20" s="2655"/>
      <c r="O20" s="2655"/>
      <c r="P20" s="2653"/>
      <c r="Q20" s="501"/>
      <c r="R20" s="502"/>
      <c r="S20" s="173"/>
    </row>
    <row r="21" spans="1:19" s="42" customFormat="1" ht="22.5" customHeight="1">
      <c r="A21" s="2650">
        <v>5</v>
      </c>
      <c r="B21" s="2651"/>
      <c r="C21" s="2651"/>
      <c r="D21" s="2651"/>
      <c r="E21" s="2652"/>
      <c r="F21" s="2653"/>
      <c r="G21" s="2654">
        <v>5</v>
      </c>
      <c r="H21" s="2655"/>
      <c r="I21" s="2655"/>
      <c r="J21" s="2655"/>
      <c r="K21" s="2653"/>
      <c r="L21" s="2654">
        <v>5</v>
      </c>
      <c r="M21" s="2655"/>
      <c r="N21" s="2655"/>
      <c r="O21" s="2655"/>
      <c r="P21" s="2653"/>
      <c r="R21" s="173"/>
      <c r="S21" s="173"/>
    </row>
    <row r="22" spans="1:19" s="42" customFormat="1" ht="22.5" customHeight="1">
      <c r="A22" s="2650">
        <v>6</v>
      </c>
      <c r="B22" s="2651"/>
      <c r="C22" s="2651"/>
      <c r="D22" s="2651"/>
      <c r="E22" s="2652"/>
      <c r="F22" s="2653"/>
      <c r="G22" s="2654">
        <v>6</v>
      </c>
      <c r="H22" s="2655"/>
      <c r="I22" s="2655"/>
      <c r="J22" s="2655"/>
      <c r="K22" s="2653"/>
      <c r="L22" s="2654">
        <v>6</v>
      </c>
      <c r="M22" s="2655"/>
      <c r="N22" s="2655"/>
      <c r="O22" s="2655"/>
      <c r="P22" s="2653"/>
      <c r="R22" s="173"/>
      <c r="S22" s="173"/>
    </row>
    <row r="23" spans="1:19" s="42" customFormat="1" ht="22.5" customHeight="1">
      <c r="A23" s="2650">
        <v>7</v>
      </c>
      <c r="B23" s="2651"/>
      <c r="C23" s="2651"/>
      <c r="D23" s="2651"/>
      <c r="E23" s="2652"/>
      <c r="F23" s="2653"/>
      <c r="G23" s="2654">
        <v>7</v>
      </c>
      <c r="H23" s="2655"/>
      <c r="I23" s="2655"/>
      <c r="J23" s="2655"/>
      <c r="K23" s="2653"/>
      <c r="L23" s="2654">
        <v>7</v>
      </c>
      <c r="M23" s="2655"/>
      <c r="N23" s="2655"/>
      <c r="O23" s="2655"/>
      <c r="P23" s="2653"/>
      <c r="R23" s="173"/>
      <c r="S23" s="173"/>
    </row>
    <row r="24" spans="1:19" s="42" customFormat="1" ht="22.5" customHeight="1">
      <c r="A24" s="2650">
        <v>8</v>
      </c>
      <c r="B24" s="2651"/>
      <c r="C24" s="2651"/>
      <c r="D24" s="2651"/>
      <c r="E24" s="2652"/>
      <c r="F24" s="2653"/>
      <c r="G24" s="2654">
        <v>8</v>
      </c>
      <c r="H24" s="2655"/>
      <c r="I24" s="2655"/>
      <c r="J24" s="2655"/>
      <c r="K24" s="2653"/>
      <c r="L24" s="2654">
        <v>8</v>
      </c>
      <c r="M24" s="2655"/>
      <c r="N24" s="2655"/>
      <c r="O24" s="2655"/>
      <c r="P24" s="2653"/>
      <c r="R24" s="173"/>
      <c r="S24" s="173"/>
    </row>
    <row r="25" spans="1:19" s="42" customFormat="1" ht="22.5" customHeight="1">
      <c r="A25" s="2650">
        <v>9</v>
      </c>
      <c r="B25" s="2651"/>
      <c r="C25" s="2651"/>
      <c r="D25" s="2651"/>
      <c r="E25" s="2652"/>
      <c r="F25" s="2653"/>
      <c r="G25" s="2654">
        <v>9</v>
      </c>
      <c r="H25" s="2655"/>
      <c r="I25" s="2655"/>
      <c r="J25" s="2655"/>
      <c r="K25" s="2653"/>
      <c r="L25" s="2654">
        <v>9</v>
      </c>
      <c r="M25" s="2655"/>
      <c r="N25" s="2655"/>
      <c r="O25" s="2655"/>
      <c r="P25" s="2653"/>
      <c r="R25" s="173"/>
      <c r="S25" s="173"/>
    </row>
    <row r="26" spans="1:19" s="42" customFormat="1" ht="22.5" customHeight="1">
      <c r="A26" s="2650">
        <v>10</v>
      </c>
      <c r="B26" s="2651"/>
      <c r="C26" s="2651"/>
      <c r="D26" s="2651"/>
      <c r="E26" s="2652"/>
      <c r="F26" s="2653"/>
      <c r="G26" s="2654">
        <v>10</v>
      </c>
      <c r="H26" s="2655"/>
      <c r="I26" s="2655"/>
      <c r="J26" s="2655"/>
      <c r="K26" s="2653"/>
      <c r="L26" s="2654">
        <v>10</v>
      </c>
      <c r="M26" s="2655"/>
      <c r="N26" s="2655"/>
      <c r="O26" s="2655"/>
      <c r="P26" s="2653"/>
      <c r="R26" s="173"/>
      <c r="S26" s="173"/>
    </row>
    <row r="27" spans="1:19" s="42" customFormat="1" ht="22.5" customHeight="1">
      <c r="A27" s="2650">
        <v>11</v>
      </c>
      <c r="B27" s="2651"/>
      <c r="C27" s="2651"/>
      <c r="D27" s="2651"/>
      <c r="E27" s="2652"/>
      <c r="F27" s="2653"/>
      <c r="G27" s="2654">
        <v>11</v>
      </c>
      <c r="H27" s="2655"/>
      <c r="I27" s="2655"/>
      <c r="J27" s="2655"/>
      <c r="K27" s="2653"/>
      <c r="L27" s="2654">
        <v>11</v>
      </c>
      <c r="M27" s="2655"/>
      <c r="N27" s="2655"/>
      <c r="O27" s="2655"/>
      <c r="P27" s="2653"/>
      <c r="R27" s="173"/>
      <c r="S27" s="173"/>
    </row>
    <row r="28" spans="1:19" s="42" customFormat="1" ht="22.5" customHeight="1">
      <c r="A28" s="2656">
        <v>12</v>
      </c>
      <c r="B28" s="2657"/>
      <c r="C28" s="2657"/>
      <c r="D28" s="2657"/>
      <c r="E28" s="2658"/>
      <c r="F28" s="2659"/>
      <c r="G28" s="2660">
        <v>12</v>
      </c>
      <c r="H28" s="2661"/>
      <c r="I28" s="2661"/>
      <c r="J28" s="2661"/>
      <c r="K28" s="2659"/>
      <c r="L28" s="2660">
        <v>12</v>
      </c>
      <c r="M28" s="2661"/>
      <c r="N28" s="2661"/>
      <c r="O28" s="2661"/>
      <c r="P28" s="2659"/>
    </row>
    <row r="29" spans="1:19" s="43" customFormat="1" ht="3" customHeight="1">
      <c r="D29" s="39"/>
      <c r="E29" s="36"/>
      <c r="F29" s="1273"/>
      <c r="G29" s="1273"/>
      <c r="H29" s="1273"/>
      <c r="I29" s="1273"/>
      <c r="J29" s="1275"/>
      <c r="K29" s="1275"/>
      <c r="L29" s="1275"/>
      <c r="M29" s="62"/>
      <c r="N29" s="1273"/>
      <c r="O29" s="1243"/>
      <c r="P29" s="3"/>
    </row>
    <row r="30" spans="1:19" s="43" customFormat="1" ht="12.6" customHeight="1">
      <c r="A30" s="496" t="s">
        <v>2086</v>
      </c>
      <c r="B30" s="119" t="s">
        <v>1064</v>
      </c>
      <c r="E30" s="59"/>
      <c r="G30" s="92"/>
      <c r="H30" s="53"/>
      <c r="I30" s="45" t="s">
        <v>4245</v>
      </c>
      <c r="M30" s="1273">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6" t="s">
        <v>2080</v>
      </c>
      <c r="B31" s="1279" t="s">
        <v>2752</v>
      </c>
      <c r="E31" s="59"/>
      <c r="G31" s="92"/>
      <c r="H31" s="53"/>
      <c r="I31" s="1831" t="s">
        <v>3849</v>
      </c>
      <c r="J31" s="1831"/>
      <c r="M31" s="1273"/>
      <c r="N31" s="7"/>
      <c r="O31" s="758"/>
      <c r="P31" s="7"/>
      <c r="Q31" s="7"/>
      <c r="R31" s="416"/>
    </row>
    <row r="32" spans="1:19" s="477" customFormat="1" ht="11.25" customHeight="1">
      <c r="B32" s="152" t="s">
        <v>3847</v>
      </c>
      <c r="C32" s="760"/>
      <c r="D32" s="760"/>
      <c r="E32" s="759"/>
      <c r="I32" s="1832"/>
      <c r="J32" s="1832"/>
      <c r="K32" s="1827" t="s">
        <v>3846</v>
      </c>
      <c r="L32" s="1827"/>
      <c r="M32" s="483"/>
      <c r="N32" s="479"/>
      <c r="P32" s="765"/>
    </row>
    <row r="33" spans="1:18" s="477" customFormat="1" ht="11.25" customHeight="1">
      <c r="A33" s="476"/>
      <c r="B33" s="152" t="s">
        <v>3848</v>
      </c>
      <c r="C33" s="760"/>
      <c r="E33" s="761" t="s">
        <v>2084</v>
      </c>
      <c r="F33" s="762">
        <v>0.15</v>
      </c>
      <c r="G33" s="152" t="s">
        <v>3845</v>
      </c>
      <c r="I33" s="1306">
        <f>'Part VI-Revenues &amp; Expenses'!$M$57</f>
        <v>9</v>
      </c>
      <c r="J33" s="2662"/>
      <c r="K33" s="766">
        <f>IF(OR('Part VI-Revenues &amp; Expenses'!$M$60="", 'Part VI-Revenues &amp; Expenses'!$M$60=0),0,I33/'Part VI-Revenues &amp; Expenses'!$M$60)</f>
        <v>0.21428571428571427</v>
      </c>
      <c r="L33" s="766">
        <f>IF(OR('Part VI-Revenues &amp; Expenses'!$M$60="", 'Part VI-Revenues &amp; Expenses'!$M$60=0),0,J33/'Part VI-Revenues &amp; Expenses'!$M$60)</f>
        <v>0</v>
      </c>
      <c r="M33" s="483">
        <v>1</v>
      </c>
      <c r="N33" s="479"/>
      <c r="O33" s="763"/>
      <c r="P33" s="764"/>
    </row>
    <row r="34" spans="1:18" s="477" customFormat="1" ht="11.25" customHeight="1">
      <c r="A34" s="779" t="s">
        <v>1418</v>
      </c>
      <c r="B34" s="760"/>
      <c r="C34" s="760"/>
      <c r="E34" s="761" t="s">
        <v>2086</v>
      </c>
      <c r="F34" s="762">
        <v>0.2</v>
      </c>
      <c r="G34" s="152" t="s">
        <v>3845</v>
      </c>
      <c r="H34" s="464"/>
      <c r="I34" s="1307">
        <f>'Part VI-Revenues &amp; Expenses'!$M$57</f>
        <v>9</v>
      </c>
      <c r="J34" s="2663"/>
      <c r="K34" s="767">
        <f>IF(OR('Part VI-Revenues &amp; Expenses'!$M$60="", 'Part VI-Revenues &amp; Expenses'!$M$60=0),0,I34/'Part VI-Revenues &amp; Expenses'!$M$60)</f>
        <v>0.21428571428571427</v>
      </c>
      <c r="L34" s="767">
        <f>IF(OR('Part VI-Revenues &amp; Expenses'!$M$60="", 'Part VI-Revenues &amp; Expenses'!$M$60=0),0,J34/'Part VI-Revenues &amp; Expenses'!$M$60)</f>
        <v>0</v>
      </c>
      <c r="M34" s="483">
        <v>2</v>
      </c>
      <c r="N34" s="479"/>
      <c r="O34" s="1828" t="s">
        <v>2840</v>
      </c>
      <c r="P34" s="1828"/>
    </row>
    <row r="35" spans="1:18" s="477" customFormat="1" ht="11.25" customHeight="1">
      <c r="A35" s="476" t="s">
        <v>2083</v>
      </c>
      <c r="B35" s="1279" t="s">
        <v>4190</v>
      </c>
      <c r="E35" s="478"/>
      <c r="H35" s="464" t="s">
        <v>2753</v>
      </c>
      <c r="I35" s="1308"/>
      <c r="J35" s="2663"/>
      <c r="K35" s="768">
        <f>IF(OR('Part VI-Revenues &amp; Expenses'!$M$60="", 'Part VI-Revenues &amp; Expenses'!$M$60=0),0,I35/'Part VI-Revenues &amp; Expenses'!$M$60)</f>
        <v>0</v>
      </c>
      <c r="L35" s="768">
        <f>IF(OR('Part VI-Revenues &amp; Expenses'!$M$60="", 'Part VI-Revenues &amp; Expenses'!$M$60=0),0,J35/'Part VI-Revenues &amp; Expenses'!$M$60)</f>
        <v>0</v>
      </c>
      <c r="M35" s="483">
        <v>3</v>
      </c>
      <c r="N35" s="479"/>
      <c r="O35" s="1829">
        <v>0.15</v>
      </c>
      <c r="P35" s="1830"/>
    </row>
    <row r="36" spans="1:18" s="43" customFormat="1" ht="10.5" customHeight="1">
      <c r="A36" s="42"/>
      <c r="B36" s="49" t="s">
        <v>267</v>
      </c>
      <c r="C36" s="42"/>
      <c r="D36" s="48"/>
      <c r="E36" s="48"/>
      <c r="F36" s="48"/>
      <c r="G36" s="48"/>
      <c r="H36" s="36"/>
      <c r="I36" s="36"/>
      <c r="J36" s="36"/>
      <c r="K36" s="36"/>
      <c r="M36" s="46"/>
      <c r="N36" s="64"/>
      <c r="O36" s="3"/>
      <c r="P36" s="1243"/>
    </row>
    <row r="37" spans="1:18" s="43" customFormat="1" ht="12.6" customHeight="1">
      <c r="A37" s="1598" t="s">
        <v>4466</v>
      </c>
      <c r="B37" s="1599"/>
      <c r="C37" s="1599"/>
      <c r="D37" s="1599"/>
      <c r="E37" s="1599"/>
      <c r="F37" s="1599"/>
      <c r="G37" s="1599"/>
      <c r="H37" s="1599"/>
      <c r="I37" s="1599"/>
      <c r="J37" s="1599"/>
      <c r="K37" s="1599"/>
      <c r="L37" s="1599"/>
      <c r="M37" s="1599"/>
      <c r="N37" s="1599"/>
      <c r="O37" s="1599"/>
      <c r="P37" s="1600"/>
      <c r="Q37" s="501" t="s">
        <v>1313</v>
      </c>
    </row>
    <row r="38" spans="1:18" s="43" customFormat="1" ht="10.5" customHeight="1">
      <c r="A38" s="42"/>
      <c r="B38" s="103" t="s">
        <v>1959</v>
      </c>
      <c r="C38" s="42"/>
      <c r="D38" s="90"/>
      <c r="E38" s="1244"/>
      <c r="F38" s="1244"/>
      <c r="G38" s="1244"/>
      <c r="H38" s="1244"/>
      <c r="I38" s="1244"/>
      <c r="J38" s="1244"/>
      <c r="K38" s="1244"/>
      <c r="L38" s="1244"/>
      <c r="M38" s="1244"/>
      <c r="N38" s="78"/>
      <c r="O38" s="74"/>
      <c r="P38" s="2"/>
      <c r="Q38" s="477"/>
    </row>
    <row r="39" spans="1:18" s="43" customFormat="1" ht="12.6" customHeight="1">
      <c r="A39" s="1644"/>
      <c r="B39" s="1645"/>
      <c r="C39" s="1645"/>
      <c r="D39" s="1645"/>
      <c r="E39" s="1645"/>
      <c r="F39" s="1645"/>
      <c r="G39" s="1645"/>
      <c r="H39" s="1645"/>
      <c r="I39" s="1645"/>
      <c r="J39" s="1645"/>
      <c r="K39" s="1645"/>
      <c r="L39" s="1645"/>
      <c r="M39" s="1645"/>
      <c r="N39" s="1645"/>
      <c r="O39" s="1645"/>
      <c r="P39" s="1646"/>
      <c r="Q39" s="501" t="s">
        <v>1313</v>
      </c>
    </row>
    <row r="40" spans="1:18" ht="3" customHeight="1"/>
    <row r="41" spans="1:18" s="43" customFormat="1" ht="12.6" customHeight="1">
      <c r="A41" s="167" t="s">
        <v>2660</v>
      </c>
      <c r="B41" s="111" t="s">
        <v>1967</v>
      </c>
      <c r="D41" s="41"/>
      <c r="J41" s="1810" t="s">
        <v>625</v>
      </c>
      <c r="K41" s="1810"/>
      <c r="L41" s="1810"/>
      <c r="M41" s="2">
        <v>13</v>
      </c>
      <c r="N41" s="531"/>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73"/>
      <c r="G42" s="1273"/>
      <c r="J42" s="1810"/>
      <c r="K42" s="1810"/>
      <c r="L42" s="1810"/>
      <c r="M42" s="62"/>
      <c r="N42" s="1273"/>
      <c r="O42" s="1243"/>
      <c r="P42" s="3"/>
    </row>
    <row r="43" spans="1:18" s="43" customFormat="1" ht="12" customHeight="1">
      <c r="A43" s="151" t="s">
        <v>2080</v>
      </c>
      <c r="B43" s="184" t="s">
        <v>1968</v>
      </c>
      <c r="C43" s="4"/>
      <c r="D43" s="4"/>
      <c r="E43" s="192" t="s">
        <v>2889</v>
      </c>
      <c r="F43" s="334"/>
      <c r="G43" s="334"/>
      <c r="J43" s="1810"/>
      <c r="K43" s="1810"/>
      <c r="L43" s="1810"/>
      <c r="M43" s="76">
        <v>12</v>
      </c>
      <c r="N43" s="196" t="s">
        <v>2080</v>
      </c>
      <c r="O43" s="1309">
        <v>12</v>
      </c>
      <c r="P43" s="2664"/>
      <c r="Q43" s="432" t="s">
        <v>2875</v>
      </c>
      <c r="R43" s="416"/>
    </row>
    <row r="44" spans="1:18" s="43" customFormat="1" ht="12" customHeight="1">
      <c r="A44" s="151" t="s">
        <v>2083</v>
      </c>
      <c r="B44" s="184" t="s">
        <v>3965</v>
      </c>
      <c r="C44" s="4"/>
      <c r="D44" s="4"/>
      <c r="F44" s="192" t="s">
        <v>3987</v>
      </c>
      <c r="H44" s="334"/>
      <c r="I44" s="192" t="s">
        <v>3988</v>
      </c>
      <c r="L44" s="614" t="s">
        <v>3967</v>
      </c>
      <c r="M44" s="76">
        <v>1</v>
      </c>
      <c r="N44" s="531" t="s">
        <v>2083</v>
      </c>
      <c r="O44" s="1310">
        <v>1</v>
      </c>
      <c r="P44" s="2665"/>
      <c r="Q44" s="432" t="s">
        <v>2875</v>
      </c>
      <c r="R44" s="416"/>
    </row>
    <row r="45" spans="1:18" s="43" customFormat="1" ht="12" customHeight="1">
      <c r="A45" s="151"/>
      <c r="B45" s="1833" t="s">
        <v>3966</v>
      </c>
      <c r="C45" s="1833"/>
      <c r="D45" s="1833"/>
      <c r="E45" s="1833"/>
      <c r="F45" s="1834" t="s">
        <v>3977</v>
      </c>
      <c r="G45" s="1835"/>
      <c r="H45" s="1836"/>
      <c r="I45" s="1834" t="s">
        <v>4550</v>
      </c>
      <c r="J45" s="1835"/>
      <c r="K45" s="1836"/>
      <c r="L45" s="1311">
        <v>0.2</v>
      </c>
      <c r="M45" s="76"/>
      <c r="N45" s="196"/>
      <c r="O45" s="196"/>
      <c r="P45" s="196"/>
      <c r="Q45" s="432"/>
      <c r="R45" s="416"/>
    </row>
    <row r="46" spans="1:18" s="43" customFormat="1" ht="12" customHeight="1">
      <c r="A46" s="151"/>
      <c r="B46" s="1833"/>
      <c r="C46" s="1833"/>
      <c r="D46" s="1833"/>
      <c r="E46" s="1833"/>
      <c r="F46" s="1837" t="s">
        <v>3984</v>
      </c>
      <c r="G46" s="1838"/>
      <c r="H46" s="1839"/>
      <c r="I46" s="1837" t="s">
        <v>4525</v>
      </c>
      <c r="J46" s="1838"/>
      <c r="K46" s="1839"/>
      <c r="L46" s="1312">
        <v>0.6</v>
      </c>
      <c r="M46" s="76"/>
      <c r="N46" s="196"/>
      <c r="O46" s="196"/>
      <c r="P46" s="196"/>
      <c r="Q46" s="432"/>
      <c r="R46" s="416"/>
    </row>
    <row r="47" spans="1:18" s="43" customFormat="1" ht="12" customHeight="1">
      <c r="A47" s="151"/>
      <c r="B47" s="1833"/>
      <c r="C47" s="1833"/>
      <c r="D47" s="1833"/>
      <c r="E47" s="1833"/>
      <c r="F47" s="1840" t="s">
        <v>3971</v>
      </c>
      <c r="G47" s="1841"/>
      <c r="H47" s="1842"/>
      <c r="I47" s="1840" t="s">
        <v>4526</v>
      </c>
      <c r="J47" s="1841"/>
      <c r="K47" s="1842"/>
      <c r="L47" s="1313">
        <v>0.6</v>
      </c>
      <c r="M47" s="76"/>
      <c r="N47" s="196"/>
      <c r="O47" s="196"/>
      <c r="P47" s="196"/>
      <c r="Q47" s="432"/>
      <c r="R47" s="416"/>
    </row>
    <row r="48" spans="1:18" s="43" customFormat="1" ht="12.6" customHeight="1">
      <c r="A48" s="151" t="s">
        <v>788</v>
      </c>
      <c r="B48" s="184" t="s">
        <v>1969</v>
      </c>
      <c r="D48" s="41"/>
      <c r="E48" s="192" t="s">
        <v>442</v>
      </c>
      <c r="F48" s="436"/>
      <c r="G48" s="436"/>
      <c r="H48" s="436"/>
      <c r="M48" s="787" t="s">
        <v>1297</v>
      </c>
      <c r="N48" s="531" t="s">
        <v>788</v>
      </c>
      <c r="O48" s="1314">
        <v>0</v>
      </c>
      <c r="P48" s="2666"/>
      <c r="Q48" s="432" t="s">
        <v>2875</v>
      </c>
      <c r="R48" s="416"/>
    </row>
    <row r="49" spans="1:18" s="43" customFormat="1" ht="11.25" customHeight="1">
      <c r="A49" s="42"/>
      <c r="B49" s="49" t="s">
        <v>267</v>
      </c>
      <c r="C49" s="42"/>
      <c r="D49" s="48"/>
      <c r="E49" s="48"/>
      <c r="F49" s="48"/>
      <c r="G49" s="48"/>
      <c r="H49" s="36"/>
      <c r="I49" s="36"/>
      <c r="J49" s="36"/>
      <c r="K49" s="36"/>
      <c r="M49" s="46"/>
      <c r="N49" s="64"/>
      <c r="O49" s="3"/>
      <c r="P49" s="1243"/>
    </row>
    <row r="50" spans="1:18" s="43" customFormat="1" ht="23.45" customHeight="1">
      <c r="A50" s="1598" t="s">
        <v>4467</v>
      </c>
      <c r="B50" s="1599"/>
      <c r="C50" s="1599"/>
      <c r="D50" s="1599"/>
      <c r="E50" s="1599"/>
      <c r="F50" s="1599"/>
      <c r="G50" s="1599"/>
      <c r="H50" s="1599"/>
      <c r="I50" s="1599"/>
      <c r="J50" s="1599"/>
      <c r="K50" s="1599"/>
      <c r="L50" s="1599"/>
      <c r="M50" s="1599"/>
      <c r="N50" s="1599"/>
      <c r="O50" s="1599"/>
      <c r="P50" s="1600"/>
      <c r="Q50" s="501" t="s">
        <v>1313</v>
      </c>
      <c r="R50" s="502"/>
    </row>
    <row r="51" spans="1:18" s="43" customFormat="1" ht="11.45" customHeight="1">
      <c r="A51" s="42"/>
      <c r="B51" s="70" t="s">
        <v>1959</v>
      </c>
      <c r="C51" s="42"/>
      <c r="D51" s="149"/>
      <c r="E51" s="1244"/>
      <c r="F51" s="1244"/>
      <c r="G51" s="1244"/>
      <c r="H51" s="1244"/>
      <c r="I51" s="1244"/>
      <c r="J51" s="1244"/>
      <c r="K51" s="1244"/>
      <c r="L51" s="1244"/>
      <c r="M51" s="1244"/>
      <c r="N51" s="78"/>
      <c r="O51" s="74"/>
      <c r="P51" s="2"/>
      <c r="Q51" s="477"/>
      <c r="R51" s="477"/>
    </row>
    <row r="52" spans="1:18" s="43" customFormat="1" ht="23.45" customHeight="1">
      <c r="A52" s="1644"/>
      <c r="B52" s="1645"/>
      <c r="C52" s="1645"/>
      <c r="D52" s="1645"/>
      <c r="E52" s="1645"/>
      <c r="F52" s="1645"/>
      <c r="G52" s="1645"/>
      <c r="H52" s="1645"/>
      <c r="I52" s="1645"/>
      <c r="J52" s="1645"/>
      <c r="K52" s="1645"/>
      <c r="L52" s="1645"/>
      <c r="M52" s="1645"/>
      <c r="N52" s="1645"/>
      <c r="O52" s="1645"/>
      <c r="P52" s="1646"/>
      <c r="Q52" s="501" t="s">
        <v>1313</v>
      </c>
      <c r="R52" s="502"/>
    </row>
    <row r="53" spans="1:18" ht="3.6" customHeight="1">
      <c r="M53" s="32"/>
      <c r="N53" s="122"/>
      <c r="O53" s="165"/>
      <c r="P53" s="165"/>
    </row>
    <row r="54" spans="1:18" s="43" customFormat="1" ht="12.6" customHeight="1">
      <c r="A54" s="167" t="s">
        <v>1282</v>
      </c>
      <c r="B54" s="111" t="s">
        <v>2766</v>
      </c>
      <c r="D54" s="41"/>
      <c r="H54" s="45" t="s">
        <v>2824</v>
      </c>
      <c r="I54" s="49" t="s">
        <v>1975</v>
      </c>
      <c r="J54" s="48"/>
      <c r="K54" s="48"/>
      <c r="M54" s="2">
        <v>5</v>
      </c>
      <c r="N54" s="531"/>
      <c r="O54" s="67">
        <f>IF($J$55="Flexible",MIN($M54,(O56+O57+O58+O59+O60)),IF(AND($J$55="Rural",O62&gt;0),MIN($M62,O62),0))</f>
        <v>2</v>
      </c>
      <c r="P54" s="67">
        <f>IF($J$55="Flexible",MIN($M54,(P56+P57+P58+P59+P60)),IF(AND($J$55="Rural",P62&gt;0),MIN($M62,P62),0))</f>
        <v>0</v>
      </c>
      <c r="Q54" s="115" t="s">
        <v>458</v>
      </c>
    </row>
    <row r="55" spans="1:18" s="43" customFormat="1" ht="12.6" customHeight="1">
      <c r="A55" s="598" t="s">
        <v>3091</v>
      </c>
      <c r="B55" s="111"/>
      <c r="D55" s="41"/>
      <c r="H55" s="184" t="s">
        <v>3100</v>
      </c>
      <c r="I55" s="599"/>
      <c r="J55" s="184" t="str">
        <f>'Part I-Project Information'!$H$90</f>
        <v>Rural</v>
      </c>
      <c r="L55" s="28"/>
      <c r="M55" s="2"/>
      <c r="N55" s="2"/>
      <c r="O55" s="2"/>
      <c r="P55" s="2"/>
      <c r="Q55" s="115"/>
    </row>
    <row r="56" spans="1:18" s="461" customFormat="1" ht="23.25" customHeight="1">
      <c r="A56" s="156" t="s">
        <v>2080</v>
      </c>
      <c r="B56" s="1812" t="s">
        <v>4230</v>
      </c>
      <c r="C56" s="1812"/>
      <c r="D56" s="1812"/>
      <c r="E56" s="1812"/>
      <c r="F56" s="1812"/>
      <c r="G56" s="1812"/>
      <c r="H56" s="1812"/>
      <c r="I56" s="1813" t="s">
        <v>4236</v>
      </c>
      <c r="J56" s="1814"/>
      <c r="K56" s="1814"/>
      <c r="L56" s="1815"/>
      <c r="M56" s="594">
        <v>5</v>
      </c>
      <c r="N56" s="433" t="s">
        <v>2080</v>
      </c>
      <c r="O56" s="1315"/>
      <c r="P56" s="2667"/>
      <c r="Q56" s="595" t="str">
        <f>IF(OR($O56=$M56,$O56=0,$O56=""),"","* * Check Score! * *")</f>
        <v/>
      </c>
      <c r="R56" s="432" t="s">
        <v>2875</v>
      </c>
    </row>
    <row r="57" spans="1:18" s="461" customFormat="1" ht="12" customHeight="1">
      <c r="A57" s="156" t="s">
        <v>2083</v>
      </c>
      <c r="B57" s="916" t="s">
        <v>4231</v>
      </c>
      <c r="C57" s="916"/>
      <c r="D57" s="916"/>
      <c r="E57" s="916"/>
      <c r="F57" s="916"/>
      <c r="G57" s="916"/>
      <c r="H57" s="916"/>
      <c r="I57" s="1822" t="s">
        <v>4235</v>
      </c>
      <c r="J57" s="1823"/>
      <c r="K57" s="1823"/>
      <c r="L57" s="1316" t="s">
        <v>4237</v>
      </c>
      <c r="M57" s="594">
        <v>4</v>
      </c>
      <c r="N57" s="177" t="s">
        <v>2083</v>
      </c>
      <c r="O57" s="1317"/>
      <c r="P57" s="2668"/>
      <c r="Q57" s="595" t="str">
        <f>IF(OR($O57=$M57,$O57=0,$O57=""),"","* * Check Score! * *")</f>
        <v/>
      </c>
      <c r="R57" s="432" t="s">
        <v>2875</v>
      </c>
    </row>
    <row r="58" spans="1:18" s="461" customFormat="1" ht="12" customHeight="1">
      <c r="A58" s="151" t="s">
        <v>788</v>
      </c>
      <c r="B58" s="116" t="s">
        <v>4232</v>
      </c>
      <c r="C58" s="916"/>
      <c r="D58" s="916"/>
      <c r="E58" s="916"/>
      <c r="F58" s="916"/>
      <c r="G58" s="916"/>
      <c r="H58" s="916"/>
      <c r="I58" s="1816" t="s">
        <v>4357</v>
      </c>
      <c r="J58" s="1817"/>
      <c r="K58" s="1817"/>
      <c r="L58" s="1818"/>
      <c r="M58" s="594">
        <v>3</v>
      </c>
      <c r="N58" s="196" t="s">
        <v>788</v>
      </c>
      <c r="O58" s="1317"/>
      <c r="P58" s="2668"/>
      <c r="Q58" s="595" t="str">
        <f>IF(OR($O58=$M58,$O58=0,$O58=""),"","* * Check Score! * *")</f>
        <v/>
      </c>
      <c r="R58" s="432" t="s">
        <v>2875</v>
      </c>
    </row>
    <row r="59" spans="1:18" s="43" customFormat="1" ht="12.6" customHeight="1">
      <c r="A59" s="151" t="s">
        <v>2215</v>
      </c>
      <c r="B59" s="116" t="s">
        <v>4233</v>
      </c>
      <c r="E59" s="41"/>
      <c r="I59" s="1819"/>
      <c r="J59" s="1820"/>
      <c r="K59" s="1820"/>
      <c r="L59" s="1821"/>
      <c r="M59" s="76">
        <v>2</v>
      </c>
      <c r="N59" s="196" t="s">
        <v>2215</v>
      </c>
      <c r="O59" s="1318"/>
      <c r="P59" s="2669"/>
      <c r="Q59" s="416" t="str">
        <f>IF(OR($O59=$M59,$O59=0,$O59=""),"","* * Check Score! * *")</f>
        <v/>
      </c>
      <c r="R59" s="432" t="s">
        <v>2875</v>
      </c>
    </row>
    <row r="60" spans="1:18" s="43" customFormat="1" ht="12.6" customHeight="1">
      <c r="A60" s="151" t="s">
        <v>1822</v>
      </c>
      <c r="B60" s="916" t="s">
        <v>4234</v>
      </c>
      <c r="E60" s="41"/>
      <c r="I60" s="1816" t="s">
        <v>4358</v>
      </c>
      <c r="J60" s="1817"/>
      <c r="K60" s="1817"/>
      <c r="L60" s="1818"/>
      <c r="M60" s="76">
        <v>1</v>
      </c>
      <c r="N60" s="196" t="s">
        <v>1822</v>
      </c>
      <c r="O60" s="1310"/>
      <c r="P60" s="2665"/>
      <c r="Q60" s="416" t="str">
        <f>IF(OR($O60=$M60,$O60=0,$O60=""),"","* * Check Score! * *")</f>
        <v/>
      </c>
      <c r="R60" s="432" t="s">
        <v>2875</v>
      </c>
    </row>
    <row r="61" spans="1:18" s="43" customFormat="1" ht="12.6" customHeight="1">
      <c r="A61" s="598" t="s">
        <v>3093</v>
      </c>
      <c r="B61" s="184"/>
      <c r="E61" s="41"/>
      <c r="I61" s="1824"/>
      <c r="J61" s="1825"/>
      <c r="K61" s="1825"/>
      <c r="L61" s="1826"/>
      <c r="M61" s="76"/>
      <c r="N61" s="76"/>
      <c r="O61" s="76"/>
      <c r="P61" s="76"/>
      <c r="Q61" s="416"/>
      <c r="R61" s="416"/>
    </row>
    <row r="62" spans="1:18" s="108" customFormat="1" ht="12" customHeight="1">
      <c r="A62" s="151" t="s">
        <v>1823</v>
      </c>
      <c r="B62" s="184" t="s">
        <v>4194</v>
      </c>
      <c r="C62" s="184"/>
      <c r="D62" s="184"/>
      <c r="E62" s="184"/>
      <c r="F62" s="184"/>
      <c r="G62" s="184"/>
      <c r="H62" s="184"/>
      <c r="I62" s="184"/>
      <c r="J62" s="184"/>
      <c r="K62" s="184"/>
      <c r="L62" s="184"/>
      <c r="M62" s="76">
        <v>2</v>
      </c>
      <c r="N62" s="196" t="s">
        <v>1823</v>
      </c>
      <c r="O62" s="1314">
        <v>2</v>
      </c>
      <c r="P62" s="2670"/>
      <c r="Q62" s="416" t="str">
        <f>IF(OR($O62=$M62,$O62=0,$O62=""),"","* * Check Score! * *")</f>
        <v/>
      </c>
      <c r="R62" s="432" t="s">
        <v>2875</v>
      </c>
    </row>
    <row r="63" spans="1:18" s="43" customFormat="1" ht="12.6" customHeight="1">
      <c r="A63" s="36" t="s">
        <v>4193</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1598" t="s">
        <v>4468</v>
      </c>
      <c r="B65" s="1599"/>
      <c r="C65" s="1599"/>
      <c r="D65" s="1599"/>
      <c r="E65" s="1599"/>
      <c r="F65" s="1599"/>
      <c r="G65" s="1599"/>
      <c r="H65" s="1599"/>
      <c r="I65" s="1599"/>
      <c r="J65" s="1599"/>
      <c r="K65" s="1599"/>
      <c r="L65" s="1599"/>
      <c r="M65" s="1599"/>
      <c r="N65" s="1599"/>
      <c r="O65" s="1599"/>
      <c r="P65" s="1600"/>
      <c r="Q65" s="501" t="s">
        <v>1313</v>
      </c>
    </row>
    <row r="66" spans="1:18" s="108" customFormat="1" ht="11.45" customHeight="1">
      <c r="A66" s="42"/>
      <c r="B66" s="103" t="s">
        <v>1959</v>
      </c>
      <c r="C66" s="42"/>
      <c r="D66" s="103"/>
      <c r="E66" s="1239"/>
      <c r="F66" s="1239"/>
      <c r="G66" s="1239"/>
      <c r="H66" s="1239"/>
      <c r="I66" s="1239"/>
      <c r="J66" s="1239"/>
      <c r="K66" s="1239"/>
      <c r="L66" s="1239"/>
      <c r="M66" s="1239"/>
      <c r="N66" s="99"/>
      <c r="O66" s="1276"/>
      <c r="P66" s="2"/>
      <c r="Q66" s="477"/>
    </row>
    <row r="67" spans="1:18" s="43" customFormat="1" ht="12.75" customHeight="1">
      <c r="A67" s="1644"/>
      <c r="B67" s="1645"/>
      <c r="C67" s="1645"/>
      <c r="D67" s="1645"/>
      <c r="E67" s="1645"/>
      <c r="F67" s="1645"/>
      <c r="G67" s="1645"/>
      <c r="H67" s="1645"/>
      <c r="I67" s="1645"/>
      <c r="J67" s="1645"/>
      <c r="K67" s="1645"/>
      <c r="L67" s="1645"/>
      <c r="M67" s="1645"/>
      <c r="N67" s="1645"/>
      <c r="O67" s="1645"/>
      <c r="P67" s="1646"/>
      <c r="Q67" s="501" t="s">
        <v>1313</v>
      </c>
    </row>
    <row r="68" spans="1:18" s="43" customFormat="1" ht="3" customHeight="1">
      <c r="A68" s="197"/>
      <c r="B68" s="51"/>
      <c r="G68" s="41"/>
      <c r="J68" s="48"/>
      <c r="K68" s="48"/>
      <c r="M68" s="108"/>
      <c r="N68" s="51"/>
      <c r="O68" s="108"/>
      <c r="P68" s="108"/>
    </row>
    <row r="69" spans="1:18" s="43" customFormat="1" ht="12.6" customHeight="1">
      <c r="A69" s="167" t="s">
        <v>1283</v>
      </c>
      <c r="B69" s="111" t="s">
        <v>2767</v>
      </c>
      <c r="D69" s="41"/>
      <c r="E69" s="36" t="s">
        <v>1450</v>
      </c>
      <c r="I69" s="49" t="s">
        <v>1975</v>
      </c>
      <c r="M69" s="2">
        <v>2</v>
      </c>
      <c r="N69" s="440" t="str">
        <f>IF(OR($O69=$M69,$O69=0,$O69=""),"","***")</f>
        <v/>
      </c>
      <c r="O69" s="1319">
        <v>0</v>
      </c>
      <c r="P69" s="2670"/>
      <c r="Q69" s="115" t="s">
        <v>458</v>
      </c>
      <c r="R69" s="432" t="s">
        <v>2875</v>
      </c>
    </row>
    <row r="70" spans="1:18" s="43" customFormat="1" ht="12.6" customHeight="1">
      <c r="A70" s="156" t="s">
        <v>2080</v>
      </c>
      <c r="B70" s="437" t="s">
        <v>2754</v>
      </c>
      <c r="D70" s="41"/>
      <c r="E70" s="36"/>
      <c r="K70" s="1794"/>
      <c r="L70" s="1795"/>
      <c r="M70" s="1796"/>
      <c r="P70" s="531"/>
      <c r="Q70" s="115"/>
    </row>
    <row r="71" spans="1:18" s="43" customFormat="1" ht="12.6" customHeight="1">
      <c r="A71" s="156" t="s">
        <v>2083</v>
      </c>
      <c r="B71" s="437" t="s">
        <v>3989</v>
      </c>
      <c r="D71" s="41"/>
      <c r="E71" s="36"/>
      <c r="K71" s="1794"/>
      <c r="L71" s="1795"/>
      <c r="M71" s="1796"/>
      <c r="O71" s="127" t="s">
        <v>2635</v>
      </c>
      <c r="P71" s="127" t="s">
        <v>2635</v>
      </c>
      <c r="Q71" s="115"/>
    </row>
    <row r="72" spans="1:18" s="43" customFormat="1" ht="12.6" customHeight="1">
      <c r="A72" s="151" t="s">
        <v>788</v>
      </c>
      <c r="B72" s="437" t="s">
        <v>4195</v>
      </c>
      <c r="D72" s="41"/>
      <c r="E72" s="36"/>
      <c r="N72" s="196" t="s">
        <v>788</v>
      </c>
      <c r="O72" s="1287"/>
      <c r="P72" s="2611"/>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598" t="s">
        <v>4469</v>
      </c>
      <c r="B74" s="1599"/>
      <c r="C74" s="1599"/>
      <c r="D74" s="1599"/>
      <c r="E74" s="1599"/>
      <c r="F74" s="1599"/>
      <c r="G74" s="1599"/>
      <c r="H74" s="1599"/>
      <c r="I74" s="1599"/>
      <c r="J74" s="1599"/>
      <c r="K74" s="1599"/>
      <c r="L74" s="1599"/>
      <c r="M74" s="1599"/>
      <c r="N74" s="1599"/>
      <c r="O74" s="1599"/>
      <c r="P74" s="1600"/>
      <c r="Q74" s="501" t="s">
        <v>1313</v>
      </c>
    </row>
    <row r="75" spans="1:18" s="108" customFormat="1" ht="11.45" customHeight="1">
      <c r="A75" s="42"/>
      <c r="B75" s="103" t="s">
        <v>1959</v>
      </c>
      <c r="C75" s="42"/>
      <c r="D75" s="103"/>
      <c r="E75" s="1239"/>
      <c r="F75" s="1239"/>
      <c r="G75" s="1239"/>
      <c r="H75" s="1239"/>
      <c r="I75" s="1239"/>
      <c r="J75" s="1239"/>
      <c r="K75" s="1239"/>
      <c r="L75" s="1239"/>
      <c r="M75" s="1239"/>
      <c r="N75" s="99"/>
      <c r="O75" s="1276"/>
      <c r="P75" s="2"/>
      <c r="Q75" s="477"/>
    </row>
    <row r="76" spans="1:18" s="43" customFormat="1" ht="12.75" customHeight="1">
      <c r="A76" s="1644"/>
      <c r="B76" s="1645"/>
      <c r="C76" s="1645"/>
      <c r="D76" s="1645"/>
      <c r="E76" s="1645"/>
      <c r="F76" s="1645"/>
      <c r="G76" s="1645"/>
      <c r="H76" s="1645"/>
      <c r="I76" s="1645"/>
      <c r="J76" s="1645"/>
      <c r="K76" s="1645"/>
      <c r="L76" s="1645"/>
      <c r="M76" s="1645"/>
      <c r="N76" s="1645"/>
      <c r="O76" s="1645"/>
      <c r="P76" s="1646"/>
      <c r="Q76" s="501" t="s">
        <v>1313</v>
      </c>
    </row>
    <row r="77" spans="1:18" ht="3" customHeight="1">
      <c r="B77" s="125"/>
      <c r="C77" s="125"/>
      <c r="D77" s="125"/>
      <c r="E77" s="125"/>
      <c r="R77" s="43"/>
    </row>
    <row r="78" spans="1:18" s="43" customFormat="1" ht="12.6" customHeight="1">
      <c r="A78" s="167" t="s">
        <v>1977</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4041</v>
      </c>
      <c r="I79" s="1791" t="s">
        <v>4470</v>
      </c>
      <c r="J79" s="1792"/>
      <c r="K79" s="1793"/>
      <c r="M79" s="2"/>
      <c r="N79" s="440"/>
      <c r="O79" s="483"/>
      <c r="P79" s="483"/>
      <c r="Q79" s="115"/>
    </row>
    <row r="80" spans="1:18" s="43" customFormat="1" ht="12.6" customHeight="1">
      <c r="A80" s="167"/>
      <c r="B80" s="91" t="s">
        <v>3100</v>
      </c>
      <c r="G80" s="41"/>
      <c r="H80" s="41"/>
      <c r="I80" s="864" t="str">
        <f>'Part I-Project Information'!$H$90</f>
        <v>Rural</v>
      </c>
      <c r="K80" s="28"/>
      <c r="M80" s="2"/>
      <c r="N80" s="440"/>
      <c r="O80" s="483"/>
      <c r="P80" s="483"/>
      <c r="Q80" s="115"/>
    </row>
    <row r="81" spans="1:17" ht="11.45" customHeight="1">
      <c r="A81" s="151" t="s">
        <v>2080</v>
      </c>
      <c r="B81" s="199" t="s">
        <v>2436</v>
      </c>
      <c r="D81" s="32"/>
      <c r="M81" s="122">
        <v>3</v>
      </c>
      <c r="N81" s="28"/>
      <c r="O81" s="127" t="s">
        <v>2635</v>
      </c>
      <c r="P81" s="127" t="s">
        <v>2635</v>
      </c>
    </row>
    <row r="82" spans="1:17" s="43" customFormat="1" ht="12.6" customHeight="1">
      <c r="B82" s="481" t="s">
        <v>2846</v>
      </c>
      <c r="D82" s="41"/>
      <c r="M82" s="2"/>
      <c r="N82" s="196" t="s">
        <v>2080</v>
      </c>
      <c r="O82" s="1287" t="s">
        <v>4471</v>
      </c>
      <c r="P82" s="2611"/>
      <c r="Q82" s="115"/>
    </row>
    <row r="83" spans="1:17" ht="11.45" customHeight="1">
      <c r="B83" s="412" t="s">
        <v>2084</v>
      </c>
      <c r="C83" s="425" t="s">
        <v>2755</v>
      </c>
      <c r="E83" s="125"/>
      <c r="N83" s="28"/>
      <c r="O83" s="28"/>
      <c r="P83" s="28"/>
    </row>
    <row r="84" spans="1:17" ht="23.25" customHeight="1">
      <c r="A84" s="460" t="str">
        <f>IF(AND(O84="",$I$79="Earth Craft Communities"), "X","")</f>
        <v/>
      </c>
      <c r="B84" s="431"/>
      <c r="C84" s="1762" t="s">
        <v>2757</v>
      </c>
      <c r="D84" s="1762"/>
      <c r="E84" s="1762"/>
      <c r="F84" s="1762"/>
      <c r="G84" s="1762"/>
      <c r="H84" s="1762"/>
      <c r="I84" s="1762"/>
      <c r="J84" s="1762"/>
      <c r="K84" s="1762"/>
      <c r="L84" s="1762"/>
      <c r="M84" s="428" t="str">
        <f>IF(AND($I$102="Stable Communities &lt; 10%",O84=""), "X","")</f>
        <v/>
      </c>
      <c r="N84" s="546" t="s">
        <v>2084</v>
      </c>
      <c r="O84" s="1299"/>
      <c r="P84" s="2616"/>
    </row>
    <row r="85" spans="1:17" ht="11.45" customHeight="1">
      <c r="B85" s="412" t="s">
        <v>2086</v>
      </c>
      <c r="C85" s="425" t="s">
        <v>2756</v>
      </c>
      <c r="E85" s="125"/>
      <c r="M85" s="429"/>
      <c r="N85" s="28"/>
      <c r="O85" s="127" t="s">
        <v>2635</v>
      </c>
      <c r="P85" s="127" t="s">
        <v>2635</v>
      </c>
    </row>
    <row r="86" spans="1:17" ht="23.25" customHeight="1">
      <c r="A86" s="460" t="str">
        <f>IF(AND(O86="",$I$79="LEED-ND"), "X","")</f>
        <v/>
      </c>
      <c r="B86" s="431"/>
      <c r="C86" s="1762" t="s">
        <v>2906</v>
      </c>
      <c r="D86" s="1762"/>
      <c r="E86" s="1762"/>
      <c r="F86" s="1762"/>
      <c r="G86" s="1762"/>
      <c r="H86" s="1762"/>
      <c r="I86" s="1762"/>
      <c r="J86" s="1762"/>
      <c r="K86" s="1762"/>
      <c r="L86" s="1762"/>
      <c r="M86" s="428" t="str">
        <f>IF(AND($I$102="Stable Communities &lt; 10%",O86=""), "X","")</f>
        <v/>
      </c>
      <c r="N86" s="546" t="s">
        <v>2086</v>
      </c>
      <c r="O86" s="1320"/>
      <c r="P86" s="2671"/>
    </row>
    <row r="87" spans="1:17" ht="11.45" customHeight="1">
      <c r="A87" s="151" t="s">
        <v>2083</v>
      </c>
      <c r="B87" s="199" t="s">
        <v>323</v>
      </c>
      <c r="D87" s="32"/>
      <c r="E87" s="32"/>
      <c r="F87" s="32"/>
      <c r="M87" s="57">
        <v>2</v>
      </c>
      <c r="N87" s="196" t="s">
        <v>2083</v>
      </c>
      <c r="O87" s="127" t="s">
        <v>2635</v>
      </c>
      <c r="P87" s="127" t="s">
        <v>2635</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2084</v>
      </c>
      <c r="C88" s="544" t="s">
        <v>2910</v>
      </c>
      <c r="D88" s="41"/>
      <c r="M88" s="2"/>
      <c r="N88" s="546" t="s">
        <v>2084</v>
      </c>
      <c r="O88" s="1291" t="s">
        <v>3421</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2086</v>
      </c>
      <c r="C89" s="544" t="s">
        <v>2907</v>
      </c>
      <c r="D89" s="41"/>
      <c r="M89" s="2"/>
      <c r="N89" s="546" t="s">
        <v>2086</v>
      </c>
      <c r="O89" s="1293" t="s">
        <v>3421</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2660</v>
      </c>
      <c r="C90" s="544" t="s">
        <v>2908</v>
      </c>
      <c r="D90" s="41"/>
      <c r="M90" s="2"/>
      <c r="N90" s="546" t="s">
        <v>2660</v>
      </c>
      <c r="O90" s="1293" t="s">
        <v>3421</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1282</v>
      </c>
      <c r="C91" s="544" t="s">
        <v>2909</v>
      </c>
      <c r="D91" s="41"/>
      <c r="M91" s="2"/>
      <c r="N91" s="546" t="s">
        <v>1282</v>
      </c>
      <c r="O91" s="1292" t="s">
        <v>3421</v>
      </c>
      <c r="P91" s="633"/>
      <c r="Q91" s="115"/>
    </row>
    <row r="92" spans="1:17" ht="6" customHeight="1">
      <c r="B92" s="431"/>
      <c r="E92" s="152"/>
      <c r="F92" s="152"/>
      <c r="I92" s="152"/>
      <c r="J92" s="152"/>
      <c r="K92" s="152"/>
      <c r="M92" s="428"/>
      <c r="N92" s="428"/>
      <c r="O92" s="428"/>
      <c r="P92" s="428"/>
    </row>
    <row r="93" spans="1:17" ht="11.45" customHeight="1">
      <c r="A93" s="151" t="s">
        <v>788</v>
      </c>
      <c r="B93" s="199" t="s">
        <v>3850</v>
      </c>
      <c r="D93" s="32"/>
      <c r="E93" s="32"/>
      <c r="H93" s="125"/>
      <c r="I93" s="1811"/>
      <c r="J93" s="1811"/>
      <c r="K93" s="1811"/>
      <c r="L93" s="1811"/>
      <c r="M93" s="57">
        <v>1</v>
      </c>
      <c r="N93" s="196" t="s">
        <v>788</v>
      </c>
      <c r="O93" s="1319">
        <v>1</v>
      </c>
      <c r="P93" s="2670"/>
      <c r="Q93" s="432" t="s">
        <v>2875</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2084</v>
      </c>
      <c r="C94" s="544" t="s">
        <v>4381</v>
      </c>
      <c r="D94" s="41"/>
      <c r="M94" s="2"/>
      <c r="N94" s="546" t="s">
        <v>2084</v>
      </c>
      <c r="O94" s="1299" t="s">
        <v>3421</v>
      </c>
      <c r="P94" s="2616"/>
      <c r="Q94" s="115"/>
    </row>
    <row r="95" spans="1:17" s="32" customFormat="1" ht="11.45" customHeight="1">
      <c r="A95" s="151"/>
      <c r="B95" s="495" t="s">
        <v>2086</v>
      </c>
      <c r="C95" s="146" t="s">
        <v>4380</v>
      </c>
      <c r="D95" s="146"/>
      <c r="H95" s="433" t="s">
        <v>2086</v>
      </c>
      <c r="I95" s="1742" t="s">
        <v>4523</v>
      </c>
      <c r="J95" s="1743"/>
      <c r="K95" s="1744"/>
      <c r="M95" s="146"/>
    </row>
    <row r="96" spans="1:17" s="32" customFormat="1" ht="11.45" customHeight="1">
      <c r="A96" s="151"/>
      <c r="B96" s="495" t="s">
        <v>2660</v>
      </c>
      <c r="C96" s="146" t="s">
        <v>4042</v>
      </c>
      <c r="D96" s="146"/>
      <c r="H96" s="433" t="s">
        <v>2660</v>
      </c>
      <c r="I96" s="1748" t="s">
        <v>4524</v>
      </c>
      <c r="J96" s="1749"/>
      <c r="K96" s="1749"/>
      <c r="L96" s="1749"/>
      <c r="M96" s="1749"/>
      <c r="N96" s="1749"/>
      <c r="O96" s="1749"/>
      <c r="P96" s="1750"/>
    </row>
    <row r="97" spans="1:18" s="108" customFormat="1" ht="11.45" customHeight="1">
      <c r="A97" s="42"/>
      <c r="B97" s="49" t="s">
        <v>267</v>
      </c>
      <c r="C97" s="42"/>
      <c r="D97" s="48"/>
      <c r="E97" s="48"/>
      <c r="F97" s="48"/>
      <c r="G97" s="48"/>
      <c r="K97" s="36"/>
      <c r="M97" s="46"/>
      <c r="N97" s="6"/>
      <c r="O97" s="3"/>
      <c r="P97" s="2"/>
    </row>
    <row r="98" spans="1:18" s="43" customFormat="1" ht="12.75" customHeight="1">
      <c r="A98" s="1745" t="s">
        <v>4551</v>
      </c>
      <c r="B98" s="1746"/>
      <c r="C98" s="1746"/>
      <c r="D98" s="1746"/>
      <c r="E98" s="1746"/>
      <c r="F98" s="1746"/>
      <c r="G98" s="1746"/>
      <c r="H98" s="1746"/>
      <c r="I98" s="1746"/>
      <c r="J98" s="1746"/>
      <c r="K98" s="1746"/>
      <c r="L98" s="1746"/>
      <c r="M98" s="1746"/>
      <c r="N98" s="1746"/>
      <c r="O98" s="1746"/>
      <c r="P98" s="1747"/>
      <c r="Q98" s="501" t="s">
        <v>1313</v>
      </c>
    </row>
    <row r="99" spans="1:18" s="43" customFormat="1" ht="11.25" customHeight="1">
      <c r="B99" s="103" t="s">
        <v>1959</v>
      </c>
      <c r="C99" s="42"/>
      <c r="D99" s="90"/>
      <c r="E99" s="1244"/>
      <c r="F99" s="1244"/>
      <c r="G99" s="1244"/>
      <c r="H99" s="1244"/>
      <c r="I99" s="1244"/>
      <c r="J99" s="1244"/>
      <c r="K99" s="1244"/>
      <c r="L99" s="1244"/>
      <c r="M99" s="1244"/>
      <c r="N99" s="78"/>
      <c r="O99" s="74"/>
      <c r="P99" s="2"/>
      <c r="Q99" s="477"/>
    </row>
    <row r="100" spans="1:18" s="43" customFormat="1" ht="12.75" customHeight="1">
      <c r="A100" s="2672"/>
      <c r="B100" s="2673"/>
      <c r="C100" s="2673"/>
      <c r="D100" s="2673"/>
      <c r="E100" s="2673"/>
      <c r="F100" s="2673"/>
      <c r="G100" s="2673"/>
      <c r="H100" s="2673"/>
      <c r="I100" s="2673"/>
      <c r="J100" s="2673"/>
      <c r="K100" s="2673"/>
      <c r="L100" s="2673"/>
      <c r="M100" s="2673"/>
      <c r="N100" s="2673"/>
      <c r="O100" s="2673"/>
      <c r="P100" s="2674"/>
      <c r="Q100" s="501" t="s">
        <v>1313</v>
      </c>
    </row>
    <row r="101" spans="1:18" s="43" customFormat="1" ht="3" customHeight="1">
      <c r="A101" s="42"/>
      <c r="D101" s="39"/>
      <c r="E101" s="36"/>
      <c r="F101" s="1273"/>
      <c r="G101" s="1273"/>
      <c r="H101" s="1273"/>
      <c r="I101" s="1273"/>
      <c r="J101" s="1275"/>
      <c r="K101" s="1275"/>
      <c r="L101" s="1275"/>
      <c r="M101" s="62"/>
      <c r="N101" s="1273"/>
      <c r="O101" s="1243"/>
      <c r="P101" s="3"/>
    </row>
    <row r="102" spans="1:18" s="108" customFormat="1" ht="12.6" customHeight="1">
      <c r="A102" s="167" t="s">
        <v>525</v>
      </c>
      <c r="B102" s="112" t="s">
        <v>3092</v>
      </c>
      <c r="C102" s="98"/>
      <c r="D102" s="61"/>
      <c r="E102" s="61"/>
      <c r="H102" s="36" t="s">
        <v>4367</v>
      </c>
      <c r="M102" s="2">
        <v>4</v>
      </c>
      <c r="N102" s="7"/>
      <c r="O102" s="80">
        <f>IF(AND(E103="Flexible",D105=5%,O104="Yes",NOT(J106="")),4,IF(OR(AND(E103="Flexible",D105=10%,O104="Yes",NOT(J106="")),AND(E103="Rural",O104="Yes",D105=15%,OR(K108="Yes",K109="Yes"))),3,IF(OR(AND(E103="Flexible",D105=15%,O104="Yes",NOT(J106="")),AND(E103="Rural",O104="Yes",D105=20%,OR(K108="Yes",K109="Yes"))),2,0)))</f>
        <v>0</v>
      </c>
      <c r="P102" s="2675"/>
      <c r="Q102" s="115" t="s">
        <v>458</v>
      </c>
      <c r="R102" s="43"/>
    </row>
    <row r="103" spans="1:18" ht="11.45" customHeight="1">
      <c r="A103" s="151"/>
      <c r="B103" s="184" t="s">
        <v>3100</v>
      </c>
      <c r="C103" s="596"/>
      <c r="D103" s="596"/>
      <c r="E103" s="597" t="str">
        <f>'Part I-Project Information'!$H$90</f>
        <v>Rural</v>
      </c>
      <c r="M103" s="122"/>
      <c r="N103" s="28"/>
      <c r="O103" s="127" t="s">
        <v>2635</v>
      </c>
      <c r="P103" s="127" t="s">
        <v>2635</v>
      </c>
    </row>
    <row r="104" spans="1:18" ht="11.45" customHeight="1">
      <c r="A104" s="411" t="str">
        <f>IF($I$102="Stable Communities &lt; 5%", "*","")</f>
        <v/>
      </c>
      <c r="B104" s="412" t="s">
        <v>2084</v>
      </c>
      <c r="C104" s="493" t="s">
        <v>2838</v>
      </c>
      <c r="E104" s="125"/>
      <c r="M104" s="84"/>
      <c r="N104" s="28"/>
      <c r="O104" s="1299" t="s">
        <v>3424</v>
      </c>
      <c r="P104" s="2616"/>
    </row>
    <row r="105" spans="1:18" ht="11.45" customHeight="1">
      <c r="B105" s="412" t="s">
        <v>2086</v>
      </c>
      <c r="C105" s="493" t="s">
        <v>2925</v>
      </c>
      <c r="D105" s="1321">
        <v>0.2</v>
      </c>
      <c r="E105" s="493" t="s">
        <v>2926</v>
      </c>
      <c r="G105" s="106" t="s">
        <v>2505</v>
      </c>
      <c r="I105" s="146" t="s">
        <v>2924</v>
      </c>
      <c r="J105" s="1322">
        <v>0.1502</v>
      </c>
      <c r="K105" s="885" t="str">
        <f>IF(J105&gt;D105,"CHECK ACTUAL PERCENT!!!","")</f>
        <v/>
      </c>
      <c r="M105" s="482"/>
      <c r="N105" s="480"/>
    </row>
    <row r="106" spans="1:18" ht="11.45" customHeight="1">
      <c r="B106" s="412" t="s">
        <v>2660</v>
      </c>
      <c r="C106" s="466" t="s">
        <v>2506</v>
      </c>
      <c r="E106" s="125"/>
      <c r="G106" s="106" t="s">
        <v>2507</v>
      </c>
      <c r="I106" s="542" t="s">
        <v>2915</v>
      </c>
      <c r="J106" s="1323" t="s">
        <v>1399</v>
      </c>
      <c r="M106" s="482"/>
    </row>
    <row r="107" spans="1:18" ht="11.45" customHeight="1">
      <c r="B107" s="412" t="s">
        <v>1282</v>
      </c>
      <c r="C107" s="466" t="s">
        <v>4060</v>
      </c>
      <c r="E107" s="493" t="s">
        <v>4063</v>
      </c>
      <c r="H107" s="106"/>
      <c r="I107" s="146"/>
      <c r="J107" s="1324">
        <v>39505</v>
      </c>
      <c r="K107" s="487" t="s">
        <v>4064</v>
      </c>
      <c r="M107" s="482"/>
    </row>
    <row r="108" spans="1:18" ht="11.45" customHeight="1">
      <c r="B108" s="412"/>
      <c r="C108" s="466"/>
      <c r="E108" s="493" t="s">
        <v>4061</v>
      </c>
      <c r="H108" s="106"/>
      <c r="I108" s="146"/>
      <c r="J108" s="1325">
        <v>45200</v>
      </c>
      <c r="K108" s="487" t="str">
        <f>IF($J$107&gt;J108,"Yes", "No")</f>
        <v>No</v>
      </c>
      <c r="M108" s="482"/>
    </row>
    <row r="109" spans="1:18" ht="11.45" customHeight="1">
      <c r="B109" s="412"/>
      <c r="C109" s="466"/>
      <c r="E109" s="493" t="s">
        <v>4062</v>
      </c>
      <c r="H109" s="106"/>
      <c r="I109" s="146"/>
      <c r="J109" s="1326" t="s">
        <v>1820</v>
      </c>
      <c r="K109" s="487" t="str">
        <f>IF($J$107&gt;J109,"Yes", "No")</f>
        <v>No</v>
      </c>
      <c r="M109" s="482"/>
    </row>
    <row r="110" spans="1:18" s="43" customFormat="1" ht="13.9" customHeight="1">
      <c r="A110" s="42"/>
      <c r="B110" s="49" t="s">
        <v>267</v>
      </c>
      <c r="C110" s="42"/>
      <c r="D110" s="48"/>
      <c r="E110" s="48"/>
      <c r="F110" s="48"/>
      <c r="G110" s="48"/>
      <c r="H110" s="36"/>
      <c r="I110" s="36"/>
      <c r="J110" s="36"/>
      <c r="K110" s="36"/>
      <c r="M110" s="46"/>
      <c r="N110" s="64"/>
      <c r="O110" s="3"/>
      <c r="P110" s="1243"/>
    </row>
    <row r="111" spans="1:18" s="43" customFormat="1" ht="12.75" customHeight="1">
      <c r="A111" s="1745" t="s">
        <v>4472</v>
      </c>
      <c r="B111" s="1746"/>
      <c r="C111" s="1746"/>
      <c r="D111" s="1746"/>
      <c r="E111" s="1746"/>
      <c r="F111" s="1746"/>
      <c r="G111" s="1746"/>
      <c r="H111" s="1746"/>
      <c r="I111" s="1746"/>
      <c r="J111" s="1746"/>
      <c r="K111" s="1746"/>
      <c r="L111" s="1746"/>
      <c r="M111" s="1746"/>
      <c r="N111" s="1746"/>
      <c r="O111" s="1746"/>
      <c r="P111" s="1747"/>
      <c r="Q111" s="501" t="s">
        <v>1313</v>
      </c>
    </row>
    <row r="112" spans="1:18" s="43" customFormat="1" ht="11.25" customHeight="1">
      <c r="A112" s="42"/>
      <c r="B112" s="90" t="s">
        <v>1959</v>
      </c>
      <c r="C112" s="42"/>
      <c r="D112" s="90"/>
      <c r="E112" s="1244"/>
      <c r="F112" s="1244"/>
      <c r="G112" s="1244"/>
      <c r="H112" s="1244"/>
      <c r="I112" s="1244"/>
      <c r="J112" s="1244"/>
      <c r="K112" s="1244"/>
      <c r="L112" s="1244"/>
      <c r="M112" s="1244"/>
      <c r="N112" s="78"/>
      <c r="O112" s="74"/>
      <c r="P112" s="2"/>
      <c r="Q112" s="477"/>
    </row>
    <row r="113" spans="1:18" s="43" customFormat="1" ht="12.75" customHeight="1">
      <c r="A113" s="2672"/>
      <c r="B113" s="2673"/>
      <c r="C113" s="2673"/>
      <c r="D113" s="2673"/>
      <c r="E113" s="2673"/>
      <c r="F113" s="2673"/>
      <c r="G113" s="2673"/>
      <c r="H113" s="2673"/>
      <c r="I113" s="2673"/>
      <c r="J113" s="2673"/>
      <c r="K113" s="2673"/>
      <c r="L113" s="2673"/>
      <c r="M113" s="2673"/>
      <c r="N113" s="2673"/>
      <c r="O113" s="2673"/>
      <c r="P113" s="2674"/>
      <c r="Q113" s="501" t="s">
        <v>1313</v>
      </c>
    </row>
    <row r="114" spans="1:18" s="43" customFormat="1" ht="3" customHeight="1">
      <c r="A114" s="42"/>
      <c r="D114" s="39"/>
      <c r="E114" s="36"/>
      <c r="F114" s="1273"/>
      <c r="G114" s="1273"/>
      <c r="H114" s="1273"/>
      <c r="I114" s="1273"/>
      <c r="J114" s="1275"/>
      <c r="K114" s="1275"/>
      <c r="L114" s="1275"/>
      <c r="M114" s="62"/>
      <c r="N114" s="1273"/>
      <c r="O114" s="1243"/>
      <c r="P114" s="3"/>
    </row>
    <row r="115" spans="1:18" s="108" customFormat="1" ht="12.6" customHeight="1">
      <c r="A115" s="167" t="s">
        <v>526</v>
      </c>
      <c r="B115" s="112" t="s">
        <v>3851</v>
      </c>
      <c r="C115" s="98"/>
      <c r="D115" s="61"/>
      <c r="E115" s="61"/>
      <c r="H115" s="770"/>
      <c r="J115" s="1788" t="s">
        <v>3137</v>
      </c>
      <c r="K115" s="1789"/>
      <c r="L115" s="1790"/>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2675"/>
      <c r="Q115" s="115" t="s">
        <v>458</v>
      </c>
      <c r="R115" s="43"/>
    </row>
    <row r="116" spans="1:18" ht="10.9" customHeight="1">
      <c r="A116" s="592"/>
      <c r="B116" s="542"/>
      <c r="D116" s="769"/>
      <c r="E116" s="542"/>
      <c r="G116" s="791"/>
      <c r="H116" s="792"/>
      <c r="I116" s="486"/>
      <c r="K116" s="1258"/>
      <c r="N116" s="28"/>
      <c r="O116" s="28"/>
      <c r="P116" s="28"/>
    </row>
    <row r="117" spans="1:18" ht="11.45" customHeight="1">
      <c r="B117" s="866" t="s">
        <v>4044</v>
      </c>
      <c r="E117" s="32"/>
      <c r="G117" s="1755"/>
      <c r="H117" s="1756"/>
      <c r="I117" s="1756"/>
      <c r="J117" s="1756"/>
      <c r="K117" s="1756"/>
      <c r="L117" s="1756"/>
      <c r="M117" s="1756"/>
      <c r="N117" s="1756"/>
      <c r="O117" s="1756"/>
      <c r="P117" s="1757"/>
    </row>
    <row r="118" spans="1:18" ht="3" customHeight="1">
      <c r="A118" s="592"/>
      <c r="B118" s="542"/>
      <c r="D118" s="769"/>
      <c r="E118" s="542"/>
      <c r="G118" s="791"/>
      <c r="H118" s="792"/>
      <c r="N118" s="28"/>
      <c r="O118" s="28"/>
      <c r="P118" s="28"/>
    </row>
    <row r="119" spans="1:18" s="43" customFormat="1" ht="12" customHeight="1">
      <c r="A119" s="151"/>
      <c r="B119" s="56" t="s">
        <v>3309</v>
      </c>
      <c r="D119" s="32"/>
      <c r="N119" s="531"/>
      <c r="O119" s="1299" t="s">
        <v>4471</v>
      </c>
      <c r="P119" s="2616"/>
      <c r="R119" s="416"/>
    </row>
    <row r="120" spans="1:18" ht="10.9" customHeight="1">
      <c r="A120" s="592"/>
      <c r="B120" s="542"/>
      <c r="D120" s="769"/>
      <c r="E120" s="542"/>
      <c r="G120" s="791"/>
      <c r="H120" s="792"/>
      <c r="I120" s="486"/>
      <c r="K120" s="1258"/>
      <c r="N120" s="28"/>
      <c r="O120" s="28"/>
      <c r="P120" s="28"/>
    </row>
    <row r="121" spans="1:18" s="43" customFormat="1" ht="11.45" customHeight="1">
      <c r="A121" s="482"/>
      <c r="B121" s="121" t="s">
        <v>3173</v>
      </c>
      <c r="E121" s="40"/>
      <c r="O121" s="127" t="s">
        <v>2635</v>
      </c>
      <c r="P121" s="127" t="s">
        <v>2635</v>
      </c>
    </row>
    <row r="122" spans="1:18" s="43" customFormat="1" ht="11.45" customHeight="1">
      <c r="A122" s="411"/>
      <c r="B122" s="430" t="s">
        <v>2555</v>
      </c>
      <c r="C122" s="56" t="s">
        <v>4065</v>
      </c>
      <c r="D122" s="108"/>
      <c r="E122" s="40"/>
      <c r="G122" s="56" t="s">
        <v>4066</v>
      </c>
      <c r="L122" s="1327"/>
      <c r="M122" s="411"/>
      <c r="N122" s="430" t="s">
        <v>2555</v>
      </c>
      <c r="O122" s="1291" t="s">
        <v>4471</v>
      </c>
      <c r="P122" s="631"/>
    </row>
    <row r="123" spans="1:18" s="43" customFormat="1" ht="11.45" customHeight="1">
      <c r="A123" s="411"/>
      <c r="B123" s="413" t="s">
        <v>2556</v>
      </c>
      <c r="C123" s="542" t="s">
        <v>3142</v>
      </c>
      <c r="D123" s="108"/>
      <c r="E123" s="40"/>
      <c r="G123" s="56" t="s">
        <v>3860</v>
      </c>
      <c r="L123" s="1328"/>
      <c r="N123" s="413" t="s">
        <v>2556</v>
      </c>
      <c r="O123" s="1292"/>
      <c r="P123" s="633"/>
    </row>
    <row r="124" spans="1:18" s="43" customFormat="1" ht="11.45" customHeight="1">
      <c r="A124" s="411"/>
      <c r="B124" s="413"/>
      <c r="C124" s="542"/>
      <c r="D124" s="108"/>
      <c r="E124" s="40"/>
      <c r="G124" s="56" t="s">
        <v>3307</v>
      </c>
      <c r="L124" s="1740"/>
      <c r="M124" s="1741"/>
    </row>
    <row r="125" spans="1:18" s="43" customFormat="1" ht="11.45" customHeight="1">
      <c r="A125" s="411"/>
      <c r="B125" s="413"/>
      <c r="C125" s="542"/>
      <c r="D125" s="108"/>
      <c r="E125" s="40"/>
      <c r="G125" s="56" t="s">
        <v>3139</v>
      </c>
      <c r="K125" s="432"/>
      <c r="L125" s="1753" t="s">
        <v>3141</v>
      </c>
      <c r="M125" s="1754"/>
    </row>
    <row r="126" spans="1:18" s="43" customFormat="1" ht="11.45" customHeight="1">
      <c r="A126" s="411"/>
      <c r="B126" s="413"/>
      <c r="C126" s="542"/>
      <c r="D126" s="108"/>
      <c r="E126" s="40"/>
      <c r="G126" s="56" t="s">
        <v>3140</v>
      </c>
      <c r="K126" s="432"/>
      <c r="L126" s="1776"/>
      <c r="M126" s="1777"/>
    </row>
    <row r="127" spans="1:18" s="43" customFormat="1" ht="11.45" customHeight="1">
      <c r="A127" s="411"/>
      <c r="B127" s="413"/>
      <c r="C127" s="542"/>
      <c r="D127" s="108"/>
      <c r="E127" s="40"/>
      <c r="G127" s="56" t="s">
        <v>3139</v>
      </c>
      <c r="K127" s="432"/>
      <c r="L127" s="1753" t="s">
        <v>3141</v>
      </c>
      <c r="M127" s="1754"/>
    </row>
    <row r="128" spans="1:18" s="43" customFormat="1" ht="11.45" customHeight="1">
      <c r="A128" s="411"/>
      <c r="B128" s="413"/>
      <c r="C128" s="542"/>
      <c r="D128" s="108"/>
      <c r="E128" s="40"/>
      <c r="G128" s="56" t="s">
        <v>3140</v>
      </c>
      <c r="K128" s="432"/>
      <c r="L128" s="1751"/>
      <c r="M128" s="1752"/>
    </row>
    <row r="129" spans="1:25" ht="11.25" customHeight="1">
      <c r="B129" s="413" t="s">
        <v>2557</v>
      </c>
      <c r="C129" s="542" t="s">
        <v>3143</v>
      </c>
      <c r="D129" s="106"/>
      <c r="G129" s="484" t="s">
        <v>3308</v>
      </c>
      <c r="L129" s="1771"/>
      <c r="M129" s="1772"/>
      <c r="N129" s="413" t="s">
        <v>2557</v>
      </c>
      <c r="O129" s="1299"/>
      <c r="P129" s="2616"/>
    </row>
    <row r="130" spans="1:25" ht="11.25" customHeight="1">
      <c r="B130" s="413"/>
      <c r="C130" s="542"/>
      <c r="D130" s="106"/>
      <c r="G130" s="56" t="s">
        <v>4081</v>
      </c>
      <c r="L130" s="1751"/>
      <c r="M130" s="1752"/>
      <c r="N130" s="28"/>
      <c r="O130" s="28"/>
      <c r="P130" s="28"/>
    </row>
    <row r="131" spans="1:25" ht="11.25" customHeight="1">
      <c r="B131" s="413" t="s">
        <v>2558</v>
      </c>
      <c r="C131" s="574" t="s">
        <v>3144</v>
      </c>
      <c r="D131" s="106"/>
      <c r="G131" s="317"/>
      <c r="K131" s="40"/>
      <c r="L131" s="1329" t="s">
        <v>4045</v>
      </c>
      <c r="M131" s="411"/>
      <c r="N131" s="413" t="s">
        <v>2558</v>
      </c>
      <c r="O131" s="1291"/>
      <c r="P131" s="631"/>
    </row>
    <row r="132" spans="1:25" ht="11.25" customHeight="1">
      <c r="B132" s="413" t="s">
        <v>2559</v>
      </c>
      <c r="C132" s="574" t="s">
        <v>3145</v>
      </c>
      <c r="K132" s="40"/>
      <c r="L132" s="1330" t="s">
        <v>4045</v>
      </c>
      <c r="M132" s="411"/>
      <c r="N132" s="413" t="s">
        <v>2559</v>
      </c>
      <c r="O132" s="1293"/>
      <c r="P132" s="632"/>
    </row>
    <row r="133" spans="1:25" ht="11.25" customHeight="1">
      <c r="B133" s="430" t="s">
        <v>3866</v>
      </c>
      <c r="C133" s="53" t="s">
        <v>3854</v>
      </c>
      <c r="K133" s="40"/>
      <c r="L133" s="1330" t="s">
        <v>4045</v>
      </c>
      <c r="M133" s="411"/>
      <c r="N133" s="430" t="s">
        <v>3866</v>
      </c>
      <c r="O133" s="1293"/>
      <c r="P133" s="632"/>
    </row>
    <row r="134" spans="1:25" ht="11.25" customHeight="1">
      <c r="B134" s="430" t="s">
        <v>3867</v>
      </c>
      <c r="C134" s="53" t="s">
        <v>3852</v>
      </c>
      <c r="K134" s="40"/>
      <c r="L134" s="1330" t="s">
        <v>4045</v>
      </c>
      <c r="M134" s="411"/>
      <c r="N134" s="430" t="s">
        <v>3867</v>
      </c>
      <c r="O134" s="1293"/>
      <c r="P134" s="632"/>
    </row>
    <row r="135" spans="1:25" ht="11.25" customHeight="1">
      <c r="B135" s="413" t="s">
        <v>2576</v>
      </c>
      <c r="C135" s="574" t="s">
        <v>3146</v>
      </c>
      <c r="K135" s="40"/>
      <c r="L135" s="1330" t="s">
        <v>4045</v>
      </c>
      <c r="M135" s="411"/>
      <c r="N135" s="413" t="s">
        <v>2576</v>
      </c>
      <c r="O135" s="1293"/>
      <c r="P135" s="632"/>
    </row>
    <row r="136" spans="1:25" ht="11.25" customHeight="1">
      <c r="B136" s="430" t="s">
        <v>2577</v>
      </c>
      <c r="C136" s="574" t="s">
        <v>3147</v>
      </c>
      <c r="D136" s="106"/>
      <c r="K136" s="40"/>
      <c r="L136" s="1331" t="s">
        <v>4045</v>
      </c>
      <c r="M136" s="411"/>
      <c r="N136" s="430" t="s">
        <v>2577</v>
      </c>
      <c r="O136" s="1293"/>
      <c r="P136" s="632"/>
    </row>
    <row r="137" spans="1:25" ht="11.25" customHeight="1">
      <c r="B137" s="430" t="s">
        <v>2578</v>
      </c>
      <c r="C137" s="574" t="s">
        <v>3868</v>
      </c>
      <c r="K137" s="40"/>
      <c r="M137" s="411"/>
      <c r="N137" s="430" t="s">
        <v>2578</v>
      </c>
      <c r="O137" s="1292"/>
      <c r="P137" s="633"/>
    </row>
    <row r="138" spans="1:25" ht="10.9" customHeight="1">
      <c r="B138" s="430"/>
      <c r="C138" s="574"/>
      <c r="K138" s="40"/>
      <c r="M138" s="411"/>
      <c r="N138" s="411"/>
      <c r="O138" s="411"/>
      <c r="P138" s="411"/>
    </row>
    <row r="139" spans="1:25" ht="11.25" customHeight="1">
      <c r="A139" s="151" t="s">
        <v>2080</v>
      </c>
      <c r="B139" s="199" t="s">
        <v>3853</v>
      </c>
      <c r="G139" s="542" t="s">
        <v>4043</v>
      </c>
      <c r="H139" s="174"/>
      <c r="I139" s="174"/>
      <c r="K139" s="40"/>
      <c r="L139" s="1332" t="s">
        <v>4045</v>
      </c>
      <c r="M139" s="483">
        <v>2</v>
      </c>
      <c r="N139" s="430" t="s">
        <v>2080</v>
      </c>
      <c r="O139" s="1299" t="s">
        <v>4471</v>
      </c>
      <c r="P139" s="2616"/>
      <c r="X139" s="411"/>
      <c r="Y139" s="413"/>
    </row>
    <row r="140" spans="1:25" ht="11.25" customHeight="1">
      <c r="A140" s="592"/>
      <c r="G140" s="542" t="s">
        <v>3857</v>
      </c>
      <c r="H140" s="174"/>
      <c r="L140" s="791" t="str">
        <f>'Part I-Project Information'!O28</f>
        <v>0114.03</v>
      </c>
      <c r="N140" s="28"/>
      <c r="O140" s="28"/>
      <c r="P140" s="28"/>
    </row>
    <row r="141" spans="1:25" ht="11.25" customHeight="1">
      <c r="A141" s="592"/>
      <c r="B141" s="542"/>
      <c r="D141" s="769"/>
      <c r="G141" s="542" t="s">
        <v>3862</v>
      </c>
      <c r="H141" s="174"/>
      <c r="K141" s="1258"/>
      <c r="L141" s="492" t="str">
        <f>'Part I-Project Information'!N29</f>
        <v>No</v>
      </c>
      <c r="N141" s="28"/>
      <c r="O141" s="28"/>
      <c r="P141" s="28"/>
    </row>
    <row r="142" spans="1:25" ht="11.25" customHeight="1">
      <c r="A142" s="592"/>
      <c r="B142" s="542"/>
      <c r="D142" s="769"/>
      <c r="E142" s="542"/>
      <c r="G142" s="486" t="s">
        <v>3855</v>
      </c>
      <c r="H142" s="174"/>
      <c r="K142" s="1258"/>
      <c r="L142" s="1258" t="str">
        <f>'Part IV-Uses of Funds'!H150</f>
        <v>State Boost</v>
      </c>
      <c r="N142" s="28"/>
      <c r="O142" s="28"/>
      <c r="P142" s="28"/>
    </row>
    <row r="143" spans="1:25" ht="11.45" customHeight="1">
      <c r="A143" s="151" t="s">
        <v>2083</v>
      </c>
      <c r="B143" s="199" t="s">
        <v>3856</v>
      </c>
      <c r="D143" s="32"/>
      <c r="M143" s="84">
        <v>1</v>
      </c>
      <c r="N143" s="68" t="s">
        <v>2083</v>
      </c>
      <c r="O143" s="1299" t="s">
        <v>4471</v>
      </c>
      <c r="P143" s="2616"/>
    </row>
    <row r="144" spans="1:25" ht="11.45" customHeight="1">
      <c r="A144" s="592"/>
      <c r="B144" s="493" t="s">
        <v>3861</v>
      </c>
      <c r="E144" s="125"/>
      <c r="N144" s="28"/>
      <c r="O144" s="28"/>
      <c r="P144" s="28"/>
      <c r="Q144" s="432"/>
    </row>
    <row r="145" spans="1:17" ht="11.45" customHeight="1">
      <c r="A145" s="151" t="s">
        <v>788</v>
      </c>
      <c r="B145" s="199" t="s">
        <v>3104</v>
      </c>
      <c r="C145" s="199"/>
      <c r="D145" s="32"/>
      <c r="M145" s="122"/>
      <c r="N145" s="68" t="s">
        <v>788</v>
      </c>
      <c r="O145" s="600"/>
      <c r="P145" s="600"/>
    </row>
    <row r="146" spans="1:17" ht="22.5" customHeight="1">
      <c r="B146" s="495" t="s">
        <v>2084</v>
      </c>
      <c r="C146" s="1761" t="s">
        <v>3858</v>
      </c>
      <c r="D146" s="1761"/>
      <c r="E146" s="1761"/>
      <c r="F146" s="1761"/>
      <c r="G146" s="1761"/>
      <c r="H146" s="1761"/>
      <c r="I146" s="1761"/>
      <c r="J146" s="1761"/>
      <c r="K146" s="1761"/>
      <c r="L146" s="1761"/>
      <c r="M146" s="874">
        <v>1</v>
      </c>
      <c r="N146" s="433" t="s">
        <v>2084</v>
      </c>
      <c r="O146" s="1296" t="s">
        <v>4471</v>
      </c>
      <c r="P146" s="2627"/>
    </row>
    <row r="147" spans="1:17" ht="22.5" customHeight="1">
      <c r="B147" s="495" t="s">
        <v>2086</v>
      </c>
      <c r="C147" s="1761" t="s">
        <v>3859</v>
      </c>
      <c r="D147" s="1761"/>
      <c r="E147" s="1761"/>
      <c r="F147" s="1761"/>
      <c r="G147" s="1761"/>
      <c r="H147" s="1761"/>
      <c r="I147" s="1761"/>
      <c r="J147" s="1761"/>
      <c r="K147" s="1761"/>
      <c r="L147" s="1761"/>
      <c r="M147" s="771">
        <v>2</v>
      </c>
      <c r="N147" s="196" t="s">
        <v>2086</v>
      </c>
      <c r="O147" s="1292" t="s">
        <v>4471</v>
      </c>
      <c r="P147" s="633"/>
    </row>
    <row r="148" spans="1:17" ht="11.45" customHeight="1">
      <c r="A148" s="151" t="s">
        <v>2215</v>
      </c>
      <c r="B148" s="199" t="s">
        <v>3103</v>
      </c>
      <c r="D148" s="32"/>
      <c r="G148" s="1783" t="s">
        <v>4238</v>
      </c>
      <c r="H148" s="1783"/>
      <c r="I148" s="1783"/>
      <c r="J148" s="1783"/>
      <c r="K148" s="1783"/>
      <c r="M148" s="84">
        <v>1</v>
      </c>
      <c r="N148" s="28"/>
      <c r="O148" s="127"/>
      <c r="P148" s="127"/>
    </row>
    <row r="149" spans="1:17" ht="11.45" customHeight="1">
      <c r="B149" s="493" t="s">
        <v>3105</v>
      </c>
      <c r="E149" s="125"/>
      <c r="I149" s="146" t="s">
        <v>4228</v>
      </c>
      <c r="J149" s="1781" t="str">
        <f>'Part I-Project Information'!$J$29</f>
        <v>Lowndes</v>
      </c>
      <c r="K149" s="1781"/>
      <c r="N149" s="68" t="s">
        <v>2215</v>
      </c>
      <c r="O149" s="1299" t="s">
        <v>4471</v>
      </c>
      <c r="P149" s="2616"/>
      <c r="Q149" s="432"/>
    </row>
    <row r="150" spans="1:17" s="43" customFormat="1" ht="13.9" customHeight="1">
      <c r="A150" s="42"/>
      <c r="B150" s="49" t="s">
        <v>267</v>
      </c>
      <c r="C150" s="42"/>
      <c r="D150" s="48"/>
      <c r="E150" s="48"/>
      <c r="F150" s="48"/>
      <c r="G150" s="48"/>
      <c r="H150" s="36"/>
      <c r="I150" s="146" t="s">
        <v>4229</v>
      </c>
      <c r="J150" s="1782" t="str">
        <f>'Part I-Project Information'!$O$28</f>
        <v>0114.03</v>
      </c>
      <c r="K150" s="1782"/>
      <c r="M150" s="46"/>
      <c r="N150" s="64"/>
      <c r="O150" s="3"/>
      <c r="P150" s="1243"/>
    </row>
    <row r="151" spans="1:17" s="43" customFormat="1" ht="12.75" customHeight="1">
      <c r="A151" s="1745" t="s">
        <v>4473</v>
      </c>
      <c r="B151" s="1746"/>
      <c r="C151" s="1746"/>
      <c r="D151" s="1746"/>
      <c r="E151" s="1746"/>
      <c r="F151" s="1746"/>
      <c r="G151" s="1746"/>
      <c r="H151" s="1746"/>
      <c r="I151" s="1746"/>
      <c r="J151" s="1746"/>
      <c r="K151" s="1746"/>
      <c r="L151" s="1746"/>
      <c r="M151" s="1746"/>
      <c r="N151" s="1746"/>
      <c r="O151" s="1746"/>
      <c r="P151" s="1747"/>
      <c r="Q151" s="501" t="s">
        <v>1313</v>
      </c>
    </row>
    <row r="152" spans="1:17" s="43" customFormat="1" ht="11.25" customHeight="1">
      <c r="A152" s="42"/>
      <c r="B152" s="90" t="s">
        <v>1959</v>
      </c>
      <c r="C152" s="42"/>
      <c r="D152" s="90"/>
      <c r="E152" s="1244"/>
      <c r="F152" s="1244"/>
      <c r="G152" s="1244"/>
      <c r="H152" s="1244"/>
      <c r="I152" s="1244"/>
      <c r="J152" s="1244"/>
      <c r="K152" s="1244"/>
      <c r="L152" s="1244"/>
      <c r="M152" s="1244"/>
      <c r="N152" s="78"/>
      <c r="O152" s="74"/>
      <c r="P152" s="2"/>
      <c r="Q152" s="477"/>
    </row>
    <row r="153" spans="1:17" s="43" customFormat="1" ht="12.75" customHeight="1">
      <c r="A153" s="2672"/>
      <c r="B153" s="2673"/>
      <c r="C153" s="2673"/>
      <c r="D153" s="2673"/>
      <c r="E153" s="2673"/>
      <c r="F153" s="2673"/>
      <c r="G153" s="2673"/>
      <c r="H153" s="2673"/>
      <c r="I153" s="2673"/>
      <c r="J153" s="2673"/>
      <c r="K153" s="2673"/>
      <c r="L153" s="2673"/>
      <c r="M153" s="2673"/>
      <c r="N153" s="2673"/>
      <c r="O153" s="2673"/>
      <c r="P153" s="2674"/>
      <c r="Q153" s="501" t="s">
        <v>1313</v>
      </c>
    </row>
    <row r="154" spans="1:17" ht="3.6" customHeight="1">
      <c r="B154" s="125"/>
      <c r="C154" s="125"/>
      <c r="D154" s="125"/>
      <c r="E154" s="125"/>
    </row>
    <row r="155" spans="1:17" s="43" customFormat="1" ht="12" customHeight="1">
      <c r="A155" s="167" t="s">
        <v>225</v>
      </c>
      <c r="B155" s="111" t="s">
        <v>2579</v>
      </c>
      <c r="D155" s="41"/>
      <c r="E155" s="41"/>
      <c r="F155" s="41"/>
      <c r="H155" s="63" t="s">
        <v>3899</v>
      </c>
      <c r="K155" s="48"/>
      <c r="M155" s="2">
        <v>4</v>
      </c>
      <c r="N155" s="6"/>
      <c r="O155" s="80">
        <f>IF(AND($J$156="Flexible",O157=$M157),$M157,IF(O164&gt;0,O164,0))</f>
        <v>3</v>
      </c>
      <c r="P155" s="80">
        <f>IF(AND($J$156="Flexible",P157=$M157),$M157,IF(P164&gt;0,P164,0))</f>
        <v>0</v>
      </c>
      <c r="Q155" s="115" t="s">
        <v>458</v>
      </c>
    </row>
    <row r="156" spans="1:17" ht="10.9" customHeight="1">
      <c r="A156" s="592"/>
      <c r="B156" s="542"/>
      <c r="D156" s="769"/>
      <c r="E156" s="542"/>
      <c r="G156" s="791"/>
      <c r="H156" s="184" t="s">
        <v>3100</v>
      </c>
      <c r="I156" s="596"/>
      <c r="J156" s="1786" t="str">
        <f>'Part I-Project Information'!$H$90</f>
        <v>Rural</v>
      </c>
      <c r="K156" s="1786"/>
      <c r="N156" s="28"/>
      <c r="O156" s="28"/>
      <c r="P156" s="28"/>
    </row>
    <row r="157" spans="1:17" ht="12" customHeight="1">
      <c r="A157" s="1238" t="s">
        <v>2080</v>
      </c>
      <c r="B157" s="199" t="s">
        <v>2339</v>
      </c>
      <c r="D157" s="32"/>
      <c r="E157" s="32"/>
      <c r="F157" s="32"/>
      <c r="G157" s="28" t="str">
        <f>IF(AND(O157&lt;0,L167&lt;0),"Select either A or B but not both!&gt;","")</f>
        <v/>
      </c>
      <c r="M157" s="76">
        <v>4</v>
      </c>
      <c r="N157" s="531" t="s">
        <v>2080</v>
      </c>
      <c r="O157" s="1309"/>
      <c r="P157" s="2664"/>
      <c r="Q157" s="432" t="s">
        <v>2875</v>
      </c>
    </row>
    <row r="158" spans="1:17" s="106" customFormat="1" ht="22.5" customHeight="1">
      <c r="B158" s="1203" t="s">
        <v>2084</v>
      </c>
      <c r="C158" s="1761" t="s">
        <v>4067</v>
      </c>
      <c r="D158" s="1628"/>
      <c r="E158" s="1628"/>
      <c r="F158" s="1628"/>
      <c r="G158" s="1628"/>
      <c r="H158" s="1628"/>
      <c r="I158" s="1628"/>
      <c r="J158" s="1628"/>
      <c r="K158" s="1628"/>
      <c r="L158" s="1628"/>
      <c r="M158" s="463"/>
      <c r="N158" s="433" t="s">
        <v>2084</v>
      </c>
      <c r="O158" s="1292"/>
      <c r="P158" s="633"/>
    </row>
    <row r="159" spans="1:17" s="106" customFormat="1" ht="12" customHeight="1">
      <c r="B159" s="761"/>
      <c r="C159" s="126" t="s">
        <v>1007</v>
      </c>
      <c r="H159" s="542" t="s">
        <v>2710</v>
      </c>
      <c r="J159" s="1763"/>
      <c r="K159" s="1764"/>
    </row>
    <row r="160" spans="1:17" s="106" customFormat="1" ht="12" customHeight="1">
      <c r="B160" s="761"/>
      <c r="C160" s="126"/>
      <c r="H160" s="542" t="s">
        <v>2409</v>
      </c>
      <c r="J160" s="1778"/>
      <c r="K160" s="1779"/>
      <c r="L160" s="1780"/>
    </row>
    <row r="161" spans="1:18" s="126" customFormat="1" ht="12" customHeight="1">
      <c r="B161" s="761" t="s">
        <v>2086</v>
      </c>
      <c r="C161" s="126" t="s">
        <v>1008</v>
      </c>
      <c r="M161" s="7"/>
      <c r="N161" s="196" t="s">
        <v>2086</v>
      </c>
      <c r="O161" s="1291"/>
      <c r="P161" s="631"/>
    </row>
    <row r="162" spans="1:18" s="126" customFormat="1" ht="12" customHeight="1">
      <c r="B162" s="761" t="s">
        <v>2660</v>
      </c>
      <c r="C162" s="126" t="s">
        <v>1009</v>
      </c>
      <c r="M162" s="7"/>
      <c r="N162" s="196" t="s">
        <v>2660</v>
      </c>
      <c r="O162" s="1293"/>
      <c r="P162" s="632"/>
    </row>
    <row r="163" spans="1:18" s="126" customFormat="1" ht="12" customHeight="1">
      <c r="A163" s="592"/>
      <c r="B163" s="761" t="s">
        <v>1282</v>
      </c>
      <c r="C163" s="126" t="s">
        <v>1010</v>
      </c>
      <c r="M163" s="7"/>
      <c r="N163" s="196" t="s">
        <v>1282</v>
      </c>
      <c r="O163" s="1292"/>
      <c r="P163" s="633"/>
    </row>
    <row r="164" spans="1:18" s="32" customFormat="1" ht="12" customHeight="1">
      <c r="A164" s="1238" t="s">
        <v>2083</v>
      </c>
      <c r="B164" s="199" t="s">
        <v>2340</v>
      </c>
      <c r="D164" s="780"/>
      <c r="H164" s="63" t="s">
        <v>3914</v>
      </c>
      <c r="M164" s="771">
        <v>4</v>
      </c>
      <c r="N164" s="531" t="s">
        <v>2083</v>
      </c>
      <c r="O164" s="781">
        <f>IF(O165&gt;0,O165,IF(O172&gt;0,O172,0))</f>
        <v>3</v>
      </c>
      <c r="P164" s="781">
        <f>IF(P165&gt;0,P165,IF(P172&gt;0,P172,0))</f>
        <v>0</v>
      </c>
    </row>
    <row r="165" spans="1:18" s="32" customFormat="1" ht="12" customHeight="1">
      <c r="B165" s="412" t="s">
        <v>2084</v>
      </c>
      <c r="C165" s="777" t="s">
        <v>3911</v>
      </c>
      <c r="M165" s="771">
        <v>4</v>
      </c>
      <c r="N165" s="1249">
        <v>1</v>
      </c>
      <c r="O165" s="782">
        <f>IF(AND($J$156="Rural",OR(O167=$M$167,O168=$M$168)),O167+O168,IF(AND($J$156="Flexible",O170=$M$170),O170,0))</f>
        <v>3</v>
      </c>
      <c r="P165" s="782">
        <f>IF(AND($J$156="Rural",OR(P167=$M$167,P168=$M$168)),P167+P168,IF(AND($J$156="Flexible",P170=$M$170),P170,0))</f>
        <v>0</v>
      </c>
    </row>
    <row r="166" spans="1:18" s="32" customFormat="1" ht="12" customHeight="1">
      <c r="B166" s="412"/>
      <c r="C166" s="146" t="s">
        <v>3903</v>
      </c>
      <c r="D166" s="146" t="s">
        <v>3902</v>
      </c>
      <c r="M166" s="771"/>
      <c r="N166" s="122"/>
      <c r="O166" s="165"/>
      <c r="P166" s="165"/>
    </row>
    <row r="167" spans="1:18" s="32" customFormat="1" ht="12" customHeight="1">
      <c r="C167" s="196" t="s">
        <v>3906</v>
      </c>
      <c r="D167" s="486" t="s">
        <v>3900</v>
      </c>
      <c r="G167" s="40"/>
      <c r="H167" s="40"/>
      <c r="I167" s="40"/>
      <c r="J167" s="40"/>
      <c r="M167" s="76">
        <v>3</v>
      </c>
      <c r="N167" s="1249" t="s">
        <v>3907</v>
      </c>
      <c r="O167" s="1309">
        <v>3</v>
      </c>
      <c r="P167" s="2664"/>
      <c r="Q167" s="192" t="s">
        <v>2875</v>
      </c>
    </row>
    <row r="168" spans="1:18" s="32" customFormat="1" ht="12" customHeight="1">
      <c r="C168" s="430" t="s">
        <v>235</v>
      </c>
      <c r="D168" s="486" t="s">
        <v>3901</v>
      </c>
      <c r="G168" s="40"/>
      <c r="H168" s="40"/>
      <c r="M168" s="771">
        <v>1</v>
      </c>
      <c r="N168" s="146" t="s">
        <v>3908</v>
      </c>
      <c r="O168" s="1310"/>
      <c r="P168" s="2665"/>
      <c r="Q168" s="192" t="s">
        <v>2875</v>
      </c>
    </row>
    <row r="169" spans="1:18" ht="12" customHeight="1">
      <c r="A169" s="592"/>
      <c r="B169" s="542"/>
      <c r="D169" s="769"/>
      <c r="E169" s="542"/>
      <c r="G169" s="791"/>
      <c r="H169" s="486" t="s">
        <v>3875</v>
      </c>
      <c r="J169" s="1784" t="str">
        <f>'Part I-Project Information'!$F$28</f>
        <v>Lake Park</v>
      </c>
      <c r="K169" s="1785"/>
      <c r="N169" s="28"/>
      <c r="O169" s="28"/>
      <c r="P169" s="28"/>
    </row>
    <row r="170" spans="1:18" ht="12" customHeight="1">
      <c r="C170" s="865" t="s">
        <v>3904</v>
      </c>
      <c r="D170" s="1761" t="s">
        <v>3905</v>
      </c>
      <c r="E170" s="1761"/>
      <c r="F170" s="1761"/>
      <c r="G170" s="1761"/>
      <c r="H170" s="1761"/>
      <c r="I170" s="1761"/>
      <c r="J170" s="1761"/>
      <c r="K170" s="1761"/>
      <c r="L170" s="1761"/>
      <c r="M170" s="76">
        <v>3</v>
      </c>
      <c r="N170" s="413" t="s">
        <v>2556</v>
      </c>
      <c r="O170" s="1314"/>
      <c r="P170" s="2666"/>
      <c r="Q170" s="192" t="s">
        <v>2875</v>
      </c>
      <c r="R170" s="32"/>
    </row>
    <row r="171" spans="1:18" ht="12" customHeight="1">
      <c r="C171" s="486"/>
      <c r="D171" s="1761"/>
      <c r="E171" s="1761"/>
      <c r="F171" s="1761"/>
      <c r="G171" s="1761"/>
      <c r="H171" s="1761"/>
      <c r="I171" s="1761"/>
      <c r="J171" s="1761"/>
      <c r="K171" s="1761"/>
      <c r="L171" s="1761"/>
      <c r="N171" s="146"/>
      <c r="O171" s="108"/>
      <c r="P171" s="108"/>
    </row>
    <row r="172" spans="1:18" ht="12" customHeight="1">
      <c r="A172" s="779" t="s">
        <v>1418</v>
      </c>
      <c r="B172" s="495" t="s">
        <v>2086</v>
      </c>
      <c r="C172" s="494" t="s">
        <v>3912</v>
      </c>
      <c r="D172" s="32"/>
      <c r="E172" s="32"/>
      <c r="F172" s="32"/>
      <c r="G172" s="40"/>
      <c r="H172" s="63" t="s">
        <v>3913</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3915</v>
      </c>
      <c r="D173" s="1761" t="s">
        <v>3909</v>
      </c>
      <c r="E173" s="1761"/>
      <c r="F173" s="1761"/>
      <c r="G173" s="1761"/>
      <c r="H173" s="1761"/>
      <c r="I173" s="1761"/>
      <c r="J173" s="1761"/>
      <c r="K173" s="1761"/>
      <c r="L173" s="1761"/>
      <c r="M173" s="84"/>
      <c r="N173" s="545" t="s">
        <v>2555</v>
      </c>
      <c r="O173" s="1314"/>
      <c r="P173" s="2666"/>
      <c r="Q173" s="192" t="s">
        <v>2875</v>
      </c>
    </row>
    <row r="174" spans="1:18" ht="12" customHeight="1">
      <c r="B174" s="495"/>
      <c r="C174" s="542" t="s">
        <v>3916</v>
      </c>
      <c r="D174" s="1761"/>
      <c r="E174" s="1761"/>
      <c r="F174" s="1761"/>
      <c r="G174" s="1761"/>
      <c r="H174" s="1761"/>
      <c r="I174" s="1761"/>
      <c r="J174" s="1761"/>
      <c r="K174" s="1761"/>
      <c r="L174" s="1761"/>
    </row>
    <row r="175" spans="1:18" ht="12" customHeight="1">
      <c r="B175" s="778" t="s">
        <v>3797</v>
      </c>
      <c r="C175" s="486" t="s">
        <v>3904</v>
      </c>
      <c r="D175" s="484" t="s">
        <v>3910</v>
      </c>
      <c r="E175" s="32"/>
      <c r="H175" s="40"/>
      <c r="I175" s="40"/>
      <c r="J175" s="40"/>
      <c r="N175" s="431" t="s">
        <v>2556</v>
      </c>
      <c r="O175" s="1314"/>
      <c r="P175" s="2666"/>
      <c r="Q175" s="192" t="s">
        <v>2875</v>
      </c>
    </row>
    <row r="176" spans="1:18" s="43" customFormat="1" ht="12" customHeight="1">
      <c r="A176" s="42"/>
      <c r="B176" s="49" t="s">
        <v>267</v>
      </c>
      <c r="C176" s="42"/>
      <c r="D176" s="48"/>
      <c r="E176" s="48"/>
      <c r="F176" s="48"/>
      <c r="G176" s="48"/>
      <c r="H176" s="36"/>
      <c r="I176" s="36"/>
      <c r="J176" s="36"/>
      <c r="K176" s="36"/>
      <c r="M176" s="46"/>
      <c r="N176" s="64"/>
      <c r="O176" s="3"/>
      <c r="P176" s="1243"/>
    </row>
    <row r="177" spans="1:20" s="43" customFormat="1" ht="12" customHeight="1">
      <c r="A177" s="1598" t="s">
        <v>4474</v>
      </c>
      <c r="B177" s="1599"/>
      <c r="C177" s="1599"/>
      <c r="D177" s="1599"/>
      <c r="E177" s="1599"/>
      <c r="F177" s="1599"/>
      <c r="G177" s="1599"/>
      <c r="H177" s="1599"/>
      <c r="I177" s="1599"/>
      <c r="J177" s="1599"/>
      <c r="K177" s="1599"/>
      <c r="L177" s="1599"/>
      <c r="M177" s="1599"/>
      <c r="N177" s="1599"/>
      <c r="O177" s="1599"/>
      <c r="P177" s="1600"/>
      <c r="Q177" s="501" t="s">
        <v>1313</v>
      </c>
    </row>
    <row r="178" spans="1:20" s="43" customFormat="1" ht="12" customHeight="1">
      <c r="B178" s="90" t="s">
        <v>1959</v>
      </c>
      <c r="C178" s="104"/>
      <c r="D178" s="90"/>
      <c r="E178" s="105"/>
      <c r="F178" s="1244"/>
      <c r="G178" s="1244"/>
      <c r="H178" s="1244"/>
      <c r="I178" s="1244"/>
      <c r="J178" s="1244"/>
      <c r="K178" s="1244"/>
      <c r="L178" s="1244"/>
      <c r="M178" s="1244"/>
      <c r="N178" s="78"/>
      <c r="O178" s="74"/>
      <c r="P178" s="2"/>
      <c r="Q178" s="477"/>
    </row>
    <row r="179" spans="1:20" s="43" customFormat="1" ht="12" customHeight="1">
      <c r="A179" s="1644"/>
      <c r="B179" s="1645"/>
      <c r="C179" s="1645"/>
      <c r="D179" s="1645"/>
      <c r="E179" s="1645"/>
      <c r="F179" s="1645"/>
      <c r="G179" s="1645"/>
      <c r="H179" s="1645"/>
      <c r="I179" s="1645"/>
      <c r="J179" s="1645"/>
      <c r="K179" s="1645"/>
      <c r="L179" s="1645"/>
      <c r="M179" s="1645"/>
      <c r="N179" s="1645"/>
      <c r="O179" s="1645"/>
      <c r="P179" s="1646"/>
      <c r="Q179" s="501" t="s">
        <v>1313</v>
      </c>
    </row>
    <row r="180" spans="1:20" ht="3" customHeight="1">
      <c r="B180" s="125"/>
      <c r="C180" s="125"/>
      <c r="D180" s="125"/>
      <c r="E180" s="125"/>
    </row>
    <row r="181" spans="1:20" s="43" customFormat="1" ht="12" customHeight="1">
      <c r="A181" s="167" t="s">
        <v>226</v>
      </c>
      <c r="B181" s="111" t="s">
        <v>3887</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458</v>
      </c>
    </row>
    <row r="182" spans="1:20" ht="11.45" customHeight="1">
      <c r="B182" s="182" t="s">
        <v>1749</v>
      </c>
      <c r="E182" s="125"/>
      <c r="M182" s="429"/>
      <c r="N182" s="28"/>
      <c r="O182" s="28"/>
      <c r="P182" s="127" t="s">
        <v>2635</v>
      </c>
    </row>
    <row r="183" spans="1:20" s="435" customFormat="1" ht="22.5" customHeight="1">
      <c r="A183" s="156" t="s">
        <v>2080</v>
      </c>
      <c r="B183" s="1762" t="s">
        <v>2765</v>
      </c>
      <c r="C183" s="1762"/>
      <c r="D183" s="1762"/>
      <c r="E183" s="1762"/>
      <c r="F183" s="1762"/>
      <c r="G183" s="1762"/>
      <c r="H183" s="1762"/>
      <c r="I183" s="1762"/>
      <c r="J183" s="1762"/>
      <c r="K183" s="1762"/>
      <c r="L183" s="1762"/>
      <c r="M183" s="110"/>
      <c r="N183" s="177" t="s">
        <v>2080</v>
      </c>
      <c r="O183" s="1296" t="s">
        <v>3424</v>
      </c>
      <c r="P183" s="2627"/>
    </row>
    <row r="184" spans="1:20" s="435" customFormat="1" ht="22.5" customHeight="1">
      <c r="A184" s="156" t="s">
        <v>2083</v>
      </c>
      <c r="B184" s="1762" t="s">
        <v>2911</v>
      </c>
      <c r="C184" s="1762"/>
      <c r="D184" s="1762"/>
      <c r="E184" s="1762"/>
      <c r="F184" s="1762"/>
      <c r="G184" s="1762"/>
      <c r="H184" s="1762"/>
      <c r="I184" s="1762"/>
      <c r="J184" s="1762"/>
      <c r="K184" s="1762"/>
      <c r="L184" s="1762"/>
      <c r="M184" s="110"/>
      <c r="N184" s="177" t="s">
        <v>2083</v>
      </c>
      <c r="O184" s="1294" t="s">
        <v>3424</v>
      </c>
      <c r="P184" s="634"/>
    </row>
    <row r="185" spans="1:20" s="435" customFormat="1" ht="11.25" customHeight="1">
      <c r="A185" s="156" t="s">
        <v>788</v>
      </c>
      <c r="B185" s="236" t="s">
        <v>1750</v>
      </c>
      <c r="M185" s="491"/>
      <c r="N185" s="68" t="s">
        <v>788</v>
      </c>
      <c r="O185" s="1292" t="s">
        <v>3424</v>
      </c>
      <c r="P185" s="2628"/>
    </row>
    <row r="186" spans="1:20" s="43" customFormat="1" ht="12.75" customHeight="1">
      <c r="A186" s="431"/>
      <c r="B186" s="49" t="s">
        <v>267</v>
      </c>
      <c r="C186" s="42"/>
      <c r="D186" s="48"/>
      <c r="E186" s="48"/>
      <c r="F186" s="48"/>
      <c r="G186" s="48"/>
      <c r="H186" s="36"/>
      <c r="I186" s="36"/>
      <c r="J186" s="36"/>
      <c r="K186" s="36"/>
      <c r="M186" s="46"/>
      <c r="N186" s="64"/>
      <c r="O186" s="3"/>
      <c r="P186" s="1243"/>
    </row>
    <row r="187" spans="1:20" s="43" customFormat="1" ht="22.5" customHeight="1">
      <c r="A187" s="1598" t="s">
        <v>4522</v>
      </c>
      <c r="B187" s="1599"/>
      <c r="C187" s="1599"/>
      <c r="D187" s="1599"/>
      <c r="E187" s="1599"/>
      <c r="F187" s="1599"/>
      <c r="G187" s="1599"/>
      <c r="H187" s="1599"/>
      <c r="I187" s="1599"/>
      <c r="J187" s="1599"/>
      <c r="K187" s="1599"/>
      <c r="L187" s="1599"/>
      <c r="M187" s="1599"/>
      <c r="N187" s="1599"/>
      <c r="O187" s="1599"/>
      <c r="P187" s="1600"/>
      <c r="Q187" s="501" t="s">
        <v>1313</v>
      </c>
    </row>
    <row r="188" spans="1:20" s="43" customFormat="1" ht="11.25" customHeight="1">
      <c r="A188" s="42"/>
      <c r="B188" s="90" t="s">
        <v>1959</v>
      </c>
      <c r="C188" s="42"/>
      <c r="D188" s="90"/>
      <c r="E188" s="1244"/>
      <c r="F188" s="1244"/>
      <c r="G188" s="1244"/>
      <c r="H188" s="1244"/>
      <c r="I188" s="1244"/>
      <c r="J188" s="1244"/>
      <c r="K188" s="1244"/>
      <c r="L188" s="1244"/>
      <c r="M188" s="1244"/>
      <c r="N188" s="78"/>
      <c r="O188" s="74"/>
      <c r="P188" s="2"/>
      <c r="Q188" s="477"/>
    </row>
    <row r="189" spans="1:20" s="43" customFormat="1" ht="34.5" customHeight="1">
      <c r="A189" s="1644"/>
      <c r="B189" s="1645"/>
      <c r="C189" s="1645"/>
      <c r="D189" s="1645"/>
      <c r="E189" s="1645"/>
      <c r="F189" s="1645"/>
      <c r="G189" s="1645"/>
      <c r="H189" s="1645"/>
      <c r="I189" s="1645"/>
      <c r="J189" s="1645"/>
      <c r="K189" s="1645"/>
      <c r="L189" s="1645"/>
      <c r="M189" s="1645"/>
      <c r="N189" s="1645"/>
      <c r="O189" s="1645"/>
      <c r="P189" s="1646"/>
      <c r="Q189" s="501" t="s">
        <v>1313</v>
      </c>
    </row>
    <row r="190" spans="1:20" ht="3" customHeight="1">
      <c r="B190" s="125"/>
      <c r="C190" s="125"/>
      <c r="D190" s="125"/>
      <c r="E190" s="125"/>
    </row>
    <row r="191" spans="1:20" s="43" customFormat="1" ht="12" customHeight="1">
      <c r="A191" s="168" t="s">
        <v>227</v>
      </c>
      <c r="B191" s="112" t="s">
        <v>3148</v>
      </c>
      <c r="C191" s="55"/>
      <c r="D191" s="124"/>
      <c r="E191" s="124"/>
      <c r="F191" s="41"/>
      <c r="H191" s="39"/>
      <c r="I191" s="63" t="s">
        <v>414</v>
      </c>
      <c r="K191" s="48"/>
      <c r="M191" s="2">
        <v>1</v>
      </c>
      <c r="N191" s="6"/>
      <c r="O191" s="622">
        <f>MIN($M191,SUM(O192:O194))</f>
        <v>1</v>
      </c>
      <c r="P191" s="622">
        <f>MIN($M191,SUM(P192:P194))</f>
        <v>0</v>
      </c>
      <c r="Q191" s="115" t="s">
        <v>458</v>
      </c>
    </row>
    <row r="192" spans="1:20" s="108" customFormat="1" ht="12" customHeight="1">
      <c r="A192" s="151" t="s">
        <v>2080</v>
      </c>
      <c r="B192" s="184" t="s">
        <v>2341</v>
      </c>
      <c r="D192" s="63"/>
      <c r="E192" s="63"/>
      <c r="F192" s="44"/>
      <c r="G192" s="28"/>
      <c r="M192" s="7">
        <v>1</v>
      </c>
      <c r="N192" s="531" t="s">
        <v>2080</v>
      </c>
      <c r="O192" s="1309">
        <v>1</v>
      </c>
      <c r="P192" s="2664"/>
      <c r="Q192" s="432" t="s">
        <v>2875</v>
      </c>
      <c r="T192" s="416" t="str">
        <f>IF(OR($O192=$M192,$O192=0,$O192=""),"","* * Check Score! * *")</f>
        <v/>
      </c>
    </row>
    <row r="193" spans="1:20" s="108" customFormat="1" ht="12" customHeight="1">
      <c r="A193" s="151"/>
      <c r="B193" s="40" t="s">
        <v>2851</v>
      </c>
      <c r="D193" s="63"/>
      <c r="E193" s="63"/>
      <c r="F193" s="44"/>
      <c r="G193" s="28"/>
      <c r="K193" s="531"/>
      <c r="M193" s="7"/>
      <c r="N193" s="531"/>
      <c r="O193" s="1292" t="s">
        <v>3421</v>
      </c>
      <c r="P193" s="633"/>
      <c r="Q193" s="432"/>
      <c r="R193" s="416"/>
    </row>
    <row r="194" spans="1:20" s="43" customFormat="1" ht="12" customHeight="1">
      <c r="A194" s="151" t="s">
        <v>2083</v>
      </c>
      <c r="B194" s="184" t="s">
        <v>2342</v>
      </c>
      <c r="D194" s="59"/>
      <c r="K194" s="53"/>
      <c r="L194" s="108"/>
      <c r="M194" s="7">
        <v>1</v>
      </c>
      <c r="N194" s="531" t="s">
        <v>2083</v>
      </c>
      <c r="O194" s="1309"/>
      <c r="P194" s="2664"/>
      <c r="Q194" s="432" t="s">
        <v>2875</v>
      </c>
      <c r="T194" s="416" t="str">
        <f>IF(OR($O194=$M194,$O194=0,$O194=""),"","* * Check Score! * *")</f>
        <v/>
      </c>
    </row>
    <row r="195" spans="1:20" s="43" customFormat="1" ht="12" customHeight="1">
      <c r="A195" s="151"/>
      <c r="B195" s="1275" t="s">
        <v>2839</v>
      </c>
      <c r="D195" s="59"/>
      <c r="H195" s="1251"/>
      <c r="K195" s="53"/>
      <c r="L195" s="108"/>
      <c r="M195" s="7"/>
      <c r="N195" s="531"/>
      <c r="O195" s="1292" t="s">
        <v>4471</v>
      </c>
      <c r="P195" s="633"/>
      <c r="Q195" s="432"/>
      <c r="R195" s="416"/>
    </row>
    <row r="196" spans="1:20" s="43" customFormat="1" ht="12" customHeight="1">
      <c r="A196" s="42"/>
      <c r="B196" s="49" t="s">
        <v>267</v>
      </c>
      <c r="C196" s="42"/>
      <c r="D196" s="48"/>
      <c r="E196" s="48"/>
      <c r="F196" s="48"/>
      <c r="G196" s="48"/>
      <c r="H196" s="36"/>
      <c r="I196" s="36"/>
      <c r="J196" s="36"/>
      <c r="K196" s="36"/>
      <c r="M196" s="46"/>
      <c r="N196" s="64"/>
      <c r="O196" s="3"/>
      <c r="P196" s="1243"/>
    </row>
    <row r="197" spans="1:20" s="43" customFormat="1" ht="12" customHeight="1">
      <c r="A197" s="1598" t="s">
        <v>4475</v>
      </c>
      <c r="B197" s="1599"/>
      <c r="C197" s="1599"/>
      <c r="D197" s="1599"/>
      <c r="E197" s="1599"/>
      <c r="F197" s="1599"/>
      <c r="G197" s="1599"/>
      <c r="H197" s="1599"/>
      <c r="I197" s="1599"/>
      <c r="J197" s="1599"/>
      <c r="K197" s="1599"/>
      <c r="L197" s="1599"/>
      <c r="M197" s="1599"/>
      <c r="N197" s="1599"/>
      <c r="O197" s="1599"/>
      <c r="P197" s="1600"/>
      <c r="Q197" s="501" t="s">
        <v>1313</v>
      </c>
    </row>
    <row r="198" spans="1:20" s="43" customFormat="1" ht="12" customHeight="1">
      <c r="A198" s="42"/>
      <c r="B198" s="90" t="s">
        <v>1959</v>
      </c>
      <c r="C198" s="104"/>
      <c r="D198" s="90"/>
      <c r="E198" s="105"/>
      <c r="F198" s="1244"/>
      <c r="G198" s="1244"/>
      <c r="H198" s="1244"/>
      <c r="I198" s="1244"/>
      <c r="J198" s="1244"/>
      <c r="K198" s="1244"/>
      <c r="L198" s="1244"/>
      <c r="M198" s="1244"/>
      <c r="N198" s="78"/>
      <c r="O198" s="74"/>
      <c r="P198" s="2"/>
      <c r="Q198" s="477"/>
    </row>
    <row r="199" spans="1:20" s="43" customFormat="1" ht="12" customHeight="1">
      <c r="A199" s="1644"/>
      <c r="B199" s="1645"/>
      <c r="C199" s="1645"/>
      <c r="D199" s="1645"/>
      <c r="E199" s="1645"/>
      <c r="F199" s="1645"/>
      <c r="G199" s="1645"/>
      <c r="H199" s="1645"/>
      <c r="I199" s="1645"/>
      <c r="J199" s="1645"/>
      <c r="K199" s="1645"/>
      <c r="L199" s="1645"/>
      <c r="M199" s="1645"/>
      <c r="N199" s="1645"/>
      <c r="O199" s="1645"/>
      <c r="P199" s="1646"/>
      <c r="Q199" s="501" t="s">
        <v>1313</v>
      </c>
    </row>
    <row r="200" spans="1:20" s="43" customFormat="1" ht="3" customHeight="1">
      <c r="A200" s="42"/>
      <c r="B200" s="42"/>
      <c r="C200" s="1244"/>
      <c r="D200" s="1244"/>
      <c r="E200" s="1244"/>
      <c r="F200" s="1244"/>
      <c r="G200" s="1244"/>
      <c r="H200" s="1244"/>
      <c r="I200" s="1244"/>
      <c r="J200" s="1244"/>
      <c r="K200" s="1244"/>
      <c r="L200" s="1244"/>
      <c r="M200" s="1244"/>
      <c r="N200" s="78"/>
      <c r="O200" s="74"/>
      <c r="P200" s="1273"/>
    </row>
    <row r="201" spans="1:20" s="43" customFormat="1" ht="15">
      <c r="A201" s="168" t="s">
        <v>245</v>
      </c>
      <c r="B201" s="119" t="s">
        <v>3888</v>
      </c>
      <c r="C201" s="92"/>
      <c r="D201" s="60"/>
      <c r="E201" s="53"/>
      <c r="M201" s="2">
        <v>3</v>
      </c>
      <c r="N201" s="6"/>
      <c r="O201" s="6"/>
      <c r="P201" s="2675"/>
      <c r="Q201" s="115" t="s">
        <v>458</v>
      </c>
    </row>
    <row r="202" spans="1:20" s="43" customFormat="1" ht="12" customHeight="1">
      <c r="A202" s="168"/>
      <c r="B202" s="40" t="s">
        <v>2842</v>
      </c>
      <c r="C202" s="92"/>
      <c r="D202" s="60"/>
      <c r="E202" s="53"/>
      <c r="I202" s="530">
        <f>'Part I-Project Information'!$H$86</f>
        <v>0</v>
      </c>
      <c r="M202" s="2"/>
      <c r="N202" s="2"/>
      <c r="O202" s="127" t="s">
        <v>2635</v>
      </c>
      <c r="P202" s="127" t="s">
        <v>2635</v>
      </c>
      <c r="Q202" s="115"/>
    </row>
    <row r="203" spans="1:20" s="43" customFormat="1" ht="12" customHeight="1">
      <c r="A203" s="151"/>
      <c r="B203" s="56" t="s">
        <v>4068</v>
      </c>
      <c r="D203" s="32"/>
      <c r="N203" s="531"/>
      <c r="O203" s="1291"/>
      <c r="P203" s="631"/>
      <c r="R203" s="416"/>
    </row>
    <row r="204" spans="1:20" s="43" customFormat="1" ht="12" customHeight="1">
      <c r="A204" s="151"/>
      <c r="B204" s="56" t="s">
        <v>4069</v>
      </c>
      <c r="D204" s="32"/>
      <c r="N204" s="531"/>
      <c r="O204" s="1293"/>
      <c r="P204" s="632"/>
      <c r="R204" s="416"/>
    </row>
    <row r="205" spans="1:20" s="43" customFormat="1" ht="12" customHeight="1">
      <c r="A205" s="151"/>
      <c r="B205" s="56" t="s">
        <v>3889</v>
      </c>
      <c r="D205" s="32"/>
      <c r="N205" s="531"/>
      <c r="O205" s="1292"/>
      <c r="P205" s="633"/>
      <c r="R205" s="416"/>
    </row>
    <row r="206" spans="1:20" s="43" customFormat="1" ht="12" customHeight="1">
      <c r="A206" s="42"/>
      <c r="B206" s="49" t="s">
        <v>267</v>
      </c>
      <c r="C206" s="42"/>
      <c r="D206" s="48"/>
      <c r="E206" s="48"/>
      <c r="F206" s="48"/>
      <c r="G206" s="48"/>
      <c r="H206" s="36"/>
      <c r="I206" s="36"/>
      <c r="J206" s="36"/>
      <c r="K206" s="36"/>
      <c r="M206" s="46"/>
      <c r="N206" s="64"/>
      <c r="O206" s="3"/>
      <c r="P206" s="1243"/>
    </row>
    <row r="207" spans="1:20" s="43" customFormat="1" ht="12" customHeight="1">
      <c r="A207" s="1598" t="s">
        <v>4476</v>
      </c>
      <c r="B207" s="1599"/>
      <c r="C207" s="1599"/>
      <c r="D207" s="1599"/>
      <c r="E207" s="1599"/>
      <c r="F207" s="1599"/>
      <c r="G207" s="1599"/>
      <c r="H207" s="1599"/>
      <c r="I207" s="1599"/>
      <c r="J207" s="1599"/>
      <c r="K207" s="1599"/>
      <c r="L207" s="1599"/>
      <c r="M207" s="1599"/>
      <c r="N207" s="1599"/>
      <c r="O207" s="1599"/>
      <c r="P207" s="1600"/>
      <c r="Q207" s="501" t="s">
        <v>1313</v>
      </c>
    </row>
    <row r="208" spans="1:20" s="43" customFormat="1" ht="12" customHeight="1">
      <c r="B208" s="90" t="s">
        <v>1959</v>
      </c>
      <c r="C208" s="104"/>
      <c r="D208" s="90"/>
      <c r="E208" s="105"/>
      <c r="F208" s="1244"/>
      <c r="G208" s="1244"/>
      <c r="H208" s="1244"/>
      <c r="I208" s="1244"/>
      <c r="J208" s="1244"/>
      <c r="K208" s="1244"/>
      <c r="L208" s="1244"/>
      <c r="M208" s="1244"/>
      <c r="N208" s="78"/>
      <c r="O208" s="74"/>
      <c r="P208" s="2"/>
      <c r="Q208" s="477"/>
    </row>
    <row r="209" spans="1:18" s="43" customFormat="1" ht="12" customHeight="1">
      <c r="A209" s="1644"/>
      <c r="B209" s="1645"/>
      <c r="C209" s="1645"/>
      <c r="D209" s="1645"/>
      <c r="E209" s="1645"/>
      <c r="F209" s="1645"/>
      <c r="G209" s="1645"/>
      <c r="H209" s="1645"/>
      <c r="I209" s="1645"/>
      <c r="J209" s="1645"/>
      <c r="K209" s="1645"/>
      <c r="L209" s="1645"/>
      <c r="M209" s="1645"/>
      <c r="N209" s="1645"/>
      <c r="O209" s="1645"/>
      <c r="P209" s="1646"/>
      <c r="Q209" s="501" t="s">
        <v>1313</v>
      </c>
    </row>
    <row r="210" spans="1:18" ht="4.5" customHeight="1"/>
    <row r="211" spans="1:18" s="65" customFormat="1" ht="12.6" customHeight="1">
      <c r="A211" s="167" t="s">
        <v>246</v>
      </c>
      <c r="B211" s="111" t="s">
        <v>3149</v>
      </c>
      <c r="G211" s="36" t="s">
        <v>3100</v>
      </c>
      <c r="H211" s="484"/>
      <c r="I211" s="872" t="str">
        <f>'Part I-Project Information'!$H$90</f>
        <v>Rural</v>
      </c>
      <c r="M211" s="2">
        <v>3</v>
      </c>
      <c r="N211" s="440" t="str">
        <f>IF(OR($O211=$M211,$O211=0,$O211=""),"","***")</f>
        <v/>
      </c>
      <c r="O211" s="80">
        <f>SUM(O213:O217)</f>
        <v>0</v>
      </c>
      <c r="P211" s="80">
        <f>SUM(P213:P217)</f>
        <v>0</v>
      </c>
      <c r="Q211" s="115" t="s">
        <v>458</v>
      </c>
      <c r="R211" s="28"/>
    </row>
    <row r="212" spans="1:18" s="65" customFormat="1" ht="10.5" customHeight="1">
      <c r="A212" s="167"/>
      <c r="G212" s="481" t="s">
        <v>3891</v>
      </c>
      <c r="H212" s="41"/>
      <c r="I212" s="601" t="str">
        <f>'Part I-Project Information'!$K$30</f>
        <v>Rural</v>
      </c>
      <c r="K212" s="601" t="str">
        <f>IF(I211="Flexible","(NOTE: Only Rural pool applicants are eligible for this section.)","")</f>
        <v/>
      </c>
      <c r="M212" s="2"/>
      <c r="N212" s="440"/>
      <c r="O212" s="440"/>
      <c r="P212" s="440"/>
    </row>
    <row r="213" spans="1:18" s="65" customFormat="1" ht="33.75" customHeight="1">
      <c r="A213" s="156" t="s">
        <v>2080</v>
      </c>
      <c r="B213" s="1618" t="s">
        <v>3892</v>
      </c>
      <c r="C213" s="1618"/>
      <c r="D213" s="1618"/>
      <c r="E213" s="1618"/>
      <c r="F213" s="1618"/>
      <c r="G213" s="1618"/>
      <c r="H213" s="1618"/>
      <c r="I213" s="1618"/>
      <c r="J213" s="1618"/>
      <c r="K213" s="1618"/>
      <c r="L213" s="1618"/>
      <c r="M213" s="594">
        <v>2</v>
      </c>
      <c r="N213" s="177" t="s">
        <v>2080</v>
      </c>
      <c r="O213" s="1333"/>
      <c r="P213" s="2676"/>
      <c r="Q213" s="789" t="s">
        <v>2875</v>
      </c>
      <c r="R213" s="416"/>
    </row>
    <row r="214" spans="1:18" s="65" customFormat="1" ht="10.5" customHeight="1">
      <c r="A214" s="167"/>
      <c r="C214" s="596"/>
      <c r="E214" s="610"/>
      <c r="G214" s="1250" t="s">
        <v>1880</v>
      </c>
      <c r="I214" s="601">
        <f>'Part VI-Revenues &amp; Expenses'!$M$62</f>
        <v>42</v>
      </c>
      <c r="J214" s="601" t="s">
        <v>4047</v>
      </c>
      <c r="K214" s="869"/>
      <c r="L214" s="1283"/>
      <c r="M214" s="2"/>
      <c r="N214" s="440"/>
      <c r="O214" s="440"/>
      <c r="P214" s="440"/>
      <c r="Q214" s="115"/>
      <c r="R214" s="28"/>
    </row>
    <row r="215" spans="1:18" s="65" customFormat="1" ht="10.5" customHeight="1">
      <c r="A215" s="167"/>
      <c r="B215" s="601"/>
      <c r="C215" s="596"/>
      <c r="E215" s="610"/>
      <c r="G215" s="1250" t="s">
        <v>4046</v>
      </c>
      <c r="I215" s="873">
        <f>'Part VI-Revenues &amp; Expenses'!$M$74</f>
        <v>0</v>
      </c>
      <c r="J215" s="868"/>
      <c r="K215" s="869"/>
      <c r="L215" s="1283"/>
      <c r="M215" s="2"/>
      <c r="N215" s="440"/>
      <c r="O215" s="440"/>
      <c r="P215" s="440"/>
      <c r="Q215" s="115"/>
      <c r="R215" s="28"/>
    </row>
    <row r="216" spans="1:18" s="65" customFormat="1" ht="10.5" customHeight="1">
      <c r="A216" s="167"/>
      <c r="B216" s="184"/>
      <c r="C216" s="596"/>
      <c r="E216" s="610"/>
      <c r="G216" s="1250" t="s">
        <v>3062</v>
      </c>
      <c r="I216" s="871">
        <f>'Part VI-Revenues &amp; Expenses'!$M$74/'Part VI-Revenues &amp; Expenses'!$M$62</f>
        <v>0</v>
      </c>
      <c r="J216" s="868"/>
      <c r="K216" s="869"/>
      <c r="L216" s="1283"/>
      <c r="M216" s="2"/>
      <c r="N216" s="440"/>
      <c r="O216" s="440"/>
      <c r="P216" s="440"/>
      <c r="Q216" s="115"/>
      <c r="R216" s="28"/>
    </row>
    <row r="217" spans="1:18" s="65" customFormat="1" ht="11.25" customHeight="1">
      <c r="A217" s="156" t="s">
        <v>2083</v>
      </c>
      <c r="B217" s="152" t="s">
        <v>3893</v>
      </c>
      <c r="C217" s="236"/>
      <c r="D217" s="236"/>
      <c r="E217" s="236"/>
      <c r="F217" s="236"/>
      <c r="G217" s="236"/>
      <c r="H217" s="236"/>
      <c r="I217" s="1286"/>
      <c r="J217" s="236"/>
      <c r="K217" s="236"/>
      <c r="L217" s="236"/>
      <c r="M217" s="76">
        <v>1</v>
      </c>
      <c r="N217" s="531" t="s">
        <v>2083</v>
      </c>
      <c r="O217" s="1319"/>
      <c r="P217" s="2670"/>
      <c r="Q217" s="432" t="s">
        <v>2875</v>
      </c>
      <c r="R217" s="416"/>
    </row>
    <row r="218" spans="1:18" s="65" customFormat="1" ht="10.5" customHeight="1">
      <c r="A218" s="167"/>
      <c r="B218" s="184"/>
      <c r="C218" s="596"/>
      <c r="E218" s="610"/>
      <c r="G218" s="1250" t="s">
        <v>3890</v>
      </c>
      <c r="I218" s="870" t="str">
        <f>'Part I-Project Information'!$H$67</f>
        <v>Family</v>
      </c>
      <c r="J218" s="868"/>
      <c r="K218" s="869"/>
      <c r="L218" s="1283"/>
      <c r="M218" s="2"/>
      <c r="N218" s="440"/>
      <c r="O218" s="440"/>
      <c r="P218" s="440"/>
      <c r="Q218" s="115"/>
      <c r="R218" s="28"/>
    </row>
    <row r="219" spans="1:18" s="43" customFormat="1" ht="12" customHeight="1">
      <c r="A219" s="42"/>
      <c r="B219" s="49" t="s">
        <v>267</v>
      </c>
      <c r="C219" s="42"/>
      <c r="D219" s="48"/>
      <c r="E219" s="48"/>
      <c r="F219" s="48"/>
      <c r="G219" s="48"/>
      <c r="H219" s="36"/>
      <c r="I219" s="36"/>
      <c r="J219" s="90" t="s">
        <v>1959</v>
      </c>
      <c r="M219" s="46"/>
      <c r="N219" s="64"/>
      <c r="O219" s="3"/>
      <c r="P219" s="1243"/>
    </row>
    <row r="220" spans="1:18" s="43" customFormat="1" ht="12" customHeight="1">
      <c r="A220" s="1598" t="s">
        <v>4477</v>
      </c>
      <c r="B220" s="1599"/>
      <c r="C220" s="1599"/>
      <c r="D220" s="1599"/>
      <c r="E220" s="1599"/>
      <c r="F220" s="1599"/>
      <c r="G220" s="1599"/>
      <c r="H220" s="1599"/>
      <c r="I220" s="1600"/>
      <c r="J220" s="1644"/>
      <c r="K220" s="1645"/>
      <c r="L220" s="1645"/>
      <c r="M220" s="1645"/>
      <c r="N220" s="1645"/>
      <c r="O220" s="1645"/>
      <c r="P220" s="1646"/>
      <c r="Q220" s="501" t="s">
        <v>1313</v>
      </c>
    </row>
    <row r="221" spans="1:18" s="43" customFormat="1" ht="5.25" customHeight="1">
      <c r="A221" s="42"/>
      <c r="C221" s="1244"/>
      <c r="D221" s="1244"/>
      <c r="E221" s="1244"/>
      <c r="F221" s="1244"/>
      <c r="G221" s="1244"/>
      <c r="H221" s="1244"/>
      <c r="I221" s="1244"/>
      <c r="J221" s="1244"/>
      <c r="K221" s="1244"/>
      <c r="L221" s="1244"/>
      <c r="M221" s="1244"/>
      <c r="N221" s="78"/>
      <c r="O221" s="74"/>
      <c r="P221" s="1273"/>
    </row>
    <row r="222" spans="1:18" s="43" customFormat="1" ht="13.5" customHeight="1">
      <c r="A222" s="167" t="s">
        <v>1472</v>
      </c>
      <c r="B222" s="120" t="s">
        <v>1752</v>
      </c>
      <c r="D222" s="93"/>
      <c r="E222" s="93"/>
      <c r="G222" s="53"/>
      <c r="H222" s="53"/>
      <c r="I222" s="53"/>
      <c r="J222" s="55"/>
      <c r="K222" s="1251"/>
      <c r="L222" s="416" t="str">
        <f>IF(OR($O222=$M222,$O222=0,$O222=""),"","* * Check Score! * *")</f>
        <v/>
      </c>
      <c r="M222" s="1273">
        <v>1</v>
      </c>
      <c r="N222" s="440" t="str">
        <f>IF(OR($O222=$M222,$O222=0,$O222=""),"","***")</f>
        <v/>
      </c>
      <c r="O222" s="1314"/>
      <c r="P222" s="2666"/>
      <c r="Q222" s="115" t="s">
        <v>458</v>
      </c>
      <c r="R222" s="432" t="s">
        <v>2875</v>
      </c>
    </row>
    <row r="223" spans="1:18" s="43" customFormat="1" ht="12" customHeight="1">
      <c r="B223" s="121" t="s">
        <v>3150</v>
      </c>
      <c r="D223" s="108"/>
      <c r="E223" s="93"/>
      <c r="F223" s="53"/>
      <c r="G223" s="53"/>
      <c r="H223" s="53"/>
      <c r="I223" s="52"/>
      <c r="O223" s="127" t="s">
        <v>2635</v>
      </c>
      <c r="P223" s="127" t="s">
        <v>2635</v>
      </c>
    </row>
    <row r="224" spans="1:18" s="106" customFormat="1" ht="12" customHeight="1">
      <c r="A224" s="151" t="s">
        <v>2080</v>
      </c>
      <c r="B224" s="146" t="s">
        <v>3268</v>
      </c>
      <c r="D224" s="126"/>
      <c r="E224" s="126"/>
      <c r="F224" s="126"/>
      <c r="I224" s="1758" t="s">
        <v>2647</v>
      </c>
      <c r="J224" s="1759"/>
      <c r="K224" s="1760"/>
      <c r="N224" s="531" t="s">
        <v>2080</v>
      </c>
      <c r="O224" s="1291"/>
      <c r="P224" s="631"/>
    </row>
    <row r="225" spans="1:17" s="106" customFormat="1" ht="12" customHeight="1">
      <c r="A225" s="151" t="s">
        <v>2083</v>
      </c>
      <c r="B225" s="146" t="s">
        <v>3269</v>
      </c>
      <c r="D225" s="126"/>
      <c r="E225" s="126"/>
      <c r="F225" s="126"/>
      <c r="G225" s="126"/>
      <c r="M225" s="126"/>
      <c r="N225" s="531" t="s">
        <v>2083</v>
      </c>
      <c r="O225" s="1293"/>
      <c r="P225" s="632"/>
    </row>
    <row r="226" spans="1:17" s="106" customFormat="1" ht="12" customHeight="1">
      <c r="A226" s="151" t="s">
        <v>788</v>
      </c>
      <c r="B226" s="146" t="s">
        <v>4196</v>
      </c>
      <c r="D226" s="126"/>
      <c r="E226" s="126"/>
      <c r="F226" s="126"/>
      <c r="G226" s="126"/>
      <c r="H226" s="126"/>
      <c r="L226" s="126"/>
      <c r="M226" s="126"/>
      <c r="N226" s="531" t="s">
        <v>788</v>
      </c>
      <c r="O226" s="1293"/>
      <c r="P226" s="632"/>
    </row>
    <row r="227" spans="1:17" s="106" customFormat="1" ht="12" customHeight="1">
      <c r="A227" s="151" t="s">
        <v>2215</v>
      </c>
      <c r="B227" s="146" t="s">
        <v>4070</v>
      </c>
      <c r="D227" s="126"/>
      <c r="E227" s="126"/>
      <c r="F227" s="126"/>
      <c r="G227" s="126"/>
      <c r="H227" s="126"/>
      <c r="I227" s="126"/>
      <c r="J227" s="126"/>
      <c r="K227" s="126"/>
      <c r="L227" s="126"/>
      <c r="M227" s="126"/>
      <c r="N227" s="531" t="s">
        <v>2215</v>
      </c>
      <c r="O227" s="1292"/>
      <c r="P227" s="633"/>
    </row>
    <row r="228" spans="1:17" s="106" customFormat="1" ht="12" customHeight="1">
      <c r="A228" s="201" t="s">
        <v>3270</v>
      </c>
      <c r="B228" s="146"/>
      <c r="D228" s="126"/>
      <c r="E228" s="126"/>
      <c r="F228" s="126"/>
      <c r="G228" s="126"/>
      <c r="H228" s="126"/>
      <c r="I228" s="126"/>
      <c r="J228" s="126"/>
      <c r="K228" s="126"/>
      <c r="L228" s="126"/>
      <c r="M228" s="126"/>
      <c r="N228" s="531"/>
      <c r="O228" s="531"/>
      <c r="P228" s="531"/>
    </row>
    <row r="229" spans="1:17" s="43" customFormat="1" ht="12" customHeight="1">
      <c r="A229" s="42"/>
      <c r="B229" s="49" t="s">
        <v>267</v>
      </c>
      <c r="C229" s="42"/>
      <c r="D229" s="48"/>
      <c r="E229" s="48"/>
      <c r="F229" s="48"/>
      <c r="G229" s="48"/>
      <c r="H229" s="36"/>
      <c r="I229" s="36"/>
      <c r="J229" s="90" t="s">
        <v>1959</v>
      </c>
      <c r="M229" s="46"/>
      <c r="N229" s="64"/>
      <c r="O229" s="3"/>
      <c r="P229" s="1243"/>
    </row>
    <row r="230" spans="1:17" s="43" customFormat="1" ht="12" customHeight="1">
      <c r="A230" s="1598" t="s">
        <v>4478</v>
      </c>
      <c r="B230" s="1599"/>
      <c r="C230" s="1599"/>
      <c r="D230" s="1599"/>
      <c r="E230" s="1599"/>
      <c r="F230" s="1599"/>
      <c r="G230" s="1599"/>
      <c r="H230" s="1599"/>
      <c r="I230" s="1600"/>
      <c r="J230" s="1644"/>
      <c r="K230" s="1645"/>
      <c r="L230" s="1645"/>
      <c r="M230" s="1645"/>
      <c r="N230" s="1645"/>
      <c r="O230" s="1645"/>
      <c r="P230" s="1646"/>
      <c r="Q230" s="501" t="s">
        <v>1313</v>
      </c>
    </row>
    <row r="231" spans="1:17" ht="4.5" customHeight="1"/>
    <row r="232" spans="1:17" s="43" customFormat="1" ht="15">
      <c r="A232" s="167" t="s">
        <v>1751</v>
      </c>
      <c r="B232" s="120" t="s">
        <v>3152</v>
      </c>
      <c r="D232" s="93"/>
      <c r="E232" s="93"/>
      <c r="F232" s="53"/>
      <c r="G232" s="53"/>
      <c r="H232" s="53"/>
      <c r="I232" s="184" t="s">
        <v>3100</v>
      </c>
      <c r="J232" s="596"/>
      <c r="K232" s="65"/>
      <c r="L232" s="597" t="str">
        <f>'Part I-Project Information'!$H$90</f>
        <v>Rural</v>
      </c>
      <c r="M232" s="3">
        <v>8</v>
      </c>
      <c r="N232" s="6"/>
      <c r="O232" s="67">
        <f>O239+O254+O256</f>
        <v>0</v>
      </c>
      <c r="P232" s="67">
        <f>P239+P254+P256</f>
        <v>0</v>
      </c>
      <c r="Q232" s="115" t="s">
        <v>458</v>
      </c>
    </row>
    <row r="233" spans="1:17" s="43" customFormat="1" ht="12" customHeight="1">
      <c r="A233" s="42"/>
      <c r="B233" s="121" t="s">
        <v>3275</v>
      </c>
      <c r="E233" s="93"/>
      <c r="F233" s="53"/>
      <c r="G233" s="53"/>
      <c r="H233" s="53"/>
      <c r="I233" s="53"/>
      <c r="J233" s="55"/>
      <c r="K233" s="62"/>
      <c r="L233" s="58"/>
      <c r="O233" s="127" t="s">
        <v>2635</v>
      </c>
      <c r="P233" s="127" t="s">
        <v>2635</v>
      </c>
    </row>
    <row r="234" spans="1:17" s="106" customFormat="1" ht="12" customHeight="1">
      <c r="B234" s="489" t="s">
        <v>2084</v>
      </c>
      <c r="C234" s="484" t="s">
        <v>3151</v>
      </c>
      <c r="E234" s="93"/>
      <c r="F234" s="53"/>
      <c r="G234" s="53"/>
      <c r="H234" s="53"/>
      <c r="I234" s="53"/>
      <c r="J234" s="55"/>
      <c r="K234" s="62"/>
      <c r="L234" s="58" t="str">
        <f>IF(M234&gt;14,"Over limit!","")</f>
        <v/>
      </c>
      <c r="N234" s="196" t="s">
        <v>2084</v>
      </c>
      <c r="O234" s="1291"/>
      <c r="P234" s="631"/>
    </row>
    <row r="235" spans="1:17" s="106" customFormat="1" ht="12" customHeight="1">
      <c r="B235" s="489" t="s">
        <v>2086</v>
      </c>
      <c r="C235" s="106" t="s">
        <v>592</v>
      </c>
      <c r="N235" s="196" t="s">
        <v>2086</v>
      </c>
      <c r="O235" s="1293"/>
      <c r="P235" s="632"/>
    </row>
    <row r="236" spans="1:17" s="106" customFormat="1" ht="12" customHeight="1">
      <c r="B236" s="489" t="s">
        <v>2660</v>
      </c>
      <c r="C236" s="106" t="s">
        <v>593</v>
      </c>
      <c r="N236" s="196" t="s">
        <v>2660</v>
      </c>
      <c r="O236" s="1293"/>
      <c r="P236" s="632"/>
    </row>
    <row r="237" spans="1:17" s="106" customFormat="1" ht="12" customHeight="1">
      <c r="B237" s="489" t="s">
        <v>1282</v>
      </c>
      <c r="C237" s="106" t="s">
        <v>594</v>
      </c>
      <c r="N237" s="196" t="s">
        <v>1282</v>
      </c>
      <c r="O237" s="1293"/>
      <c r="P237" s="632"/>
    </row>
    <row r="238" spans="1:17" s="106" customFormat="1" ht="12" customHeight="1">
      <c r="B238" s="489" t="s">
        <v>1283</v>
      </c>
      <c r="C238" s="106" t="s">
        <v>602</v>
      </c>
      <c r="N238" s="196" t="s">
        <v>1283</v>
      </c>
      <c r="O238" s="1292"/>
      <c r="P238" s="633"/>
    </row>
    <row r="239" spans="1:17" s="43" customFormat="1" ht="12" customHeight="1">
      <c r="A239" s="151" t="s">
        <v>2080</v>
      </c>
      <c r="B239" s="201" t="s">
        <v>1936</v>
      </c>
      <c r="D239" s="40"/>
      <c r="E239" s="40"/>
      <c r="F239" s="32"/>
      <c r="G239" s="108"/>
      <c r="H239" s="108"/>
      <c r="I239" s="108"/>
      <c r="J239" s="40"/>
      <c r="K239" s="108"/>
      <c r="L239" s="32"/>
      <c r="M239" s="483">
        <v>4</v>
      </c>
      <c r="N239" s="531" t="s">
        <v>2080</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2084</v>
      </c>
      <c r="C240" s="494" t="s">
        <v>2759</v>
      </c>
      <c r="I240" s="1773" t="s">
        <v>2088</v>
      </c>
      <c r="J240" s="1773"/>
      <c r="L240" s="1773" t="s">
        <v>2088</v>
      </c>
      <c r="M240" s="1773"/>
      <c r="N240" s="196"/>
    </row>
    <row r="241" spans="1:18" s="43" customFormat="1" ht="12" customHeight="1">
      <c r="A241" s="197"/>
      <c r="B241" s="413" t="s">
        <v>2555</v>
      </c>
      <c r="C241" s="36" t="s">
        <v>1556</v>
      </c>
      <c r="H241" s="413" t="s">
        <v>2555</v>
      </c>
      <c r="I241" s="1797"/>
      <c r="J241" s="1798"/>
      <c r="K241" s="413" t="s">
        <v>2555</v>
      </c>
      <c r="L241" s="2677"/>
      <c r="M241" s="2678"/>
      <c r="N241" s="196"/>
      <c r="O241" s="1234"/>
      <c r="P241" s="1234"/>
      <c r="R241" s="416"/>
    </row>
    <row r="242" spans="1:18" ht="12" customHeight="1">
      <c r="A242" s="198"/>
      <c r="B242" s="431" t="s">
        <v>2556</v>
      </c>
      <c r="C242" s="36" t="s">
        <v>1557</v>
      </c>
      <c r="H242" s="431" t="s">
        <v>2556</v>
      </c>
      <c r="I242" s="1767"/>
      <c r="J242" s="1768"/>
      <c r="K242" s="431" t="s">
        <v>2556</v>
      </c>
      <c r="L242" s="2679"/>
      <c r="M242" s="2680"/>
      <c r="N242" s="196"/>
      <c r="R242" s="416"/>
    </row>
    <row r="243" spans="1:18" ht="12" customHeight="1">
      <c r="B243" s="413" t="s">
        <v>2557</v>
      </c>
      <c r="C243" s="36" t="s">
        <v>2758</v>
      </c>
      <c r="H243" s="413" t="s">
        <v>2557</v>
      </c>
      <c r="I243" s="1767"/>
      <c r="J243" s="1768"/>
      <c r="K243" s="413" t="s">
        <v>2557</v>
      </c>
      <c r="L243" s="2679"/>
      <c r="M243" s="2680"/>
      <c r="N243" s="196"/>
      <c r="R243" s="416"/>
    </row>
    <row r="244" spans="1:18" ht="12" customHeight="1">
      <c r="A244" s="198"/>
      <c r="B244" s="413" t="s">
        <v>2558</v>
      </c>
      <c r="C244" s="36" t="s">
        <v>4071</v>
      </c>
      <c r="H244" s="413" t="s">
        <v>2558</v>
      </c>
      <c r="I244" s="1767"/>
      <c r="J244" s="1768"/>
      <c r="K244" s="413" t="s">
        <v>2558</v>
      </c>
      <c r="L244" s="2679"/>
      <c r="M244" s="2680"/>
      <c r="N244" s="196"/>
      <c r="R244" s="416"/>
    </row>
    <row r="245" spans="1:18" s="43" customFormat="1" ht="12" customHeight="1">
      <c r="A245" s="197"/>
      <c r="B245" s="431" t="s">
        <v>2559</v>
      </c>
      <c r="C245" s="36" t="s">
        <v>2912</v>
      </c>
      <c r="H245" s="431" t="s">
        <v>2559</v>
      </c>
      <c r="I245" s="1767"/>
      <c r="J245" s="1768"/>
      <c r="K245" s="431" t="s">
        <v>2559</v>
      </c>
      <c r="L245" s="2679"/>
      <c r="M245" s="2680"/>
      <c r="N245" s="196"/>
      <c r="O245" s="1234"/>
      <c r="P245" s="1234"/>
      <c r="R245" s="416"/>
    </row>
    <row r="246" spans="1:18" ht="12" customHeight="1">
      <c r="B246" s="413" t="s">
        <v>2575</v>
      </c>
      <c r="C246" s="36" t="s">
        <v>3271</v>
      </c>
      <c r="H246" s="413" t="s">
        <v>2575</v>
      </c>
      <c r="I246" s="1767"/>
      <c r="J246" s="1768"/>
      <c r="K246" s="413" t="s">
        <v>2575</v>
      </c>
      <c r="L246" s="2679"/>
      <c r="M246" s="2680"/>
      <c r="N246" s="196"/>
      <c r="R246" s="416"/>
    </row>
    <row r="247" spans="1:18" ht="12" customHeight="1">
      <c r="A247" s="198"/>
      <c r="B247" s="413" t="s">
        <v>2576</v>
      </c>
      <c r="C247" s="36" t="s">
        <v>3918</v>
      </c>
      <c r="H247" s="413" t="s">
        <v>2576</v>
      </c>
      <c r="I247" s="1767"/>
      <c r="J247" s="1768"/>
      <c r="K247" s="413" t="s">
        <v>2576</v>
      </c>
      <c r="L247" s="2679"/>
      <c r="M247" s="2680"/>
      <c r="N247" s="196"/>
      <c r="R247" s="416"/>
    </row>
    <row r="248" spans="1:18" ht="12" customHeight="1">
      <c r="B248" s="430" t="s">
        <v>2577</v>
      </c>
      <c r="C248" s="36" t="s">
        <v>3919</v>
      </c>
      <c r="H248" s="430" t="s">
        <v>2577</v>
      </c>
      <c r="I248" s="1767"/>
      <c r="J248" s="1768"/>
      <c r="K248" s="430" t="s">
        <v>2577</v>
      </c>
      <c r="L248" s="2679"/>
      <c r="M248" s="2680"/>
      <c r="N248" s="196"/>
      <c r="R248" s="416"/>
    </row>
    <row r="249" spans="1:18" ht="12" customHeight="1" thickBot="1">
      <c r="A249" s="198"/>
      <c r="B249" s="430" t="s">
        <v>2578</v>
      </c>
      <c r="C249" s="36" t="s">
        <v>3920</v>
      </c>
      <c r="H249" s="430" t="s">
        <v>2578</v>
      </c>
      <c r="I249" s="1767"/>
      <c r="J249" s="1768"/>
      <c r="K249" s="430" t="s">
        <v>2578</v>
      </c>
      <c r="L249" s="2679"/>
      <c r="M249" s="2680"/>
      <c r="N249" s="196"/>
      <c r="R249" s="416"/>
    </row>
    <row r="250" spans="1:18" ht="12" customHeight="1" thickBot="1">
      <c r="A250" s="198"/>
      <c r="B250" s="489"/>
      <c r="C250" s="486" t="s">
        <v>2761</v>
      </c>
      <c r="H250" s="56"/>
      <c r="I250" s="1769">
        <f>SUM(I241:J249)</f>
        <v>0</v>
      </c>
      <c r="J250" s="1770"/>
      <c r="L250" s="2681">
        <f>SUM($L241:$L249)</f>
        <v>0</v>
      </c>
      <c r="M250" s="2682"/>
      <c r="N250" s="196"/>
      <c r="R250" s="416"/>
    </row>
    <row r="251" spans="1:18" s="43" customFormat="1" ht="12" customHeight="1">
      <c r="A251" s="42"/>
      <c r="B251" s="117"/>
      <c r="D251" s="39"/>
      <c r="E251" s="36"/>
      <c r="F251" s="1273"/>
      <c r="G251" s="1273"/>
      <c r="H251" s="1273"/>
      <c r="I251" s="1273"/>
      <c r="J251" s="1275"/>
      <c r="K251" s="1275"/>
      <c r="L251" s="1275"/>
      <c r="M251" s="1251"/>
      <c r="N251" s="1273"/>
      <c r="O251" s="1243"/>
      <c r="P251" s="3"/>
    </row>
    <row r="252" spans="1:18" ht="12" customHeight="1">
      <c r="B252" s="412" t="s">
        <v>2086</v>
      </c>
      <c r="C252" s="494" t="s">
        <v>2760</v>
      </c>
      <c r="D252" s="486" t="s">
        <v>2762</v>
      </c>
      <c r="I252" s="1807">
        <f>'Part IV-Uses of Funds'!$G$130</f>
        <v>6245106</v>
      </c>
      <c r="J252" s="1808"/>
      <c r="M252" s="174"/>
      <c r="N252" s="28"/>
      <c r="O252" s="28"/>
      <c r="P252" s="28"/>
    </row>
    <row r="253" spans="1:18" ht="12" customHeight="1">
      <c r="B253" s="196"/>
      <c r="C253" s="485"/>
      <c r="D253" s="492" t="s">
        <v>2763</v>
      </c>
      <c r="G253" s="1284"/>
      <c r="H253" s="1284"/>
      <c r="I253" s="1765">
        <f>IF($I252=0,0,$I250/$I252)</f>
        <v>0</v>
      </c>
      <c r="J253" s="1766"/>
      <c r="L253" s="1774">
        <f>IF($I252=0,0,$L250/$I252)</f>
        <v>0</v>
      </c>
      <c r="M253" s="1775"/>
      <c r="N253" s="28"/>
      <c r="O253" s="28"/>
      <c r="P253" s="28"/>
    </row>
    <row r="254" spans="1:18" s="43" customFormat="1" ht="12.75" customHeight="1">
      <c r="A254" s="151" t="s">
        <v>2083</v>
      </c>
      <c r="B254" s="201" t="s">
        <v>3921</v>
      </c>
      <c r="D254" s="39"/>
      <c r="E254" s="36"/>
      <c r="F254" s="1273"/>
      <c r="H254" s="36"/>
      <c r="I254" s="1273"/>
      <c r="J254" s="1275"/>
      <c r="K254" s="1275"/>
      <c r="L254" s="1275"/>
      <c r="M254" s="76">
        <v>2</v>
      </c>
      <c r="N254" s="531" t="s">
        <v>2083</v>
      </c>
      <c r="O254" s="1334"/>
      <c r="P254" s="2664"/>
      <c r="Q254" s="432" t="s">
        <v>2875</v>
      </c>
    </row>
    <row r="255" spans="1:18" s="43" customFormat="1" ht="11.25" customHeight="1">
      <c r="A255" s="151"/>
      <c r="B255" s="53" t="s">
        <v>3153</v>
      </c>
      <c r="C255" s="53"/>
      <c r="D255" s="53"/>
      <c r="E255" s="53"/>
      <c r="F255" s="53"/>
      <c r="G255" s="53"/>
      <c r="H255" s="53"/>
      <c r="I255" s="53"/>
      <c r="J255" s="53"/>
      <c r="K255" s="53"/>
      <c r="L255" s="53"/>
      <c r="M255" s="53"/>
      <c r="N255" s="53"/>
      <c r="O255" s="1292"/>
      <c r="P255" s="633"/>
    </row>
    <row r="256" spans="1:18" s="43" customFormat="1" ht="12.75" customHeight="1">
      <c r="A256" s="151" t="s">
        <v>788</v>
      </c>
      <c r="B256" s="201" t="s">
        <v>675</v>
      </c>
      <c r="D256" s="39"/>
      <c r="E256" s="36"/>
      <c r="F256" s="1273"/>
      <c r="G256" s="1273"/>
      <c r="H256" s="1273"/>
      <c r="I256" s="1273"/>
      <c r="J256" s="1275"/>
      <c r="K256" s="1275"/>
      <c r="L256" s="1275"/>
      <c r="M256" s="483">
        <v>2</v>
      </c>
      <c r="N256" s="531" t="s">
        <v>788</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4048</v>
      </c>
      <c r="E257" s="487"/>
      <c r="I257" s="1804"/>
      <c r="J257" s="1805"/>
      <c r="L257" s="2677"/>
      <c r="M257" s="2678"/>
      <c r="N257" s="28"/>
      <c r="O257" s="28"/>
    </row>
    <row r="258" spans="1:18" s="43" customFormat="1" ht="12" customHeight="1">
      <c r="A258" s="42"/>
      <c r="C258" s="36" t="s">
        <v>4049</v>
      </c>
      <c r="D258" s="1244"/>
      <c r="E258" s="1244"/>
      <c r="F258" s="1244"/>
      <c r="G258" s="1244"/>
      <c r="H258" s="1244"/>
      <c r="I258" s="1765">
        <f>IF($I257=0,0,$I257/$I252)</f>
        <v>0</v>
      </c>
      <c r="J258" s="1766"/>
      <c r="K258" s="1244"/>
      <c r="L258" s="1765">
        <f>IF($L257=0,0,$L257/$I252)</f>
        <v>0</v>
      </c>
      <c r="M258" s="1766"/>
      <c r="N258" s="78"/>
      <c r="O258" s="74"/>
      <c r="P258" s="1273"/>
    </row>
    <row r="259" spans="1:18" s="43" customFormat="1" ht="12" customHeight="1">
      <c r="A259" s="197"/>
      <c r="B259" s="36" t="s">
        <v>3174</v>
      </c>
      <c r="I259" s="1720"/>
      <c r="J259" s="1721"/>
      <c r="K259" s="1721"/>
      <c r="L259" s="1721"/>
      <c r="M259" s="1721"/>
      <c r="N259" s="1722"/>
    </row>
    <row r="260" spans="1:18" s="43" customFormat="1" ht="12" customHeight="1">
      <c r="A260" s="197"/>
      <c r="B260" s="36"/>
      <c r="C260" s="542" t="s">
        <v>1360</v>
      </c>
      <c r="I260" s="1778" t="s">
        <v>3154</v>
      </c>
      <c r="J260" s="1779"/>
      <c r="K260" s="1780"/>
    </row>
    <row r="261" spans="1:18" ht="22.5" customHeight="1">
      <c r="A261" s="198"/>
      <c r="B261" s="434" t="s">
        <v>2466</v>
      </c>
      <c r="D261" s="435"/>
      <c r="E261" s="1799"/>
      <c r="F261" s="1800"/>
      <c r="G261" s="1800"/>
      <c r="H261" s="1800"/>
      <c r="I261" s="1800"/>
      <c r="J261" s="1800"/>
      <c r="K261" s="1800"/>
      <c r="L261" s="1800"/>
      <c r="M261" s="1800"/>
      <c r="N261" s="1800"/>
      <c r="O261" s="1800"/>
      <c r="P261" s="1801"/>
    </row>
    <row r="262" spans="1:18" s="43" customFormat="1" ht="12" customHeight="1">
      <c r="A262" s="42"/>
      <c r="B262" s="49" t="s">
        <v>267</v>
      </c>
      <c r="C262" s="42"/>
      <c r="D262" s="48"/>
      <c r="E262" s="48"/>
      <c r="F262" s="48"/>
      <c r="G262" s="48"/>
      <c r="H262" s="36"/>
      <c r="I262" s="36"/>
      <c r="J262" s="36"/>
      <c r="K262" s="36"/>
      <c r="M262" s="46"/>
      <c r="N262" s="64"/>
      <c r="O262" s="3"/>
      <c r="P262" s="1243"/>
    </row>
    <row r="263" spans="1:18" s="43" customFormat="1" ht="12" customHeight="1">
      <c r="A263" s="1598" t="s">
        <v>4479</v>
      </c>
      <c r="B263" s="1599"/>
      <c r="C263" s="1599"/>
      <c r="D263" s="1599"/>
      <c r="E263" s="1599"/>
      <c r="F263" s="1599"/>
      <c r="G263" s="1599"/>
      <c r="H263" s="1599"/>
      <c r="I263" s="1599"/>
      <c r="J263" s="1599"/>
      <c r="K263" s="1599"/>
      <c r="L263" s="1599"/>
      <c r="M263" s="1599"/>
      <c r="N263" s="1599"/>
      <c r="O263" s="1599"/>
      <c r="P263" s="1600"/>
      <c r="Q263" s="501" t="s">
        <v>1313</v>
      </c>
    </row>
    <row r="264" spans="1:18" s="108" customFormat="1" ht="12" customHeight="1">
      <c r="A264" s="42"/>
      <c r="B264" s="103" t="s">
        <v>1959</v>
      </c>
      <c r="C264" s="104"/>
      <c r="D264" s="103"/>
      <c r="E264" s="202"/>
      <c r="F264" s="1239"/>
      <c r="G264" s="1239"/>
      <c r="H264" s="1239"/>
      <c r="I264" s="1239"/>
      <c r="J264" s="1239"/>
      <c r="K264" s="1239"/>
      <c r="L264" s="1239"/>
      <c r="M264" s="1239"/>
      <c r="N264" s="99"/>
      <c r="O264" s="1276"/>
      <c r="P264" s="2"/>
      <c r="Q264" s="477"/>
    </row>
    <row r="265" spans="1:18" s="43" customFormat="1" ht="12" customHeight="1">
      <c r="A265" s="1644"/>
      <c r="B265" s="1645"/>
      <c r="C265" s="1645"/>
      <c r="D265" s="1645"/>
      <c r="E265" s="1645"/>
      <c r="F265" s="1645"/>
      <c r="G265" s="1645"/>
      <c r="H265" s="1645"/>
      <c r="I265" s="1645"/>
      <c r="J265" s="1645"/>
      <c r="K265" s="1645"/>
      <c r="L265" s="1645"/>
      <c r="M265" s="1645"/>
      <c r="N265" s="1645"/>
      <c r="O265" s="1645"/>
      <c r="P265" s="1646"/>
      <c r="Q265" s="501" t="s">
        <v>1313</v>
      </c>
    </row>
    <row r="266" spans="1:18" ht="3" customHeight="1"/>
    <row r="267" spans="1:18" s="43" customFormat="1" ht="15">
      <c r="A267" s="167" t="s">
        <v>1753</v>
      </c>
      <c r="B267" s="111" t="s">
        <v>3922</v>
      </c>
      <c r="C267" s="69"/>
      <c r="E267" s="41"/>
      <c r="G267" s="184" t="s">
        <v>3100</v>
      </c>
      <c r="I267" s="636" t="str">
        <f>'Part I-Project Information'!$H$90</f>
        <v>Rural</v>
      </c>
      <c r="J267" s="48"/>
      <c r="K267" s="48"/>
      <c r="L267" s="416" t="str">
        <f>IF(OR($O267=$M267,$O267=0,$O267=""),"","* * Check Score! * *")</f>
        <v/>
      </c>
      <c r="M267" s="2">
        <v>3</v>
      </c>
      <c r="N267" s="108"/>
      <c r="O267" s="46"/>
      <c r="P267" s="2675"/>
      <c r="Q267" s="115" t="s">
        <v>458</v>
      </c>
      <c r="R267" s="416"/>
    </row>
    <row r="268" spans="1:18" s="43" customFormat="1" ht="12" customHeight="1">
      <c r="A268" s="151" t="s">
        <v>2080</v>
      </c>
      <c r="B268" s="184" t="s">
        <v>2914</v>
      </c>
      <c r="D268" s="32"/>
      <c r="G268" s="56" t="s">
        <v>2461</v>
      </c>
      <c r="M268" s="76">
        <v>3</v>
      </c>
      <c r="N268" s="531" t="s">
        <v>2080</v>
      </c>
      <c r="O268" s="1299" t="s">
        <v>3424</v>
      </c>
      <c r="P268" s="2616"/>
      <c r="R268" s="416"/>
    </row>
    <row r="269" spans="1:18" s="43" customFormat="1" ht="12" customHeight="1">
      <c r="A269" s="151" t="s">
        <v>2083</v>
      </c>
      <c r="B269" s="184" t="s">
        <v>3923</v>
      </c>
      <c r="D269" s="32"/>
      <c r="F269" s="32"/>
      <c r="G269" s="777" t="s">
        <v>3927</v>
      </c>
      <c r="N269" s="531" t="s">
        <v>2083</v>
      </c>
      <c r="O269" s="127" t="s">
        <v>2635</v>
      </c>
      <c r="P269" s="127" t="s">
        <v>2635</v>
      </c>
      <c r="R269" s="416"/>
    </row>
    <row r="270" spans="1:18" s="108" customFormat="1" ht="10.5" customHeight="1">
      <c r="A270" s="151"/>
      <c r="B270" s="412" t="s">
        <v>2084</v>
      </c>
      <c r="C270" s="36" t="s">
        <v>3924</v>
      </c>
      <c r="D270" s="32"/>
      <c r="F270" s="32"/>
      <c r="H270" s="36"/>
      <c r="N270" s="489" t="s">
        <v>2084</v>
      </c>
      <c r="O270" s="1291"/>
      <c r="P270" s="631"/>
      <c r="R270" s="416"/>
    </row>
    <row r="271" spans="1:18" s="108" customFormat="1" ht="10.5" customHeight="1">
      <c r="A271" s="151"/>
      <c r="B271" s="412" t="s">
        <v>2086</v>
      </c>
      <c r="C271" s="36" t="s">
        <v>3925</v>
      </c>
      <c r="D271" s="32"/>
      <c r="F271" s="32"/>
      <c r="H271" s="36"/>
      <c r="N271" s="489" t="s">
        <v>2086</v>
      </c>
      <c r="O271" s="1293"/>
      <c r="P271" s="632"/>
      <c r="R271" s="416"/>
    </row>
    <row r="272" spans="1:18" s="108" customFormat="1" ht="10.5" customHeight="1">
      <c r="A272" s="151"/>
      <c r="B272" s="412" t="s">
        <v>2660</v>
      </c>
      <c r="C272" s="36" t="s">
        <v>3926</v>
      </c>
      <c r="D272" s="32"/>
      <c r="F272" s="32"/>
      <c r="H272" s="36"/>
      <c r="N272" s="489" t="s">
        <v>2660</v>
      </c>
      <c r="O272" s="1293"/>
      <c r="P272" s="632"/>
      <c r="R272" s="416"/>
    </row>
    <row r="273" spans="1:18" s="108" customFormat="1" ht="10.5" customHeight="1">
      <c r="A273" s="151"/>
      <c r="B273" s="412" t="s">
        <v>1282</v>
      </c>
      <c r="C273" s="36" t="s">
        <v>2913</v>
      </c>
      <c r="D273" s="32"/>
      <c r="F273" s="32"/>
      <c r="H273" s="36"/>
      <c r="N273" s="489" t="s">
        <v>1282</v>
      </c>
      <c r="O273" s="1292"/>
      <c r="P273" s="633"/>
      <c r="R273" s="416"/>
    </row>
    <row r="274" spans="1:18" s="43" customFormat="1" ht="23.25" customHeight="1">
      <c r="A274" s="476" t="s">
        <v>788</v>
      </c>
      <c r="B274" s="896" t="s">
        <v>3928</v>
      </c>
      <c r="C274" s="477"/>
      <c r="D274" s="479"/>
      <c r="E274" s="479"/>
      <c r="F274" s="32"/>
      <c r="G274" s="32"/>
      <c r="H274" s="32"/>
      <c r="I274" s="32"/>
      <c r="O274" s="1864" t="s">
        <v>4217</v>
      </c>
      <c r="P274" s="1864"/>
      <c r="R274" s="416"/>
    </row>
    <row r="275" spans="1:18" s="108" customFormat="1" ht="10.5" customHeight="1">
      <c r="A275" s="151"/>
      <c r="B275" s="412" t="s">
        <v>2084</v>
      </c>
      <c r="C275" s="36" t="s">
        <v>3929</v>
      </c>
      <c r="D275" s="32"/>
      <c r="F275" s="32"/>
      <c r="H275" s="36"/>
      <c r="N275" s="531" t="s">
        <v>788</v>
      </c>
      <c r="O275" s="196" t="s">
        <v>2084</v>
      </c>
      <c r="P275" s="631"/>
      <c r="R275" s="416"/>
    </row>
    <row r="276" spans="1:18" s="108" customFormat="1" ht="10.5" customHeight="1">
      <c r="A276" s="151"/>
      <c r="B276" s="412" t="s">
        <v>2086</v>
      </c>
      <c r="C276" s="36" t="s">
        <v>3930</v>
      </c>
      <c r="D276" s="32"/>
      <c r="F276" s="32"/>
      <c r="H276" s="36"/>
      <c r="O276" s="196" t="s">
        <v>2086</v>
      </c>
      <c r="P276" s="632"/>
      <c r="R276" s="416"/>
    </row>
    <row r="277" spans="1:18" s="108" customFormat="1" ht="10.5" customHeight="1">
      <c r="A277" s="151"/>
      <c r="B277" s="412" t="s">
        <v>2660</v>
      </c>
      <c r="C277" s="36" t="s">
        <v>3931</v>
      </c>
      <c r="D277" s="32"/>
      <c r="F277" s="32"/>
      <c r="H277" s="36"/>
      <c r="O277" s="196" t="s">
        <v>2660</v>
      </c>
      <c r="P277" s="632"/>
      <c r="R277" s="416"/>
    </row>
    <row r="278" spans="1:18" s="108" customFormat="1" ht="10.5" customHeight="1">
      <c r="A278" s="151"/>
      <c r="B278" s="412" t="s">
        <v>1282</v>
      </c>
      <c r="C278" s="36" t="s">
        <v>3932</v>
      </c>
      <c r="D278" s="32"/>
      <c r="F278" s="32"/>
      <c r="H278" s="36"/>
      <c r="O278" s="196" t="s">
        <v>1282</v>
      </c>
      <c r="P278" s="632"/>
      <c r="R278" s="416"/>
    </row>
    <row r="279" spans="1:18" s="108" customFormat="1" ht="10.5" customHeight="1">
      <c r="A279" s="151"/>
      <c r="B279" s="412" t="s">
        <v>1283</v>
      </c>
      <c r="C279" s="36" t="s">
        <v>3933</v>
      </c>
      <c r="D279" s="32"/>
      <c r="F279" s="32"/>
      <c r="H279" s="36"/>
      <c r="O279" s="196" t="s">
        <v>1283</v>
      </c>
      <c r="P279" s="632"/>
      <c r="R279" s="416"/>
    </row>
    <row r="280" spans="1:18" s="461" customFormat="1" ht="22.5" customHeight="1">
      <c r="A280" s="156"/>
      <c r="B280" s="495" t="s">
        <v>1977</v>
      </c>
      <c r="C280" s="1554" t="s">
        <v>3934</v>
      </c>
      <c r="D280" s="1554"/>
      <c r="E280" s="1554"/>
      <c r="F280" s="1554"/>
      <c r="G280" s="1554"/>
      <c r="H280" s="1554"/>
      <c r="I280" s="1554"/>
      <c r="J280" s="1554"/>
      <c r="K280" s="1554"/>
      <c r="L280" s="1554"/>
      <c r="O280" s="433" t="s">
        <v>1977</v>
      </c>
      <c r="P280" s="634"/>
      <c r="R280" s="595"/>
    </row>
    <row r="281" spans="1:18" s="108" customFormat="1" ht="10.5" customHeight="1" thickBot="1">
      <c r="A281" s="151"/>
      <c r="B281" s="412" t="s">
        <v>525</v>
      </c>
      <c r="C281" s="36" t="s">
        <v>3935</v>
      </c>
      <c r="D281" s="32"/>
      <c r="F281" s="32"/>
      <c r="H281" s="36"/>
      <c r="O281" s="196" t="s">
        <v>525</v>
      </c>
      <c r="P281" s="784"/>
      <c r="R281" s="416"/>
    </row>
    <row r="282" spans="1:18" s="43" customFormat="1" ht="12" customHeight="1" thickBot="1">
      <c r="A282" s="151"/>
      <c r="B282" s="49" t="s">
        <v>267</v>
      </c>
      <c r="C282" s="56"/>
      <c r="D282" s="32"/>
      <c r="F282" s="32"/>
      <c r="H282" s="56"/>
      <c r="O282" s="785" t="s">
        <v>3936</v>
      </c>
      <c r="P282" s="1197">
        <f>SUM(P275:P281)</f>
        <v>0</v>
      </c>
      <c r="R282" s="416"/>
    </row>
    <row r="283" spans="1:18" s="43" customFormat="1" ht="48" customHeight="1">
      <c r="A283" s="1598" t="s">
        <v>4480</v>
      </c>
      <c r="B283" s="1599"/>
      <c r="C283" s="1599"/>
      <c r="D283" s="1599"/>
      <c r="E283" s="1599"/>
      <c r="F283" s="1599"/>
      <c r="G283" s="1599"/>
      <c r="H283" s="1599"/>
      <c r="I283" s="1599"/>
      <c r="J283" s="1599"/>
      <c r="K283" s="1599"/>
      <c r="L283" s="1599"/>
      <c r="M283" s="1599"/>
      <c r="N283" s="1599"/>
      <c r="O283" s="1599"/>
      <c r="P283" s="1600"/>
      <c r="Q283" s="501" t="s">
        <v>1313</v>
      </c>
    </row>
    <row r="284" spans="1:18" s="108" customFormat="1" ht="10.5" customHeight="1">
      <c r="A284" s="42"/>
      <c r="B284" s="103" t="s">
        <v>1959</v>
      </c>
      <c r="C284" s="104"/>
      <c r="D284" s="103"/>
      <c r="E284" s="202"/>
      <c r="F284" s="1239"/>
      <c r="G284" s="1239"/>
      <c r="H284" s="1239"/>
      <c r="I284" s="1239"/>
      <c r="J284" s="1239"/>
      <c r="K284" s="1239"/>
      <c r="L284" s="1239"/>
      <c r="M284" s="1239"/>
      <c r="N284" s="99"/>
      <c r="O284" s="1276"/>
      <c r="P284" s="2"/>
      <c r="Q284" s="477"/>
    </row>
    <row r="285" spans="1:18" s="43" customFormat="1" ht="36" customHeight="1">
      <c r="A285" s="1644"/>
      <c r="B285" s="1645"/>
      <c r="C285" s="1645"/>
      <c r="D285" s="1645"/>
      <c r="E285" s="1645"/>
      <c r="F285" s="1645"/>
      <c r="G285" s="1645"/>
      <c r="H285" s="1645"/>
      <c r="I285" s="1645"/>
      <c r="J285" s="1645"/>
      <c r="K285" s="1645"/>
      <c r="L285" s="1645"/>
      <c r="M285" s="1645"/>
      <c r="N285" s="1645"/>
      <c r="O285" s="1645"/>
      <c r="P285" s="1646"/>
      <c r="Q285" s="501" t="s">
        <v>1313</v>
      </c>
    </row>
    <row r="286" spans="1:18" s="43" customFormat="1" ht="4.5" customHeight="1">
      <c r="A286" s="42"/>
      <c r="B286" s="42"/>
      <c r="C286" s="1244"/>
      <c r="D286" s="1244"/>
      <c r="E286" s="1244"/>
      <c r="F286" s="1244"/>
      <c r="G286" s="1244"/>
      <c r="H286" s="1244"/>
      <c r="I286" s="1244"/>
      <c r="J286" s="1244"/>
      <c r="K286" s="1244"/>
      <c r="L286" s="1244"/>
      <c r="M286" s="1244"/>
      <c r="N286" s="78"/>
      <c r="O286" s="74"/>
      <c r="P286" s="1273"/>
    </row>
    <row r="287" spans="1:18" s="43" customFormat="1" ht="15">
      <c r="A287" s="168" t="s">
        <v>1754</v>
      </c>
      <c r="B287" s="119" t="s">
        <v>2890</v>
      </c>
      <c r="C287" s="92"/>
      <c r="D287" s="60"/>
      <c r="E287" s="53"/>
      <c r="J287" s="63"/>
      <c r="M287" s="2">
        <v>3</v>
      </c>
      <c r="N287" s="6"/>
      <c r="O287" s="80">
        <f>MIN($M287,O288+O292)</f>
        <v>2</v>
      </c>
      <c r="P287" s="80">
        <f>MIN($M287,P288+P292)</f>
        <v>0</v>
      </c>
      <c r="Q287" s="115" t="s">
        <v>458</v>
      </c>
    </row>
    <row r="288" spans="1:18" s="43" customFormat="1" ht="12" customHeight="1">
      <c r="A288" s="151" t="s">
        <v>2080</v>
      </c>
      <c r="B288" s="184" t="s">
        <v>3155</v>
      </c>
      <c r="D288" s="32"/>
      <c r="E288" s="32"/>
      <c r="F288" s="32"/>
      <c r="H288" s="1186" t="s">
        <v>4227</v>
      </c>
      <c r="I288" s="1194">
        <f>'Part VI-Revenues &amp; Expenses'!$M$66/'Part VI-Revenues &amp; Expenses'!$M$62</f>
        <v>0.16666666666666666</v>
      </c>
      <c r="K288" s="531" t="s">
        <v>4197</v>
      </c>
      <c r="L288" s="915">
        <f>'Part VI-Revenues &amp; Expenses'!$I$58/'Part VI-Revenues &amp; Expenses'!$M$58</f>
        <v>9.5238095238095233E-2</v>
      </c>
      <c r="M288" s="6">
        <v>2</v>
      </c>
      <c r="N288" s="531" t="s">
        <v>2080</v>
      </c>
      <c r="O288" s="1335">
        <v>2</v>
      </c>
      <c r="P288" s="2683"/>
      <c r="Q288" s="432" t="s">
        <v>2875</v>
      </c>
      <c r="R288" s="115"/>
    </row>
    <row r="289" spans="1:18" s="461" customFormat="1" ht="22.5" customHeight="1">
      <c r="A289" s="156"/>
      <c r="B289" s="495" t="s">
        <v>2084</v>
      </c>
      <c r="C289" s="1554" t="s">
        <v>3937</v>
      </c>
      <c r="D289" s="1554"/>
      <c r="E289" s="1554"/>
      <c r="F289" s="1554"/>
      <c r="G289" s="1554"/>
      <c r="H289" s="1554"/>
      <c r="I289" s="1554"/>
      <c r="J289" s="1554"/>
      <c r="K289" s="1554"/>
      <c r="L289" s="1554"/>
      <c r="M289" s="786"/>
      <c r="N289" s="433" t="s">
        <v>2084</v>
      </c>
      <c r="O289" s="1336" t="s">
        <v>4442</v>
      </c>
      <c r="P289" s="2684"/>
      <c r="Q289" s="602"/>
      <c r="R289" s="595"/>
    </row>
    <row r="290" spans="1:18" s="490" customFormat="1" ht="11.25" customHeight="1">
      <c r="A290" s="628"/>
      <c r="B290" s="495" t="s">
        <v>2086</v>
      </c>
      <c r="C290" s="1619" t="s">
        <v>3938</v>
      </c>
      <c r="D290" s="1619"/>
      <c r="E290" s="1619"/>
      <c r="F290" s="1619"/>
      <c r="G290" s="1619"/>
      <c r="H290" s="1619"/>
      <c r="I290" s="1619"/>
      <c r="J290" s="1619"/>
      <c r="K290" s="1619"/>
      <c r="L290" s="1619"/>
      <c r="M290" s="1619"/>
      <c r="N290" s="433" t="s">
        <v>2086</v>
      </c>
      <c r="O290" s="1292" t="s">
        <v>3421</v>
      </c>
      <c r="P290" s="633"/>
    </row>
    <row r="291" spans="1:18" s="490" customFormat="1" ht="3" customHeight="1">
      <c r="B291" s="546"/>
      <c r="C291" s="1247"/>
      <c r="D291" s="1247"/>
      <c r="E291" s="1247"/>
      <c r="F291" s="1247"/>
      <c r="G291" s="1247"/>
      <c r="H291" s="1247"/>
      <c r="M291" s="1247"/>
      <c r="N291" s="1247"/>
      <c r="O291" s="1247"/>
      <c r="P291" s="1247"/>
    </row>
    <row r="292" spans="1:18" s="43" customFormat="1" ht="12" customHeight="1">
      <c r="A292" s="151" t="s">
        <v>2083</v>
      </c>
      <c r="B292" s="184" t="s">
        <v>2891</v>
      </c>
      <c r="D292" s="40"/>
      <c r="G292" s="36"/>
      <c r="M292" s="6">
        <v>3</v>
      </c>
      <c r="N292" s="531" t="s">
        <v>2083</v>
      </c>
      <c r="O292" s="1314"/>
      <c r="P292" s="2666"/>
      <c r="Q292" s="432" t="s">
        <v>2875</v>
      </c>
      <c r="R292" s="416"/>
    </row>
    <row r="293" spans="1:18" s="461" customFormat="1" ht="33" customHeight="1">
      <c r="A293" s="156"/>
      <c r="B293" s="495" t="s">
        <v>2084</v>
      </c>
      <c r="C293" s="1554" t="s">
        <v>4072</v>
      </c>
      <c r="D293" s="1554"/>
      <c r="E293" s="1554"/>
      <c r="F293" s="1554"/>
      <c r="G293" s="1554"/>
      <c r="H293" s="1554"/>
      <c r="I293" s="1554"/>
      <c r="J293" s="1554"/>
      <c r="K293" s="1554"/>
      <c r="L293" s="1554"/>
      <c r="M293" s="786"/>
      <c r="N293" s="433" t="s">
        <v>2084</v>
      </c>
      <c r="O293" s="1336"/>
      <c r="P293" s="2684"/>
      <c r="Q293" s="602"/>
      <c r="R293" s="595"/>
    </row>
    <row r="294" spans="1:18" s="490" customFormat="1" ht="11.25" customHeight="1">
      <c r="A294" s="628"/>
      <c r="B294" s="495" t="s">
        <v>2086</v>
      </c>
      <c r="C294" s="434" t="s">
        <v>3939</v>
      </c>
      <c r="D294" s="434"/>
      <c r="E294" s="434"/>
      <c r="F294" s="434"/>
      <c r="G294" s="434"/>
      <c r="H294" s="434"/>
      <c r="I294" s="434"/>
      <c r="J294" s="434" t="s">
        <v>3940</v>
      </c>
      <c r="K294" s="434"/>
      <c r="L294" s="1337">
        <v>0</v>
      </c>
      <c r="M294" s="434"/>
      <c r="N294" s="433" t="s">
        <v>2086</v>
      </c>
      <c r="O294" s="1292"/>
      <c r="P294" s="633"/>
    </row>
    <row r="295" spans="1:18" s="43" customFormat="1" ht="12" customHeight="1">
      <c r="A295" s="42"/>
      <c r="B295" s="49" t="s">
        <v>267</v>
      </c>
      <c r="C295" s="42"/>
      <c r="D295" s="48"/>
      <c r="E295" s="48"/>
      <c r="F295" s="48"/>
      <c r="G295" s="48"/>
      <c r="H295" s="36"/>
      <c r="I295" s="36"/>
      <c r="J295" s="36"/>
      <c r="K295" s="36"/>
      <c r="M295" s="46"/>
      <c r="N295" s="64"/>
      <c r="O295" s="3"/>
      <c r="P295" s="1243"/>
    </row>
    <row r="296" spans="1:18" s="43" customFormat="1" ht="12" customHeight="1">
      <c r="A296" s="1598" t="s">
        <v>4481</v>
      </c>
      <c r="B296" s="1599"/>
      <c r="C296" s="1599"/>
      <c r="D296" s="1599"/>
      <c r="E296" s="1599"/>
      <c r="F296" s="1599"/>
      <c r="G296" s="1599"/>
      <c r="H296" s="1599"/>
      <c r="I296" s="1599"/>
      <c r="J296" s="1599"/>
      <c r="K296" s="1599"/>
      <c r="L296" s="1599"/>
      <c r="M296" s="1599"/>
      <c r="N296" s="1599"/>
      <c r="O296" s="1599"/>
      <c r="P296" s="1600"/>
      <c r="Q296" s="501" t="s">
        <v>1313</v>
      </c>
    </row>
    <row r="297" spans="1:18" s="43" customFormat="1" ht="12" customHeight="1">
      <c r="B297" s="90" t="s">
        <v>1959</v>
      </c>
      <c r="C297" s="104"/>
      <c r="D297" s="90"/>
      <c r="E297" s="105"/>
      <c r="F297" s="1244"/>
      <c r="G297" s="1244"/>
      <c r="H297" s="1244"/>
      <c r="I297" s="1244"/>
      <c r="J297" s="1244"/>
      <c r="K297" s="1244"/>
      <c r="L297" s="1244"/>
      <c r="M297" s="1244"/>
      <c r="N297" s="78"/>
      <c r="O297" s="74"/>
      <c r="P297" s="2"/>
      <c r="Q297" s="477"/>
    </row>
    <row r="298" spans="1:18" s="43" customFormat="1" ht="12" customHeight="1">
      <c r="A298" s="1644"/>
      <c r="B298" s="1645"/>
      <c r="C298" s="1645"/>
      <c r="D298" s="1645"/>
      <c r="E298" s="1645"/>
      <c r="F298" s="1645"/>
      <c r="G298" s="1645"/>
      <c r="H298" s="1645"/>
      <c r="I298" s="1645"/>
      <c r="J298" s="1645"/>
      <c r="K298" s="1645"/>
      <c r="L298" s="1645"/>
      <c r="M298" s="1645"/>
      <c r="N298" s="1645"/>
      <c r="O298" s="1645"/>
      <c r="P298" s="1646"/>
      <c r="Q298" s="501" t="s">
        <v>1313</v>
      </c>
    </row>
    <row r="299" spans="1:18" s="43" customFormat="1" ht="3" customHeight="1">
      <c r="A299" s="42"/>
      <c r="B299" s="42"/>
      <c r="C299" s="1244"/>
      <c r="D299" s="1244"/>
      <c r="E299" s="1244"/>
      <c r="F299" s="1244"/>
      <c r="G299" s="1244"/>
      <c r="H299" s="1244"/>
      <c r="I299" s="1244"/>
      <c r="J299" s="1244"/>
      <c r="K299" s="1244"/>
      <c r="L299" s="1244"/>
      <c r="M299" s="1244"/>
      <c r="N299" s="78"/>
      <c r="O299" s="74"/>
      <c r="P299" s="1273"/>
    </row>
    <row r="300" spans="1:18" s="43" customFormat="1" ht="12" customHeight="1">
      <c r="A300" s="167" t="s">
        <v>1755</v>
      </c>
      <c r="B300" s="111" t="s">
        <v>2892</v>
      </c>
      <c r="D300" s="40"/>
      <c r="G300" s="63" t="s">
        <v>3899</v>
      </c>
      <c r="M300" s="2">
        <v>2</v>
      </c>
      <c r="N300" s="531"/>
      <c r="O300" s="80">
        <f>MIN($M300,O302+O306)</f>
        <v>0</v>
      </c>
      <c r="P300" s="80">
        <f>MIN($M300,P302+P306)</f>
        <v>0</v>
      </c>
      <c r="Q300" s="115" t="s">
        <v>458</v>
      </c>
      <c r="R300" s="416" t="str">
        <f>IF(OR($O302=$M300,$O302=0,$O302=""),"","* * Check Score! * *")</f>
        <v/>
      </c>
    </row>
    <row r="301" spans="1:18" s="461" customFormat="1" ht="1.5" customHeight="1">
      <c r="B301" s="495"/>
      <c r="F301" s="488"/>
      <c r="G301" s="1274"/>
      <c r="M301" s="462"/>
      <c r="N301" s="462"/>
      <c r="O301" s="462"/>
      <c r="P301" s="462"/>
      <c r="Q301" s="192"/>
    </row>
    <row r="302" spans="1:18" s="461" customFormat="1" ht="11.25" customHeight="1">
      <c r="A302" s="629" t="s">
        <v>2080</v>
      </c>
      <c r="B302" s="1554" t="s">
        <v>4073</v>
      </c>
      <c r="C302" s="1554"/>
      <c r="D302" s="1554"/>
      <c r="E302" s="1554"/>
      <c r="F302" s="1554"/>
      <c r="G302" s="1554"/>
      <c r="I302" s="434" t="s">
        <v>3943</v>
      </c>
      <c r="L302" s="822">
        <f>'Part VI-Revenues &amp; Expenses'!$M$82</f>
        <v>0</v>
      </c>
      <c r="M302" s="462">
        <v>2</v>
      </c>
      <c r="N302" s="177" t="s">
        <v>2080</v>
      </c>
      <c r="O302" s="1314"/>
      <c r="P302" s="2666"/>
      <c r="Q302" s="192" t="s">
        <v>2875</v>
      </c>
    </row>
    <row r="303" spans="1:18" s="461" customFormat="1" ht="11.25" customHeight="1">
      <c r="A303" s="460"/>
      <c r="B303" s="1554"/>
      <c r="C303" s="1554"/>
      <c r="D303" s="1554"/>
      <c r="E303" s="1554"/>
      <c r="F303" s="1554"/>
      <c r="G303" s="1554"/>
      <c r="I303" s="544" t="s">
        <v>3156</v>
      </c>
      <c r="L303" s="823">
        <f>'Part VI-Revenues &amp; Expenses'!$M$62</f>
        <v>42</v>
      </c>
      <c r="M303" s="462"/>
      <c r="N303" s="462"/>
      <c r="O303" s="462"/>
      <c r="P303" s="462"/>
      <c r="Q303" s="192"/>
    </row>
    <row r="304" spans="1:18" s="461" customFormat="1" ht="11.25" customHeight="1">
      <c r="A304" s="616" t="s">
        <v>1418</v>
      </c>
      <c r="D304" s="434" t="s">
        <v>3158</v>
      </c>
      <c r="G304" s="627">
        <f>'Part III-Sources of Funds'!$I$46</f>
        <v>0</v>
      </c>
      <c r="I304" s="626" t="s">
        <v>3157</v>
      </c>
      <c r="L304" s="875">
        <f>L302/L303</f>
        <v>0</v>
      </c>
      <c r="M304" s="462"/>
      <c r="N304" s="462"/>
      <c r="O304" s="462"/>
      <c r="P304" s="462"/>
      <c r="Q304" s="192"/>
    </row>
    <row r="305" spans="1:17" s="461" customFormat="1" ht="1.5" customHeight="1">
      <c r="B305" s="495"/>
      <c r="F305" s="488"/>
      <c r="G305" s="1274"/>
      <c r="M305" s="462"/>
      <c r="N305" s="462"/>
      <c r="O305" s="462"/>
      <c r="P305" s="462"/>
      <c r="Q305" s="192"/>
    </row>
    <row r="306" spans="1:17" s="461" customFormat="1" ht="11.25" customHeight="1">
      <c r="A306" s="629" t="s">
        <v>2083</v>
      </c>
      <c r="B306" s="434" t="s">
        <v>4074</v>
      </c>
      <c r="D306" s="1876" t="s">
        <v>3303</v>
      </c>
      <c r="E306" s="1877"/>
      <c r="F306" s="1877"/>
      <c r="G306" s="1878"/>
      <c r="H306" s="434"/>
      <c r="I306" s="434" t="s">
        <v>3944</v>
      </c>
      <c r="L306" s="822">
        <f>'Part VIII-Threshold Criteria'!$K$71</f>
        <v>0</v>
      </c>
      <c r="M306" s="462">
        <v>1</v>
      </c>
      <c r="N306" s="177" t="s">
        <v>2083</v>
      </c>
      <c r="O306" s="1314"/>
      <c r="P306" s="2666"/>
      <c r="Q306" s="192" t="s">
        <v>2875</v>
      </c>
    </row>
    <row r="307" spans="1:17" s="461" customFormat="1" ht="11.25" customHeight="1">
      <c r="A307" s="629"/>
      <c r="B307" s="434"/>
      <c r="C307" s="434"/>
      <c r="H307" s="434"/>
      <c r="I307" s="544" t="s">
        <v>3156</v>
      </c>
      <c r="L307" s="823">
        <f>'Part VI-Revenues &amp; Expenses'!$M$62</f>
        <v>42</v>
      </c>
      <c r="M307" s="462"/>
      <c r="N307" s="462"/>
      <c r="O307" s="462"/>
      <c r="P307" s="462"/>
      <c r="Q307" s="192"/>
    </row>
    <row r="308" spans="1:17" s="461" customFormat="1" ht="11.25" customHeight="1">
      <c r="A308" s="629"/>
      <c r="B308" s="434"/>
      <c r="C308" s="434"/>
      <c r="D308" s="434"/>
      <c r="E308" s="434"/>
      <c r="F308" s="434"/>
      <c r="G308" s="434"/>
      <c r="H308" s="434"/>
      <c r="I308" s="626" t="s">
        <v>3157</v>
      </c>
      <c r="L308" s="875">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43"/>
    </row>
    <row r="310" spans="1:17" s="43" customFormat="1" ht="12" customHeight="1">
      <c r="A310" s="1598" t="s">
        <v>4482</v>
      </c>
      <c r="B310" s="1599"/>
      <c r="C310" s="1599"/>
      <c r="D310" s="1599"/>
      <c r="E310" s="1599"/>
      <c r="F310" s="1599"/>
      <c r="G310" s="1599"/>
      <c r="H310" s="1599"/>
      <c r="I310" s="1599"/>
      <c r="J310" s="1599"/>
      <c r="K310" s="1599"/>
      <c r="L310" s="1599"/>
      <c r="M310" s="1599"/>
      <c r="N310" s="1599"/>
      <c r="O310" s="1599"/>
      <c r="P310" s="1600"/>
      <c r="Q310" s="501" t="s">
        <v>1313</v>
      </c>
    </row>
    <row r="311" spans="1:17" s="43" customFormat="1" ht="10.5" customHeight="1">
      <c r="B311" s="90" t="s">
        <v>1959</v>
      </c>
      <c r="C311" s="104"/>
      <c r="D311" s="90"/>
      <c r="E311" s="105"/>
      <c r="F311" s="1244"/>
      <c r="G311" s="1244"/>
      <c r="H311" s="1244"/>
      <c r="I311" s="1244"/>
      <c r="J311" s="1244"/>
      <c r="K311" s="1244"/>
      <c r="L311" s="1244"/>
      <c r="M311" s="1244"/>
      <c r="N311" s="78"/>
      <c r="O311" s="74"/>
      <c r="P311" s="2"/>
      <c r="Q311" s="477"/>
    </row>
    <row r="312" spans="1:17" s="43" customFormat="1" ht="12" customHeight="1">
      <c r="A312" s="1644"/>
      <c r="B312" s="1645"/>
      <c r="C312" s="1645"/>
      <c r="D312" s="1645"/>
      <c r="E312" s="1645"/>
      <c r="F312" s="1645"/>
      <c r="G312" s="1645"/>
      <c r="H312" s="1645"/>
      <c r="I312" s="1645"/>
      <c r="J312" s="1645"/>
      <c r="K312" s="1645"/>
      <c r="L312" s="1645"/>
      <c r="M312" s="1645"/>
      <c r="N312" s="1645"/>
      <c r="O312" s="1645"/>
      <c r="P312" s="1646"/>
      <c r="Q312" s="501" t="s">
        <v>1313</v>
      </c>
    </row>
    <row r="313" spans="1:17" s="43" customFormat="1" ht="3" customHeight="1">
      <c r="A313" s="42"/>
      <c r="B313" s="42"/>
      <c r="C313" s="1244"/>
      <c r="D313" s="1244"/>
      <c r="E313" s="1244"/>
      <c r="F313" s="1244"/>
      <c r="G313" s="1244"/>
      <c r="H313" s="1244"/>
      <c r="I313" s="1244"/>
      <c r="J313" s="1244"/>
      <c r="K313" s="1244"/>
      <c r="L313" s="1244"/>
      <c r="M313" s="1244"/>
      <c r="N313" s="78"/>
      <c r="O313" s="74"/>
      <c r="P313" s="1273"/>
    </row>
    <row r="314" spans="1:17" s="43" customFormat="1" ht="12.75" customHeight="1">
      <c r="A314" s="168" t="s">
        <v>1756</v>
      </c>
      <c r="B314" s="112" t="s">
        <v>2764</v>
      </c>
      <c r="C314" s="55"/>
      <c r="D314" s="124"/>
      <c r="E314" s="124"/>
      <c r="I314" s="1236" t="s">
        <v>3273</v>
      </c>
      <c r="J314" s="41"/>
      <c r="K314" s="41"/>
      <c r="M314" s="1243">
        <v>5</v>
      </c>
      <c r="P314" s="2685"/>
      <c r="Q314" s="115" t="s">
        <v>458</v>
      </c>
    </row>
    <row r="315" spans="1:17" s="43" customFormat="1" ht="1.5" customHeight="1">
      <c r="A315" s="168"/>
      <c r="M315" s="611"/>
      <c r="Q315" s="115"/>
    </row>
    <row r="316" spans="1:17" s="43" customFormat="1" ht="12" customHeight="1">
      <c r="A316" s="168"/>
      <c r="D316" s="1883" t="s">
        <v>3172</v>
      </c>
      <c r="E316" s="1883"/>
      <c r="F316" s="1866">
        <f>'Part IV-Uses of Funds'!$J$171</f>
        <v>359706</v>
      </c>
      <c r="G316" s="1867"/>
      <c r="H316" s="41"/>
      <c r="I316" s="1236" t="s">
        <v>3272</v>
      </c>
      <c r="J316" s="41"/>
      <c r="K316" s="41"/>
      <c r="M316" s="76">
        <v>20</v>
      </c>
      <c r="N316" s="6"/>
      <c r="O316" s="622">
        <f>MIN($M316,(O317+O319+O320+O321+O323+O325+O327+O328+O329))</f>
        <v>12</v>
      </c>
      <c r="P316" s="622">
        <f>MIN($M316,(P317+P319+P320+P321+P323+P325+P327+P328+P329))</f>
        <v>0</v>
      </c>
      <c r="Q316" s="115"/>
    </row>
    <row r="317" spans="1:17" s="43" customFormat="1" ht="10.5" customHeight="1">
      <c r="A317" s="168"/>
      <c r="B317" s="607" t="s">
        <v>2080</v>
      </c>
      <c r="C317" s="1859" t="s">
        <v>3159</v>
      </c>
      <c r="D317" s="1859"/>
      <c r="E317" s="1859"/>
      <c r="F317" s="1859"/>
      <c r="G317" s="1859"/>
      <c r="H317" s="1859"/>
      <c r="I317" s="1859"/>
      <c r="J317" s="1859"/>
      <c r="K317" s="1859"/>
      <c r="L317" s="1859"/>
      <c r="M317" s="605">
        <v>6</v>
      </c>
      <c r="N317" s="625"/>
      <c r="O317" s="1802">
        <v>5</v>
      </c>
      <c r="P317" s="2686"/>
      <c r="Q317" s="642" t="s">
        <v>2875</v>
      </c>
    </row>
    <row r="318" spans="1:17" s="461" customFormat="1" ht="34.5" customHeight="1">
      <c r="A318" s="790" t="s">
        <v>1418</v>
      </c>
      <c r="B318" s="156" t="s">
        <v>2083</v>
      </c>
      <c r="C318" s="1652" t="s">
        <v>3945</v>
      </c>
      <c r="D318" s="1652"/>
      <c r="E318" s="1652"/>
      <c r="F318" s="1652"/>
      <c r="G318" s="1652"/>
      <c r="H318" s="1652"/>
      <c r="I318" s="1652"/>
      <c r="J318" s="1652"/>
      <c r="K318" s="1652"/>
      <c r="L318" s="1652"/>
      <c r="M318" s="594">
        <v>5</v>
      </c>
      <c r="N318" s="603"/>
      <c r="O318" s="1803"/>
      <c r="P318" s="2687"/>
      <c r="Q318" s="642"/>
    </row>
    <row r="319" spans="1:17" s="461" customFormat="1" ht="44.25" customHeight="1">
      <c r="A319" s="788"/>
      <c r="B319" s="604" t="s">
        <v>788</v>
      </c>
      <c r="C319" s="1806" t="s">
        <v>3946</v>
      </c>
      <c r="D319" s="1806"/>
      <c r="E319" s="1806"/>
      <c r="F319" s="1806"/>
      <c r="G319" s="1806"/>
      <c r="H319" s="1806"/>
      <c r="I319" s="1806"/>
      <c r="J319" s="1806"/>
      <c r="K319" s="1806"/>
      <c r="L319" s="1806"/>
      <c r="M319" s="605">
        <v>2</v>
      </c>
      <c r="N319" s="606"/>
      <c r="O319" s="1338"/>
      <c r="P319" s="2667"/>
      <c r="Q319" s="789" t="s">
        <v>2875</v>
      </c>
    </row>
    <row r="320" spans="1:17" s="461" customFormat="1" ht="23.25" customHeight="1">
      <c r="A320" s="788"/>
      <c r="B320" s="793" t="s">
        <v>2215</v>
      </c>
      <c r="C320" s="1652" t="s">
        <v>4198</v>
      </c>
      <c r="D320" s="1652"/>
      <c r="E320" s="1652"/>
      <c r="F320" s="1652"/>
      <c r="G320" s="1652"/>
      <c r="H320" s="1652"/>
      <c r="I320" s="1652"/>
      <c r="J320" s="1652"/>
      <c r="K320" s="1652"/>
      <c r="L320" s="1652"/>
      <c r="M320" s="619">
        <v>1</v>
      </c>
      <c r="N320" s="820"/>
      <c r="O320" s="1339">
        <v>1</v>
      </c>
      <c r="P320" s="2688"/>
      <c r="Q320" s="192" t="s">
        <v>2875</v>
      </c>
    </row>
    <row r="321" spans="1:18" s="43" customFormat="1" ht="11.25" customHeight="1">
      <c r="A321" s="168"/>
      <c r="B321" s="604" t="s">
        <v>1822</v>
      </c>
      <c r="C321" s="1806" t="s">
        <v>4051</v>
      </c>
      <c r="D321" s="1806"/>
      <c r="E321" s="1806"/>
      <c r="F321" s="1806"/>
      <c r="G321" s="1806"/>
      <c r="H321" s="1806"/>
      <c r="I321" s="1806"/>
      <c r="J321" s="1806"/>
      <c r="K321" s="1806"/>
      <c r="L321" s="1806"/>
      <c r="M321" s="605">
        <v>2</v>
      </c>
      <c r="N321" s="608"/>
      <c r="O321" s="1802">
        <v>2</v>
      </c>
      <c r="P321" s="2686"/>
      <c r="Q321" s="192" t="s">
        <v>2875</v>
      </c>
    </row>
    <row r="322" spans="1:18" s="43" customFormat="1" ht="11.25" customHeight="1">
      <c r="B322" s="790" t="s">
        <v>1418</v>
      </c>
      <c r="C322" s="1860" t="s">
        <v>4050</v>
      </c>
      <c r="D322" s="1860"/>
      <c r="E322" s="1860"/>
      <c r="F322" s="1860"/>
      <c r="G322" s="1860"/>
      <c r="H322" s="1860"/>
      <c r="I322" s="1860"/>
      <c r="J322" s="1860"/>
      <c r="K322" s="1860"/>
      <c r="L322" s="1860"/>
      <c r="M322" s="621">
        <v>1</v>
      </c>
      <c r="N322" s="124"/>
      <c r="O322" s="1803"/>
      <c r="P322" s="2687"/>
      <c r="Q322" s="106"/>
    </row>
    <row r="323" spans="1:18" s="461" customFormat="1" ht="22.5" customHeight="1">
      <c r="A323" s="788"/>
      <c r="B323" s="604" t="s">
        <v>1823</v>
      </c>
      <c r="C323" s="1806" t="s">
        <v>3947</v>
      </c>
      <c r="D323" s="1806"/>
      <c r="E323" s="1806"/>
      <c r="F323" s="1806"/>
      <c r="G323" s="1806"/>
      <c r="H323" s="1806"/>
      <c r="I323" s="1806"/>
      <c r="J323" s="1806"/>
      <c r="K323" s="1806"/>
      <c r="L323" s="1806"/>
      <c r="M323" s="605">
        <v>2</v>
      </c>
      <c r="N323" s="623"/>
      <c r="O323" s="1802">
        <v>2</v>
      </c>
      <c r="P323" s="2686"/>
      <c r="Q323" s="192" t="s">
        <v>2875</v>
      </c>
    </row>
    <row r="324" spans="1:18" s="461" customFormat="1" ht="21.75" customHeight="1">
      <c r="B324" s="790" t="s">
        <v>1418</v>
      </c>
      <c r="C324" s="1652" t="s">
        <v>3948</v>
      </c>
      <c r="D324" s="1652"/>
      <c r="E324" s="1652"/>
      <c r="F324" s="1652"/>
      <c r="G324" s="1652"/>
      <c r="H324" s="1652"/>
      <c r="I324" s="1652"/>
      <c r="J324" s="1652"/>
      <c r="K324" s="1652"/>
      <c r="L324" s="1652"/>
      <c r="M324" s="619">
        <v>1</v>
      </c>
      <c r="N324" s="620"/>
      <c r="O324" s="1803"/>
      <c r="P324" s="2687"/>
      <c r="Q324" s="192"/>
    </row>
    <row r="325" spans="1:18" s="43" customFormat="1" ht="11.25" customHeight="1">
      <c r="A325" s="168"/>
      <c r="B325" s="607" t="s">
        <v>2043</v>
      </c>
      <c r="C325" s="1859" t="s">
        <v>3949</v>
      </c>
      <c r="D325" s="1859"/>
      <c r="E325" s="1859"/>
      <c r="F325" s="1859"/>
      <c r="G325" s="1859"/>
      <c r="H325" s="1859"/>
      <c r="I325" s="1859"/>
      <c r="J325" s="1859"/>
      <c r="K325" s="1859"/>
      <c r="L325" s="1859"/>
      <c r="M325" s="624">
        <v>2</v>
      </c>
      <c r="N325" s="625"/>
      <c r="O325" s="1338">
        <v>2</v>
      </c>
      <c r="P325" s="2667"/>
      <c r="Q325" s="192" t="s">
        <v>2875</v>
      </c>
    </row>
    <row r="326" spans="1:18" s="43" customFormat="1" ht="11.25" customHeight="1">
      <c r="A326" s="168"/>
      <c r="B326" s="200"/>
      <c r="C326" s="1252"/>
      <c r="D326" s="1252"/>
      <c r="E326" s="1252"/>
      <c r="F326" s="1252"/>
      <c r="G326" s="1282" t="s">
        <v>3613</v>
      </c>
      <c r="H326" s="913">
        <f>'Part IV-Uses of Funds'!$B$44</f>
        <v>2850000</v>
      </c>
      <c r="I326" s="1282" t="s">
        <v>562</v>
      </c>
      <c r="J326" s="913">
        <f>'Part IV-Uses of Funds'!$G$130</f>
        <v>6245106</v>
      </c>
      <c r="K326" s="1282" t="s">
        <v>4199</v>
      </c>
      <c r="L326" s="912">
        <f>H326/J326</f>
        <v>0.45635734605625589</v>
      </c>
      <c r="M326" s="895"/>
      <c r="N326" s="895"/>
      <c r="O326" s="895"/>
      <c r="P326" s="895"/>
      <c r="Q326" s="192"/>
    </row>
    <row r="327" spans="1:18" s="461" customFormat="1" ht="22.5" customHeight="1">
      <c r="A327" s="788"/>
      <c r="B327" s="793" t="s">
        <v>3837</v>
      </c>
      <c r="C327" s="1652" t="s">
        <v>3950</v>
      </c>
      <c r="D327" s="1652"/>
      <c r="E327" s="1652"/>
      <c r="F327" s="1652"/>
      <c r="G327" s="1652"/>
      <c r="H327" s="1652"/>
      <c r="I327" s="1652"/>
      <c r="J327" s="1652"/>
      <c r="K327" s="1652"/>
      <c r="L327" s="1652"/>
      <c r="M327" s="821">
        <v>2</v>
      </c>
      <c r="N327" s="820"/>
      <c r="O327" s="1340"/>
      <c r="P327" s="2668"/>
      <c r="Q327" s="789" t="s">
        <v>2875</v>
      </c>
    </row>
    <row r="328" spans="1:18" s="461" customFormat="1" ht="12" customHeight="1">
      <c r="A328" s="788"/>
      <c r="B328" s="793" t="s">
        <v>646</v>
      </c>
      <c r="C328" s="1652" t="s">
        <v>4052</v>
      </c>
      <c r="D328" s="1652"/>
      <c r="E328" s="1652"/>
      <c r="F328" s="1652"/>
      <c r="G328" s="1652"/>
      <c r="H328" s="1652"/>
      <c r="I328" s="1652"/>
      <c r="J328" s="1652"/>
      <c r="K328" s="1652"/>
      <c r="L328" s="1652"/>
      <c r="M328" s="821">
        <v>2</v>
      </c>
      <c r="N328" s="820"/>
      <c r="O328" s="1340"/>
      <c r="P328" s="2668"/>
      <c r="Q328" s="789" t="s">
        <v>2875</v>
      </c>
    </row>
    <row r="329" spans="1:18" s="461" customFormat="1" ht="11.25" customHeight="1">
      <c r="A329" s="788"/>
      <c r="B329" s="793" t="s">
        <v>3838</v>
      </c>
      <c r="C329" s="1652" t="s">
        <v>3951</v>
      </c>
      <c r="D329" s="1652"/>
      <c r="E329" s="1652"/>
      <c r="F329" s="1652"/>
      <c r="G329" s="1652"/>
      <c r="H329" s="1652"/>
      <c r="I329" s="1652"/>
      <c r="J329" s="1652"/>
      <c r="K329" s="1652"/>
      <c r="L329" s="1652"/>
      <c r="M329" s="821">
        <v>1</v>
      </c>
      <c r="N329" s="820"/>
      <c r="O329" s="1339"/>
      <c r="P329" s="2688"/>
      <c r="Q329" s="789" t="s">
        <v>2875</v>
      </c>
    </row>
    <row r="330" spans="1:18" s="43" customFormat="1" ht="10.5" customHeight="1">
      <c r="A330" s="42"/>
      <c r="B330" s="49" t="s">
        <v>267</v>
      </c>
      <c r="C330" s="42"/>
      <c r="D330" s="48"/>
      <c r="E330" s="48"/>
      <c r="F330" s="48"/>
      <c r="G330" s="48"/>
      <c r="H330" s="36"/>
      <c r="I330" s="36"/>
      <c r="J330" s="36"/>
      <c r="K330" s="36"/>
      <c r="M330" s="46"/>
      <c r="N330" s="64"/>
      <c r="O330" s="3"/>
      <c r="P330" s="1243"/>
    </row>
    <row r="331" spans="1:18" s="43" customFormat="1" ht="24.75" customHeight="1">
      <c r="A331" s="1598" t="s">
        <v>4532</v>
      </c>
      <c r="B331" s="1599"/>
      <c r="C331" s="1599"/>
      <c r="D331" s="1599"/>
      <c r="E331" s="1599"/>
      <c r="F331" s="1599"/>
      <c r="G331" s="1599"/>
      <c r="H331" s="1599"/>
      <c r="I331" s="1599"/>
      <c r="J331" s="1599"/>
      <c r="K331" s="1599"/>
      <c r="L331" s="1599"/>
      <c r="M331" s="1599"/>
      <c r="N331" s="1599"/>
      <c r="O331" s="1599"/>
      <c r="P331" s="1600"/>
      <c r="Q331" s="501" t="s">
        <v>1313</v>
      </c>
    </row>
    <row r="332" spans="1:18" s="43" customFormat="1" ht="10.5" customHeight="1">
      <c r="A332" s="42"/>
      <c r="B332" s="90" t="s">
        <v>1959</v>
      </c>
      <c r="C332" s="104"/>
      <c r="D332" s="90"/>
      <c r="E332" s="105"/>
      <c r="F332" s="1244"/>
      <c r="G332" s="1244"/>
      <c r="H332" s="1244"/>
      <c r="I332" s="1244"/>
      <c r="J332" s="1244"/>
      <c r="K332" s="1244"/>
      <c r="L332" s="1244"/>
      <c r="M332" s="1244"/>
      <c r="N332" s="78"/>
      <c r="O332" s="74"/>
      <c r="P332" s="2"/>
      <c r="Q332" s="477"/>
    </row>
    <row r="333" spans="1:18" s="43" customFormat="1" ht="24.75" customHeight="1">
      <c r="A333" s="1644"/>
      <c r="B333" s="1645"/>
      <c r="C333" s="1645"/>
      <c r="D333" s="1645"/>
      <c r="E333" s="1645"/>
      <c r="F333" s="1645"/>
      <c r="G333" s="1645"/>
      <c r="H333" s="1645"/>
      <c r="I333" s="1645"/>
      <c r="J333" s="1645"/>
      <c r="K333" s="1645"/>
      <c r="L333" s="1645"/>
      <c r="M333" s="1645"/>
      <c r="N333" s="1645"/>
      <c r="O333" s="1645"/>
      <c r="P333" s="1646"/>
      <c r="Q333" s="501" t="s">
        <v>1313</v>
      </c>
    </row>
    <row r="334" spans="1:18" s="43" customFormat="1" ht="3" customHeight="1">
      <c r="A334" s="42"/>
      <c r="C334" s="1244"/>
      <c r="D334" s="1244"/>
      <c r="E334" s="1244"/>
      <c r="F334" s="1244"/>
      <c r="G334" s="1244"/>
      <c r="H334" s="1244"/>
      <c r="I334" s="1244"/>
      <c r="J334" s="1244"/>
      <c r="K334" s="1244"/>
      <c r="L334" s="1244"/>
      <c r="M334" s="1244"/>
      <c r="N334" s="78"/>
      <c r="O334" s="74"/>
      <c r="P334" s="1273"/>
    </row>
    <row r="335" spans="1:18" s="43" customFormat="1" ht="12" customHeight="1">
      <c r="A335" s="168" t="s">
        <v>3160</v>
      </c>
      <c r="B335" s="112" t="s">
        <v>3962</v>
      </c>
      <c r="C335" s="55"/>
      <c r="D335" s="124"/>
      <c r="E335" s="124"/>
      <c r="F335" s="41"/>
      <c r="G335" s="41"/>
      <c r="H335" s="41"/>
      <c r="I335" s="41"/>
      <c r="J335" s="41"/>
      <c r="K335" s="41"/>
      <c r="L335" s="41"/>
      <c r="M335" s="1273">
        <v>2</v>
      </c>
      <c r="N335" s="196"/>
      <c r="O335" s="80">
        <f>IF(AND(M343="Yes",M344="Yes",M345="Yes"),2,IF(OR(M343="Yes",M344="Yes",M345="Yes"),1,0))</f>
        <v>2</v>
      </c>
      <c r="P335" s="80">
        <f>IF(AND(O343="Yes",O344="Yes",O345="Yes"),2,IF(OR(O343="Yes",O344="Yes",O345="Yes"),1,0))</f>
        <v>0</v>
      </c>
      <c r="Q335" s="115" t="s">
        <v>458</v>
      </c>
      <c r="R335" s="192"/>
    </row>
    <row r="336" spans="1:18" s="43" customFormat="1" ht="12" customHeight="1">
      <c r="B336" s="1809" t="s">
        <v>3964</v>
      </c>
      <c r="C336" s="1809"/>
      <c r="D336" s="1809"/>
      <c r="E336" s="1809"/>
      <c r="F336" s="1809"/>
      <c r="G336" s="1809"/>
      <c r="H336" s="1809"/>
      <c r="I336" s="1809"/>
      <c r="J336" s="1809"/>
      <c r="K336" s="1809"/>
      <c r="L336" s="1809"/>
      <c r="M336" s="1809"/>
      <c r="N336" s="1809"/>
      <c r="O336" s="1287" t="s">
        <v>3421</v>
      </c>
      <c r="P336" s="2611"/>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4200</v>
      </c>
      <c r="F338" s="53" t="s">
        <v>3959</v>
      </c>
      <c r="G338" s="53"/>
      <c r="J338" s="1856" t="s">
        <v>4392</v>
      </c>
      <c r="K338" s="1857"/>
      <c r="L338" s="1857"/>
      <c r="M338" s="1857"/>
      <c r="N338" s="1858"/>
      <c r="O338" s="1882" t="s">
        <v>4083</v>
      </c>
    </row>
    <row r="339" spans="1:18" s="43" customFormat="1" ht="3" customHeight="1">
      <c r="A339" s="151"/>
      <c r="C339" s="1257"/>
      <c r="D339" s="1257"/>
      <c r="E339" s="1257"/>
      <c r="F339" s="416"/>
      <c r="H339" s="1257"/>
      <c r="I339" s="1257"/>
      <c r="J339" s="1257"/>
      <c r="K339" s="1257"/>
      <c r="L339" s="1257"/>
      <c r="N339" s="630"/>
      <c r="O339" s="1882"/>
      <c r="P339" s="630"/>
    </row>
    <row r="340" spans="1:18" s="43" customFormat="1" ht="11.25" customHeight="1">
      <c r="A340" s="151"/>
      <c r="C340" s="1257"/>
      <c r="D340" s="1257"/>
      <c r="E340" s="1257"/>
      <c r="F340" s="56" t="s">
        <v>3304</v>
      </c>
      <c r="G340" s="56"/>
      <c r="J340" s="1874" t="str">
        <f>'Part I-Project Information'!$H$67</f>
        <v>Family</v>
      </c>
      <c r="K340" s="1875"/>
      <c r="L340" s="1257"/>
      <c r="M340" s="1865" t="s">
        <v>4369</v>
      </c>
      <c r="N340" s="630"/>
      <c r="O340" s="1882"/>
      <c r="P340" s="630"/>
    </row>
    <row r="341" spans="1:18" s="43" customFormat="1" ht="11.25" customHeight="1">
      <c r="A341" s="151"/>
      <c r="B341" s="644" t="s">
        <v>3960</v>
      </c>
      <c r="C341" s="643"/>
      <c r="D341" s="643"/>
      <c r="E341" s="1257"/>
      <c r="F341" s="416"/>
      <c r="H341" s="1257"/>
      <c r="I341" s="1257"/>
      <c r="J341" s="1257"/>
      <c r="K341" s="1257"/>
      <c r="L341" s="1257"/>
      <c r="M341" s="1865"/>
      <c r="N341" s="630"/>
      <c r="O341" s="1882"/>
      <c r="P341" s="1861" t="s">
        <v>3956</v>
      </c>
    </row>
    <row r="342" spans="1:18" s="43" customFormat="1" ht="12.75" customHeight="1">
      <c r="A342" s="151"/>
      <c r="C342" s="1240"/>
      <c r="F342" s="486" t="s">
        <v>3961</v>
      </c>
      <c r="H342" s="1257"/>
      <c r="I342" s="795" t="s">
        <v>3955</v>
      </c>
      <c r="J342" s="614" t="s">
        <v>3957</v>
      </c>
      <c r="K342" s="787" t="s">
        <v>3956</v>
      </c>
      <c r="L342" s="797" t="s">
        <v>3958</v>
      </c>
      <c r="M342" s="1865"/>
      <c r="N342" s="796"/>
      <c r="O342" s="1882"/>
      <c r="P342" s="1862"/>
    </row>
    <row r="343" spans="1:18" s="43" customFormat="1" ht="12" customHeight="1">
      <c r="A343" s="151"/>
      <c r="B343" s="413" t="s">
        <v>2555</v>
      </c>
      <c r="C343" s="794" t="s">
        <v>3954</v>
      </c>
      <c r="D343" s="643"/>
      <c r="E343" s="1257"/>
      <c r="F343" s="1868" t="s">
        <v>4484</v>
      </c>
      <c r="G343" s="1869"/>
      <c r="H343" s="1870"/>
      <c r="I343" s="1341" t="s">
        <v>4488</v>
      </c>
      <c r="J343" s="1341" t="s">
        <v>3424</v>
      </c>
      <c r="K343" s="1342">
        <v>87.4</v>
      </c>
      <c r="L343" s="796">
        <v>78</v>
      </c>
      <c r="M343" s="886" t="str">
        <f>IF(K343="","",IF(K343&gt;=L343,"Yes",IF(K343&lt;L343,"No","")))</f>
        <v>Yes</v>
      </c>
      <c r="N343" s="796"/>
      <c r="O343" s="889" t="str">
        <f>IF(P343="","",IF(P343&gt;=L343,"Yes",IF(P343&lt;L343,"No","")))</f>
        <v/>
      </c>
      <c r="P343" s="2689"/>
    </row>
    <row r="344" spans="1:18" s="43" customFormat="1" ht="12" customHeight="1">
      <c r="A344" s="151"/>
      <c r="B344" s="431" t="s">
        <v>2556</v>
      </c>
      <c r="C344" s="794" t="s">
        <v>3952</v>
      </c>
      <c r="D344" s="643"/>
      <c r="E344" s="1257"/>
      <c r="F344" s="1871" t="s">
        <v>4485</v>
      </c>
      <c r="G344" s="1872"/>
      <c r="H344" s="1873"/>
      <c r="I344" s="1343" t="s">
        <v>4486</v>
      </c>
      <c r="J344" s="1344" t="s">
        <v>3424</v>
      </c>
      <c r="K344" s="1345">
        <v>82.2</v>
      </c>
      <c r="L344" s="796">
        <v>75</v>
      </c>
      <c r="M344" s="887" t="str">
        <f>IF(K344="","",IF(K344&gt;=L344,"Yes",IF(K344&lt;L344,"No","")))</f>
        <v>Yes</v>
      </c>
      <c r="N344" s="796"/>
      <c r="O344" s="890" t="str">
        <f>IF(P344="","",IF(P344&gt;=L344,"Yes",IF(P344&lt;L344,"No","")))</f>
        <v/>
      </c>
      <c r="P344" s="2690"/>
    </row>
    <row r="345" spans="1:18" s="43" customFormat="1" ht="12" customHeight="1">
      <c r="A345" s="151"/>
      <c r="B345" s="413" t="s">
        <v>2557</v>
      </c>
      <c r="C345" s="794" t="s">
        <v>3953</v>
      </c>
      <c r="D345" s="643"/>
      <c r="E345" s="1257"/>
      <c r="F345" s="1879" t="s">
        <v>4483</v>
      </c>
      <c r="G345" s="1880"/>
      <c r="H345" s="1881"/>
      <c r="I345" s="1346" t="s">
        <v>4487</v>
      </c>
      <c r="J345" s="1347" t="s">
        <v>3424</v>
      </c>
      <c r="K345" s="1348">
        <v>73.7</v>
      </c>
      <c r="L345" s="796">
        <v>72</v>
      </c>
      <c r="M345" s="888" t="str">
        <f>IF(K345="","",IF(K345&gt;=L345,"Yes",IF(K345&lt;L345,"No","")))</f>
        <v>Yes</v>
      </c>
      <c r="N345" s="796"/>
      <c r="O345" s="891" t="str">
        <f>IF(P345="","",IF(P345&gt;=L345,"Yes",IF(P345&lt;L345,"No","")))</f>
        <v/>
      </c>
      <c r="P345" s="2691"/>
    </row>
    <row r="346" spans="1:18" s="43" customFormat="1" ht="10.5" customHeight="1">
      <c r="A346" s="42"/>
      <c r="B346" s="49" t="s">
        <v>267</v>
      </c>
      <c r="C346" s="42"/>
      <c r="D346" s="48"/>
      <c r="E346" s="48"/>
      <c r="F346" s="48"/>
      <c r="G346" s="48"/>
      <c r="H346" s="36"/>
      <c r="I346" s="36"/>
      <c r="J346" s="36"/>
      <c r="K346" s="36"/>
      <c r="M346" s="46"/>
      <c r="N346" s="64"/>
      <c r="O346" s="3"/>
      <c r="P346" s="1243"/>
    </row>
    <row r="347" spans="1:18" s="43" customFormat="1" ht="11.25" customHeight="1">
      <c r="A347" s="1598" t="s">
        <v>4489</v>
      </c>
      <c r="B347" s="1599"/>
      <c r="C347" s="1599"/>
      <c r="D347" s="1599"/>
      <c r="E347" s="1599"/>
      <c r="F347" s="1599"/>
      <c r="G347" s="1599"/>
      <c r="H347" s="1599"/>
      <c r="I347" s="1599"/>
      <c r="J347" s="1599"/>
      <c r="K347" s="1599"/>
      <c r="L347" s="1599"/>
      <c r="M347" s="1599"/>
      <c r="N347" s="1599"/>
      <c r="O347" s="1599"/>
      <c r="P347" s="1600"/>
      <c r="Q347" s="501" t="s">
        <v>1313</v>
      </c>
    </row>
    <row r="348" spans="1:18" s="43" customFormat="1" ht="10.5" customHeight="1">
      <c r="A348" s="42"/>
      <c r="B348" s="90" t="s">
        <v>1959</v>
      </c>
      <c r="C348" s="104"/>
      <c r="D348" s="90"/>
      <c r="E348" s="105"/>
      <c r="F348" s="1244"/>
      <c r="G348" s="1244"/>
      <c r="H348" s="1244"/>
      <c r="I348" s="1244"/>
      <c r="J348" s="1244"/>
      <c r="K348" s="1244"/>
      <c r="L348" s="1244"/>
      <c r="M348" s="1244"/>
      <c r="N348" s="78"/>
      <c r="O348" s="74"/>
      <c r="P348" s="2"/>
      <c r="Q348" s="477"/>
    </row>
    <row r="349" spans="1:18" s="43" customFormat="1" ht="11.25" customHeight="1">
      <c r="A349" s="1644"/>
      <c r="B349" s="1645"/>
      <c r="C349" s="1645"/>
      <c r="D349" s="1645"/>
      <c r="E349" s="1645"/>
      <c r="F349" s="1645"/>
      <c r="G349" s="1645"/>
      <c r="H349" s="1645"/>
      <c r="I349" s="1645"/>
      <c r="J349" s="1645"/>
      <c r="K349" s="1645"/>
      <c r="L349" s="1645"/>
      <c r="M349" s="1645"/>
      <c r="N349" s="1645"/>
      <c r="O349" s="1645"/>
      <c r="P349" s="1646"/>
      <c r="Q349" s="501" t="s">
        <v>1313</v>
      </c>
    </row>
    <row r="350" spans="1:18" s="43" customFormat="1" ht="3" customHeight="1">
      <c r="A350" s="42"/>
      <c r="C350" s="1244"/>
      <c r="D350" s="1244"/>
      <c r="E350" s="1244"/>
      <c r="F350" s="1244"/>
      <c r="G350" s="1244"/>
      <c r="H350" s="1244"/>
      <c r="I350" s="1244"/>
      <c r="J350" s="1244"/>
      <c r="K350" s="1244"/>
      <c r="L350" s="1244"/>
      <c r="M350" s="1244"/>
      <c r="N350" s="78"/>
      <c r="O350" s="74"/>
      <c r="P350" s="1273"/>
    </row>
    <row r="351" spans="1:18" s="43" customFormat="1" ht="12" customHeight="1">
      <c r="A351" s="168" t="s">
        <v>3163</v>
      </c>
      <c r="B351" s="112" t="s">
        <v>3162</v>
      </c>
      <c r="C351" s="55"/>
      <c r="D351" s="124"/>
      <c r="E351" s="124"/>
      <c r="F351" s="41"/>
      <c r="G351" s="787" t="s">
        <v>4368</v>
      </c>
      <c r="H351" s="41"/>
      <c r="I351" s="56" t="s">
        <v>3167</v>
      </c>
      <c r="J351" s="56"/>
      <c r="K351" s="1854" t="str">
        <f>'Part I-Project Information'!$F$28</f>
        <v>Lake Park</v>
      </c>
      <c r="L351" s="1855"/>
      <c r="M351" s="1273">
        <v>2</v>
      </c>
      <c r="N351" s="196"/>
      <c r="O351" s="1319">
        <v>0</v>
      </c>
      <c r="P351" s="2670"/>
      <c r="Q351" s="115" t="s">
        <v>458</v>
      </c>
      <c r="R351" s="36" t="s">
        <v>2875</v>
      </c>
    </row>
    <row r="352" spans="1:18" s="56" customFormat="1" ht="12" customHeight="1">
      <c r="A352" s="151" t="s">
        <v>2080</v>
      </c>
      <c r="B352" s="481"/>
      <c r="C352" s="614" t="s">
        <v>3171</v>
      </c>
      <c r="G352" s="1349"/>
      <c r="I352" s="1863" t="s">
        <v>3168</v>
      </c>
      <c r="J352" s="1863"/>
      <c r="K352" s="1852" t="str">
        <f>'Part I-Project Information'!$J$29</f>
        <v>Lowndes</v>
      </c>
      <c r="L352" s="1853"/>
      <c r="R352" s="609"/>
    </row>
    <row r="353" spans="1:18" s="56" customFormat="1" ht="12" customHeight="1">
      <c r="A353" s="151"/>
      <c r="C353" s="614"/>
      <c r="I353" s="481" t="s">
        <v>3169</v>
      </c>
      <c r="K353" s="1852" t="str">
        <f>'Part I-Project Information'!$O$30</f>
        <v>Valdosta</v>
      </c>
      <c r="L353" s="1853"/>
      <c r="R353" s="609"/>
    </row>
    <row r="354" spans="1:18" s="56" customFormat="1" ht="12" customHeight="1">
      <c r="A354" s="156" t="s">
        <v>2083</v>
      </c>
      <c r="B354" s="542" t="s">
        <v>3166</v>
      </c>
      <c r="C354" s="1250"/>
      <c r="D354" s="1280"/>
      <c r="E354" s="1280"/>
      <c r="G354" s="1321"/>
      <c r="I354" s="481" t="s">
        <v>3305</v>
      </c>
      <c r="K354" s="1852" t="str">
        <f>VLOOKUP('Part I-Project Information'!$J$29,'DCA Underwriting Assumptions'!$G$127:$J$286,4)</f>
        <v>MSA</v>
      </c>
      <c r="L354" s="1853"/>
      <c r="R354" s="609"/>
    </row>
    <row r="355" spans="1:18" s="56" customFormat="1" ht="12" customHeight="1">
      <c r="A355" s="47"/>
      <c r="B355" s="542" t="s">
        <v>3165</v>
      </c>
      <c r="C355" s="1250"/>
      <c r="D355" s="1280"/>
      <c r="E355" s="1280"/>
      <c r="F355" s="47"/>
      <c r="G355" s="47"/>
      <c r="I355" s="56" t="s">
        <v>3306</v>
      </c>
      <c r="K355" s="1850" t="str">
        <f>'Part I-Project Information'!$K$30</f>
        <v>Rural</v>
      </c>
      <c r="L355" s="1851"/>
      <c r="R355" s="609"/>
    </row>
    <row r="356" spans="1:18" s="56" customFormat="1" ht="3" customHeight="1">
      <c r="H356" s="47"/>
      <c r="I356" s="47"/>
      <c r="J356" s="47"/>
      <c r="K356" s="47"/>
      <c r="L356" s="47"/>
      <c r="R356" s="609"/>
    </row>
    <row r="357" spans="1:18" s="56" customFormat="1" ht="12" customHeight="1">
      <c r="A357" s="47"/>
      <c r="B357" s="47"/>
      <c r="C357" s="1255" t="s">
        <v>3164</v>
      </c>
      <c r="D357" s="1849" t="s">
        <v>3963</v>
      </c>
      <c r="E357" s="1849"/>
      <c r="F357" s="1849"/>
      <c r="G357" s="1849"/>
      <c r="H357" s="1849"/>
      <c r="I357" s="1849"/>
      <c r="J357" s="1849"/>
      <c r="K357" s="1849"/>
      <c r="L357" s="1255" t="s">
        <v>1678</v>
      </c>
      <c r="M357" s="1255" t="s">
        <v>2726</v>
      </c>
      <c r="R357" s="609"/>
    </row>
    <row r="358" spans="1:18" s="56" customFormat="1" ht="12" customHeight="1">
      <c r="A358" s="47"/>
      <c r="B358" s="47"/>
      <c r="C358" s="819" t="s">
        <v>1263</v>
      </c>
      <c r="D358" s="1846" t="s">
        <v>3170</v>
      </c>
      <c r="E358" s="1847"/>
      <c r="F358" s="1847"/>
      <c r="G358" s="1847"/>
      <c r="H358" s="1847"/>
      <c r="I358" s="1847"/>
      <c r="J358" s="1847"/>
      <c r="K358" s="1848"/>
      <c r="L358" s="819" t="s">
        <v>2740</v>
      </c>
      <c r="M358" s="819" t="s">
        <v>1338</v>
      </c>
      <c r="R358" s="609"/>
    </row>
    <row r="359" spans="1:18" s="56" customFormat="1" ht="15.75" customHeight="1">
      <c r="A359" s="47"/>
      <c r="B359" s="47"/>
      <c r="C359" s="1254">
        <v>20000</v>
      </c>
      <c r="D359" s="1845">
        <v>15000</v>
      </c>
      <c r="E359" s="1845"/>
      <c r="F359" s="1845"/>
      <c r="G359" s="1845"/>
      <c r="H359" s="1845"/>
      <c r="I359" s="1845"/>
      <c r="J359" s="1845"/>
      <c r="K359" s="1845"/>
      <c r="L359" s="1254">
        <v>6000</v>
      </c>
      <c r="M359" s="1254">
        <v>3000</v>
      </c>
      <c r="R359" s="609"/>
    </row>
    <row r="360" spans="1:18" s="43" customFormat="1" ht="12" customHeight="1">
      <c r="A360" s="42"/>
      <c r="B360" s="49" t="s">
        <v>267</v>
      </c>
      <c r="C360" s="42"/>
      <c r="D360" s="48"/>
      <c r="E360" s="48"/>
      <c r="F360" s="48"/>
      <c r="G360" s="48"/>
      <c r="H360" s="36"/>
      <c r="I360" s="36"/>
      <c r="J360" s="36"/>
      <c r="K360" s="36"/>
      <c r="M360" s="46"/>
      <c r="N360" s="64"/>
      <c r="O360" s="3"/>
      <c r="P360" s="1243"/>
    </row>
    <row r="361" spans="1:18" s="43" customFormat="1" ht="21.75" customHeight="1">
      <c r="A361" s="1598" t="s">
        <v>4490</v>
      </c>
      <c r="B361" s="1599"/>
      <c r="C361" s="1599"/>
      <c r="D361" s="1599"/>
      <c r="E361" s="1599"/>
      <c r="F361" s="1599"/>
      <c r="G361" s="1599"/>
      <c r="H361" s="1599"/>
      <c r="I361" s="1599"/>
      <c r="J361" s="1599"/>
      <c r="K361" s="1599"/>
      <c r="L361" s="1599"/>
      <c r="M361" s="1599"/>
      <c r="N361" s="1599"/>
      <c r="O361" s="1599"/>
      <c r="P361" s="1600"/>
      <c r="Q361" s="501" t="s">
        <v>1313</v>
      </c>
    </row>
    <row r="362" spans="1:18" s="43" customFormat="1" ht="11.25" customHeight="1">
      <c r="A362" s="42"/>
      <c r="B362" s="90" t="s">
        <v>1959</v>
      </c>
      <c r="C362" s="104"/>
      <c r="D362" s="90"/>
      <c r="E362" s="105"/>
      <c r="F362" s="1244"/>
      <c r="G362" s="1244"/>
      <c r="H362" s="1244"/>
      <c r="I362" s="1244"/>
      <c r="J362" s="1244"/>
      <c r="K362" s="1244"/>
      <c r="L362" s="1244"/>
      <c r="M362" s="1244"/>
      <c r="N362" s="78"/>
      <c r="O362" s="74"/>
      <c r="P362" s="2"/>
      <c r="Q362" s="477"/>
    </row>
    <row r="363" spans="1:18" s="43" customFormat="1" ht="12.75" customHeight="1">
      <c r="A363" s="1644"/>
      <c r="B363" s="1645"/>
      <c r="C363" s="1645"/>
      <c r="D363" s="1645"/>
      <c r="E363" s="1645"/>
      <c r="F363" s="1645"/>
      <c r="G363" s="1645"/>
      <c r="H363" s="1645"/>
      <c r="I363" s="1645"/>
      <c r="J363" s="1645"/>
      <c r="K363" s="1645"/>
      <c r="L363" s="1645"/>
      <c r="M363" s="1645"/>
      <c r="N363" s="1645"/>
      <c r="O363" s="1645"/>
      <c r="P363" s="1646"/>
      <c r="Q363" s="501" t="s">
        <v>1313</v>
      </c>
    </row>
    <row r="364" spans="1:18" s="43" customFormat="1" ht="3" customHeight="1">
      <c r="A364" s="42"/>
      <c r="C364" s="1244"/>
      <c r="D364" s="1244"/>
      <c r="E364" s="1244"/>
      <c r="F364" s="1244"/>
      <c r="G364" s="1244"/>
      <c r="H364" s="1244"/>
      <c r="I364" s="1244"/>
      <c r="J364" s="1244"/>
      <c r="K364" s="1244"/>
      <c r="L364" s="1244"/>
      <c r="M364" s="1244"/>
      <c r="N364" s="78"/>
      <c r="O364" s="74"/>
      <c r="P364" s="1273"/>
    </row>
    <row r="365" spans="1:18" s="108" customFormat="1" ht="11.25" customHeight="1">
      <c r="A365" s="168" t="s">
        <v>3161</v>
      </c>
      <c r="B365" s="111" t="s">
        <v>1757</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2665</v>
      </c>
      <c r="M366" s="42"/>
      <c r="N366" s="42"/>
      <c r="O366" s="1291" t="s">
        <v>3424</v>
      </c>
      <c r="P366" s="631"/>
    </row>
    <row r="367" spans="1:18" ht="12.6" customHeight="1">
      <c r="A367" s="151" t="s">
        <v>2080</v>
      </c>
      <c r="B367" s="199" t="s">
        <v>1509</v>
      </c>
      <c r="D367" s="32"/>
      <c r="E367" s="32"/>
      <c r="F367" s="32"/>
      <c r="G367" s="32"/>
      <c r="H367" s="32"/>
      <c r="I367" s="32"/>
      <c r="J367" s="32"/>
      <c r="K367" s="32"/>
      <c r="L367" s="32"/>
      <c r="M367" s="122"/>
      <c r="N367" s="531" t="s">
        <v>2080</v>
      </c>
      <c r="O367" s="1310">
        <v>10</v>
      </c>
      <c r="P367" s="2665"/>
      <c r="Q367" s="192" t="s">
        <v>2875</v>
      </c>
    </row>
    <row r="368" spans="1:18" s="43" customFormat="1" ht="11.25" customHeight="1">
      <c r="A368" s="42"/>
      <c r="B368" s="49" t="s">
        <v>267</v>
      </c>
      <c r="C368" s="42"/>
      <c r="D368" s="48"/>
      <c r="E368" s="48"/>
      <c r="F368" s="48"/>
      <c r="G368" s="48"/>
      <c r="H368" s="36"/>
      <c r="I368" s="36"/>
      <c r="J368" s="36"/>
      <c r="K368" s="36"/>
      <c r="M368" s="46"/>
      <c r="N368" s="64"/>
      <c r="O368" s="3"/>
      <c r="P368" s="1243"/>
    </row>
    <row r="369" spans="1:18" s="43" customFormat="1" ht="21.75" customHeight="1">
      <c r="A369" s="1598" t="s">
        <v>4491</v>
      </c>
      <c r="B369" s="1599"/>
      <c r="C369" s="1599"/>
      <c r="D369" s="1599"/>
      <c r="E369" s="1599"/>
      <c r="F369" s="1599"/>
      <c r="G369" s="1599"/>
      <c r="H369" s="1599"/>
      <c r="I369" s="1599"/>
      <c r="J369" s="1599"/>
      <c r="K369" s="1599"/>
      <c r="L369" s="1599"/>
      <c r="M369" s="1599"/>
      <c r="N369" s="1599"/>
      <c r="O369" s="1599"/>
      <c r="P369" s="1600"/>
      <c r="Q369" s="501" t="s">
        <v>1313</v>
      </c>
      <c r="R369" s="502"/>
    </row>
    <row r="370" spans="1:18" s="108" customFormat="1" ht="11.25" customHeight="1">
      <c r="A370" s="70"/>
      <c r="B370" s="70" t="s">
        <v>1959</v>
      </c>
      <c r="C370" s="50"/>
      <c r="D370" s="70"/>
      <c r="E370" s="1239"/>
      <c r="F370" s="1239"/>
      <c r="G370" s="1239"/>
      <c r="H370" s="1239"/>
      <c r="I370" s="1239"/>
      <c r="J370" s="1239"/>
      <c r="K370" s="1239"/>
      <c r="L370" s="1239"/>
      <c r="M370" s="1239"/>
      <c r="N370" s="99"/>
      <c r="O370" s="1276"/>
      <c r="P370" s="2"/>
    </row>
    <row r="371" spans="1:18" s="43" customFormat="1" ht="12.75" customHeight="1">
      <c r="A371" s="1644"/>
      <c r="B371" s="1645"/>
      <c r="C371" s="1645"/>
      <c r="D371" s="1645"/>
      <c r="E371" s="1645"/>
      <c r="F371" s="1645"/>
      <c r="G371" s="1645"/>
      <c r="H371" s="1645"/>
      <c r="I371" s="1645"/>
      <c r="J371" s="1645"/>
      <c r="K371" s="1645"/>
      <c r="L371" s="1645"/>
      <c r="M371" s="1645"/>
      <c r="N371" s="1645"/>
      <c r="O371" s="1645"/>
      <c r="P371" s="1646"/>
      <c r="Q371" s="501" t="s">
        <v>1313</v>
      </c>
      <c r="R371" s="502"/>
    </row>
    <row r="372" spans="1:18" s="43" customFormat="1" ht="6" customHeight="1" thickBot="1">
      <c r="A372" s="42"/>
      <c r="B372" s="42"/>
      <c r="C372" s="1244"/>
      <c r="D372" s="1244"/>
      <c r="E372" s="1244"/>
      <c r="F372" s="1244"/>
      <c r="G372" s="1244"/>
      <c r="H372" s="1244"/>
      <c r="I372" s="1244"/>
      <c r="J372" s="1244"/>
      <c r="K372" s="1244"/>
      <c r="L372" s="1244"/>
      <c r="M372" s="1244"/>
      <c r="N372" s="78"/>
      <c r="O372" s="74"/>
      <c r="P372" s="1273"/>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50</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3311</v>
      </c>
      <c r="J374" s="72"/>
      <c r="K374" s="72"/>
      <c r="L374" s="43"/>
      <c r="M374" s="35"/>
      <c r="N374" s="2"/>
      <c r="O374" s="529"/>
      <c r="P374" s="529">
        <f>P201</f>
        <v>0</v>
      </c>
    </row>
    <row r="375" spans="1:18" s="42" customFormat="1" ht="12" customHeight="1">
      <c r="A375" s="55"/>
      <c r="B375" s="71"/>
      <c r="C375" s="55"/>
      <c r="D375" s="35"/>
      <c r="E375" s="35"/>
      <c r="F375" s="73"/>
      <c r="G375" s="73"/>
      <c r="I375" s="184" t="s">
        <v>3312</v>
      </c>
      <c r="J375" s="72"/>
      <c r="K375" s="72"/>
      <c r="L375" s="43"/>
      <c r="M375" s="35"/>
      <c r="N375" s="2"/>
      <c r="O375" s="2"/>
      <c r="P375" s="529">
        <f>P267</f>
        <v>0</v>
      </c>
    </row>
    <row r="376" spans="1:18" s="43" customFormat="1" ht="12" customHeight="1">
      <c r="A376" s="42"/>
      <c r="B376" s="42"/>
      <c r="C376" s="1244"/>
      <c r="D376" s="1244"/>
      <c r="E376" s="1244"/>
      <c r="F376" s="1244"/>
      <c r="G376" s="1244"/>
      <c r="I376" s="184" t="s">
        <v>3313</v>
      </c>
      <c r="J376" s="1244"/>
      <c r="K376" s="1244"/>
      <c r="L376" s="1244"/>
      <c r="M376" s="1244"/>
      <c r="N376" s="78"/>
      <c r="O376" s="74"/>
      <c r="P376" s="529">
        <f>P314</f>
        <v>0</v>
      </c>
    </row>
    <row r="377" spans="1:18" s="43" customFormat="1" ht="13.5" customHeight="1">
      <c r="A377" s="42"/>
      <c r="D377" s="39"/>
      <c r="E377" s="36"/>
      <c r="F377" s="1273"/>
      <c r="G377" s="1273"/>
      <c r="H377" s="4" t="s">
        <v>3314</v>
      </c>
      <c r="I377" s="1273"/>
      <c r="J377" s="1275"/>
      <c r="K377" s="1275"/>
      <c r="L377" s="1275"/>
      <c r="M377" s="62"/>
      <c r="N377" s="1273"/>
      <c r="O377" s="1243"/>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4"/>
      <c r="P379" s="1234"/>
    </row>
    <row r="380" spans="1:18" s="174" customFormat="1">
      <c r="C380" s="506" t="s">
        <v>1728</v>
      </c>
      <c r="D380" s="506"/>
      <c r="E380" s="506"/>
      <c r="F380" s="506"/>
      <c r="G380" s="506"/>
      <c r="H380" s="506"/>
      <c r="I380" s="506"/>
      <c r="J380" s="506" t="s">
        <v>1061</v>
      </c>
      <c r="K380" s="506"/>
      <c r="N380" s="130"/>
      <c r="O380" s="1234"/>
      <c r="P380" s="1234"/>
    </row>
    <row r="381" spans="1:18" s="174" customFormat="1">
      <c r="C381" s="551" t="s">
        <v>2189</v>
      </c>
      <c r="D381" s="551"/>
      <c r="E381" s="551"/>
      <c r="F381" s="551"/>
      <c r="G381" s="551"/>
      <c r="H381" s="551"/>
      <c r="I381" s="551"/>
      <c r="J381" s="551" t="s">
        <v>1858</v>
      </c>
      <c r="K381" s="551"/>
      <c r="N381" s="130"/>
      <c r="O381" s="1234"/>
      <c r="P381" s="1234"/>
    </row>
    <row r="382" spans="1:18" s="174" customFormat="1" ht="15">
      <c r="C382" s="506" t="s">
        <v>2671</v>
      </c>
      <c r="D382" s="506"/>
      <c r="E382" s="506"/>
      <c r="F382" s="506"/>
      <c r="G382" s="506"/>
      <c r="H382" s="506"/>
      <c r="I382" s="506"/>
      <c r="J382" s="798" t="s">
        <v>239</v>
      </c>
      <c r="K382" s="506"/>
      <c r="N382" s="130"/>
      <c r="O382" s="1234"/>
      <c r="P382" s="1234"/>
    </row>
    <row r="383" spans="1:18" s="174" customFormat="1" ht="15">
      <c r="C383" s="506" t="s">
        <v>2190</v>
      </c>
      <c r="D383" s="506"/>
      <c r="E383" s="506"/>
      <c r="F383" s="506"/>
      <c r="G383" s="506"/>
      <c r="H383" s="506"/>
      <c r="I383" s="506"/>
      <c r="J383" s="798" t="s">
        <v>1730</v>
      </c>
      <c r="K383" s="506"/>
      <c r="N383" s="130"/>
      <c r="O383" s="1234"/>
      <c r="P383" s="1234"/>
    </row>
    <row r="384" spans="1:18" s="174" customFormat="1" ht="15">
      <c r="C384" s="506" t="s">
        <v>2191</v>
      </c>
      <c r="D384" s="506"/>
      <c r="E384" s="506"/>
      <c r="F384" s="506"/>
      <c r="G384" s="506"/>
      <c r="H384" s="506"/>
      <c r="I384" s="506"/>
      <c r="J384" s="798" t="s">
        <v>1731</v>
      </c>
      <c r="K384" s="506"/>
      <c r="N384" s="130"/>
      <c r="O384" s="1234"/>
      <c r="P384" s="1234"/>
    </row>
    <row r="385" spans="3:16" s="174" customFormat="1" ht="15">
      <c r="C385" s="799" t="s">
        <v>2192</v>
      </c>
      <c r="D385" s="506"/>
      <c r="E385" s="506"/>
      <c r="F385" s="506"/>
      <c r="G385" s="506"/>
      <c r="H385" s="506"/>
      <c r="I385" s="506"/>
      <c r="J385" s="798" t="s">
        <v>2627</v>
      </c>
      <c r="K385" s="506"/>
      <c r="N385" s="130"/>
      <c r="O385" s="1234"/>
      <c r="P385" s="1234"/>
    </row>
    <row r="386" spans="3:16" s="174" customFormat="1" ht="15">
      <c r="C386" s="799" t="s">
        <v>2193</v>
      </c>
      <c r="D386" s="506"/>
      <c r="E386" s="506"/>
      <c r="F386" s="506"/>
      <c r="G386" s="506"/>
      <c r="H386" s="506"/>
      <c r="I386" s="506"/>
      <c r="J386" s="798" t="s">
        <v>1732</v>
      </c>
      <c r="K386" s="506"/>
      <c r="N386" s="130"/>
      <c r="O386" s="1234"/>
      <c r="P386" s="1234"/>
    </row>
    <row r="387" spans="3:16" s="174" customFormat="1" ht="15">
      <c r="C387" s="799"/>
      <c r="D387" s="506"/>
      <c r="E387" s="506"/>
      <c r="F387" s="506"/>
      <c r="G387" s="506"/>
      <c r="H387" s="506"/>
      <c r="I387" s="506"/>
      <c r="J387" s="798" t="s">
        <v>1733</v>
      </c>
      <c r="K387" s="506"/>
      <c r="N387" s="130"/>
      <c r="O387" s="1234"/>
      <c r="P387" s="1234"/>
    </row>
    <row r="388" spans="3:16" s="174" customFormat="1" ht="15">
      <c r="C388" s="551" t="s">
        <v>1858</v>
      </c>
      <c r="D388" s="506"/>
      <c r="E388" s="506"/>
      <c r="F388" s="506"/>
      <c r="G388" s="506"/>
      <c r="H388" s="506"/>
      <c r="I388" s="506"/>
      <c r="J388" s="798" t="s">
        <v>1734</v>
      </c>
      <c r="K388" s="506"/>
      <c r="N388" s="130"/>
      <c r="O388" s="1234"/>
      <c r="P388" s="1234"/>
    </row>
    <row r="389" spans="3:16" s="174" customFormat="1" ht="15">
      <c r="C389" s="800" t="s">
        <v>1458</v>
      </c>
      <c r="D389" s="506"/>
      <c r="E389" s="506"/>
      <c r="F389" s="506"/>
      <c r="G389" s="506"/>
      <c r="H389" s="506"/>
      <c r="I389" s="506"/>
      <c r="J389" s="798" t="s">
        <v>1735</v>
      </c>
      <c r="K389" s="506"/>
      <c r="N389" s="130"/>
      <c r="O389" s="1234"/>
      <c r="P389" s="1234"/>
    </row>
    <row r="390" spans="3:16" s="174" customFormat="1" ht="15">
      <c r="C390" s="800" t="s">
        <v>1459</v>
      </c>
      <c r="D390" s="506"/>
      <c r="E390" s="506"/>
      <c r="F390" s="506"/>
      <c r="G390" s="506"/>
      <c r="H390" s="506"/>
      <c r="I390" s="506"/>
      <c r="J390" s="798" t="s">
        <v>1736</v>
      </c>
      <c r="K390" s="506"/>
      <c r="N390" s="130"/>
      <c r="O390" s="1234"/>
      <c r="P390" s="1234"/>
    </row>
    <row r="391" spans="3:16" s="174" customFormat="1" ht="15">
      <c r="C391" s="801" t="s">
        <v>2233</v>
      </c>
      <c r="D391" s="506"/>
      <c r="E391" s="506"/>
      <c r="F391" s="506"/>
      <c r="G391" s="506"/>
      <c r="H391" s="506"/>
      <c r="I391" s="506"/>
      <c r="J391" s="798" t="s">
        <v>1737</v>
      </c>
      <c r="K391" s="506"/>
      <c r="N391" s="130"/>
      <c r="O391" s="1234"/>
      <c r="P391" s="1234"/>
    </row>
    <row r="392" spans="3:16" s="174" customFormat="1" ht="15">
      <c r="C392" s="801" t="s">
        <v>1455</v>
      </c>
      <c r="D392" s="506"/>
      <c r="E392" s="506"/>
      <c r="F392" s="506"/>
      <c r="G392" s="506"/>
      <c r="H392" s="506"/>
      <c r="I392" s="506"/>
      <c r="J392" s="798" t="s">
        <v>619</v>
      </c>
      <c r="K392" s="506"/>
      <c r="N392" s="130"/>
      <c r="O392" s="1234"/>
      <c r="P392" s="1234"/>
    </row>
    <row r="393" spans="3:16" s="174" customFormat="1" ht="15">
      <c r="C393" s="801" t="s">
        <v>1456</v>
      </c>
      <c r="D393" s="506"/>
      <c r="E393" s="506"/>
      <c r="F393" s="506"/>
      <c r="G393" s="506"/>
      <c r="H393" s="506"/>
      <c r="I393" s="506"/>
      <c r="J393" s="798" t="s">
        <v>1738</v>
      </c>
      <c r="K393" s="506"/>
      <c r="N393" s="130"/>
      <c r="O393" s="1234"/>
      <c r="P393" s="1234"/>
    </row>
    <row r="394" spans="3:16" s="174" customFormat="1" ht="15">
      <c r="C394" s="800" t="s">
        <v>2228</v>
      </c>
      <c r="D394" s="506"/>
      <c r="E394" s="506"/>
      <c r="F394" s="506"/>
      <c r="G394" s="506"/>
      <c r="H394" s="506"/>
      <c r="I394" s="506"/>
      <c r="J394" s="798" t="s">
        <v>1739</v>
      </c>
      <c r="K394" s="506"/>
      <c r="N394" s="130"/>
      <c r="O394" s="1234"/>
      <c r="P394" s="1234"/>
    </row>
    <row r="395" spans="3:16" s="174" customFormat="1" ht="15">
      <c r="C395" s="800" t="s">
        <v>2229</v>
      </c>
      <c r="D395" s="506"/>
      <c r="E395" s="506"/>
      <c r="F395" s="506"/>
      <c r="G395" s="506"/>
      <c r="H395" s="506"/>
      <c r="I395" s="506"/>
      <c r="J395" s="798" t="s">
        <v>1740</v>
      </c>
      <c r="K395" s="551"/>
      <c r="N395" s="130"/>
      <c r="O395" s="1234"/>
      <c r="P395" s="1234"/>
    </row>
    <row r="396" spans="3:16" s="174" customFormat="1" ht="15">
      <c r="C396" s="800" t="s">
        <v>2230</v>
      </c>
      <c r="D396" s="551"/>
      <c r="E396" s="551"/>
      <c r="F396" s="551"/>
      <c r="G396" s="551"/>
      <c r="H396" s="551"/>
      <c r="I396" s="551"/>
      <c r="J396" s="798" t="s">
        <v>37</v>
      </c>
      <c r="K396" s="551"/>
      <c r="N396" s="130"/>
      <c r="O396" s="1234"/>
      <c r="P396" s="1234"/>
    </row>
    <row r="397" spans="3:16" s="174" customFormat="1" ht="15">
      <c r="C397" s="800" t="s">
        <v>2231</v>
      </c>
      <c r="D397" s="551"/>
      <c r="E397" s="551"/>
      <c r="F397" s="551"/>
      <c r="G397" s="551"/>
      <c r="H397" s="551"/>
      <c r="I397" s="551"/>
      <c r="J397" s="802"/>
      <c r="K397" s="551"/>
      <c r="N397" s="130"/>
      <c r="O397" s="1234"/>
      <c r="P397" s="1234"/>
    </row>
    <row r="398" spans="3:16" s="174" customFormat="1">
      <c r="C398" s="800" t="s">
        <v>2232</v>
      </c>
      <c r="D398" s="551"/>
      <c r="E398" s="551"/>
      <c r="F398" s="551"/>
      <c r="G398" s="551"/>
      <c r="H398" s="551"/>
      <c r="I398" s="551"/>
      <c r="J398" s="803" t="s">
        <v>3985</v>
      </c>
      <c r="K398" s="551"/>
      <c r="N398" s="130"/>
      <c r="O398" s="1234"/>
      <c r="P398" s="1234"/>
    </row>
    <row r="399" spans="3:16" s="174" customFormat="1">
      <c r="C399" s="800" t="s">
        <v>1457</v>
      </c>
      <c r="D399" s="551"/>
      <c r="E399" s="551"/>
      <c r="F399" s="551"/>
      <c r="G399" s="551"/>
      <c r="H399" s="551"/>
      <c r="I399" s="551"/>
      <c r="J399" s="803" t="s">
        <v>3986</v>
      </c>
      <c r="K399" s="551"/>
      <c r="N399" s="130"/>
      <c r="O399" s="1234"/>
      <c r="P399" s="1234"/>
    </row>
    <row r="400" spans="3:16" s="174" customFormat="1">
      <c r="C400" s="800" t="s">
        <v>2390</v>
      </c>
      <c r="D400" s="551"/>
      <c r="E400" s="551"/>
      <c r="F400" s="551"/>
      <c r="G400" s="551"/>
      <c r="H400" s="551"/>
      <c r="I400" s="551"/>
      <c r="J400" s="551" t="s">
        <v>3968</v>
      </c>
      <c r="K400" s="551"/>
      <c r="N400" s="130"/>
      <c r="O400" s="1234"/>
      <c r="P400" s="1234"/>
    </row>
    <row r="401" spans="1:16" s="174" customFormat="1">
      <c r="C401" s="551"/>
      <c r="D401" s="551"/>
      <c r="E401" s="551"/>
      <c r="F401" s="551"/>
      <c r="G401" s="551"/>
      <c r="H401" s="551"/>
      <c r="I401" s="551"/>
      <c r="J401" s="551" t="s">
        <v>3969</v>
      </c>
      <c r="K401" s="551"/>
      <c r="N401" s="130"/>
      <c r="O401" s="1234"/>
      <c r="P401" s="1234"/>
    </row>
    <row r="402" spans="1:16" s="174" customFormat="1">
      <c r="C402" s="551"/>
      <c r="D402" s="551"/>
      <c r="E402" s="551"/>
      <c r="F402" s="551"/>
      <c r="G402" s="551"/>
      <c r="H402" s="551"/>
      <c r="I402" s="551"/>
      <c r="J402" s="551" t="s">
        <v>3970</v>
      </c>
      <c r="K402" s="551"/>
      <c r="N402" s="130"/>
      <c r="O402" s="1234"/>
      <c r="P402" s="1234"/>
    </row>
    <row r="403" spans="1:16" s="174" customFormat="1">
      <c r="C403" s="804" t="s">
        <v>3092</v>
      </c>
      <c r="D403" s="551"/>
      <c r="E403" s="551"/>
      <c r="F403" s="551"/>
      <c r="G403" s="805" t="s">
        <v>1578</v>
      </c>
      <c r="H403" s="806"/>
      <c r="I403" s="805"/>
      <c r="J403" s="551" t="s">
        <v>3971</v>
      </c>
      <c r="K403" s="551"/>
      <c r="L403" s="774"/>
      <c r="N403" s="130"/>
      <c r="O403" s="1234"/>
      <c r="P403" s="1234"/>
    </row>
    <row r="404" spans="1:16" s="174" customFormat="1">
      <c r="C404" s="807" t="s">
        <v>3094</v>
      </c>
      <c r="D404" s="551"/>
      <c r="E404" s="551"/>
      <c r="F404" s="551"/>
      <c r="G404" s="808" t="s">
        <v>2647</v>
      </c>
      <c r="H404" s="806"/>
      <c r="I404" s="808"/>
      <c r="J404" s="806" t="s">
        <v>3972</v>
      </c>
      <c r="K404" s="551"/>
      <c r="L404" s="773"/>
      <c r="N404" s="130"/>
      <c r="O404" s="1234"/>
      <c r="P404" s="1234"/>
    </row>
    <row r="405" spans="1:16" s="174" customFormat="1">
      <c r="C405" s="807" t="s">
        <v>3095</v>
      </c>
      <c r="D405" s="551"/>
      <c r="E405" s="551"/>
      <c r="F405" s="551"/>
      <c r="G405" s="808" t="s">
        <v>1869</v>
      </c>
      <c r="H405" s="806"/>
      <c r="I405" s="809"/>
      <c r="J405" s="806" t="s">
        <v>3973</v>
      </c>
      <c r="K405" s="551"/>
      <c r="L405" s="772"/>
      <c r="N405" s="130"/>
      <c r="O405" s="1234"/>
      <c r="P405" s="1234"/>
    </row>
    <row r="406" spans="1:16" s="174" customFormat="1">
      <c r="C406" s="807" t="s">
        <v>3096</v>
      </c>
      <c r="D406" s="551"/>
      <c r="E406" s="551"/>
      <c r="F406" s="551"/>
      <c r="G406" s="808" t="s">
        <v>1714</v>
      </c>
      <c r="H406" s="806"/>
      <c r="I406" s="809"/>
      <c r="J406" s="806" t="s">
        <v>3974</v>
      </c>
      <c r="K406" s="551"/>
      <c r="L406" s="772"/>
      <c r="N406" s="130"/>
      <c r="O406" s="1234"/>
      <c r="P406" s="1234"/>
    </row>
    <row r="407" spans="1:16" s="174" customFormat="1">
      <c r="C407" s="807" t="s">
        <v>3097</v>
      </c>
      <c r="D407" s="551"/>
      <c r="E407" s="551"/>
      <c r="F407" s="551"/>
      <c r="G407" s="808" t="s">
        <v>2171</v>
      </c>
      <c r="H407" s="806"/>
      <c r="I407" s="809"/>
      <c r="J407" s="806" t="s">
        <v>3975</v>
      </c>
      <c r="K407" s="551"/>
      <c r="L407" s="772"/>
      <c r="N407" s="130"/>
      <c r="O407" s="1234"/>
      <c r="P407" s="1234"/>
    </row>
    <row r="408" spans="1:16" s="174" customFormat="1">
      <c r="C408" s="807" t="s">
        <v>3098</v>
      </c>
      <c r="D408" s="551"/>
      <c r="E408" s="551"/>
      <c r="F408" s="551"/>
      <c r="G408" s="808" t="s">
        <v>12</v>
      </c>
      <c r="H408" s="806"/>
      <c r="I408" s="809"/>
      <c r="J408" s="806" t="s">
        <v>3976</v>
      </c>
      <c r="K408" s="551"/>
      <c r="L408" s="772"/>
      <c r="N408" s="130"/>
      <c r="O408" s="1234"/>
      <c r="P408" s="1234"/>
    </row>
    <row r="409" spans="1:16" s="174" customFormat="1">
      <c r="C409" s="807" t="s">
        <v>3099</v>
      </c>
      <c r="D409" s="551"/>
      <c r="E409" s="551"/>
      <c r="F409" s="551"/>
      <c r="G409" s="808" t="s">
        <v>1396</v>
      </c>
      <c r="H409" s="806"/>
      <c r="I409" s="809"/>
      <c r="J409" s="806" t="s">
        <v>3977</v>
      </c>
      <c r="K409" s="551"/>
      <c r="L409" s="772"/>
      <c r="N409" s="130"/>
      <c r="O409" s="1234"/>
      <c r="P409" s="1234"/>
    </row>
    <row r="410" spans="1:16" s="174" customFormat="1">
      <c r="C410" s="807"/>
      <c r="D410" s="551"/>
      <c r="E410" s="551"/>
      <c r="F410" s="551"/>
      <c r="G410" s="808" t="s">
        <v>1579</v>
      </c>
      <c r="H410" s="806"/>
      <c r="I410" s="809"/>
      <c r="J410" s="806" t="s">
        <v>3978</v>
      </c>
      <c r="K410" s="551"/>
      <c r="L410" s="772"/>
      <c r="N410" s="130"/>
      <c r="O410" s="1234"/>
      <c r="P410" s="1234"/>
    </row>
    <row r="411" spans="1:16" s="174" customFormat="1">
      <c r="C411" s="807"/>
      <c r="D411" s="551"/>
      <c r="E411" s="551"/>
      <c r="F411" s="551"/>
      <c r="G411" s="808" t="s">
        <v>1071</v>
      </c>
      <c r="H411" s="806"/>
      <c r="I411" s="809"/>
      <c r="J411" s="806" t="s">
        <v>3979</v>
      </c>
      <c r="K411" s="551"/>
      <c r="L411" s="772"/>
      <c r="N411" s="130"/>
      <c r="O411" s="1234"/>
      <c r="P411" s="1234"/>
    </row>
    <row r="412" spans="1:16" s="174" customFormat="1">
      <c r="C412" s="807"/>
      <c r="D412" s="551"/>
      <c r="E412" s="551"/>
      <c r="F412" s="551"/>
      <c r="G412" s="808" t="s">
        <v>1845</v>
      </c>
      <c r="H412" s="806"/>
      <c r="I412" s="809"/>
      <c r="J412" s="806" t="s">
        <v>3980</v>
      </c>
      <c r="K412" s="551"/>
      <c r="L412" s="772"/>
      <c r="N412" s="130"/>
      <c r="O412" s="1234"/>
      <c r="P412" s="1234"/>
    </row>
    <row r="413" spans="1:16" s="174" customFormat="1">
      <c r="C413" s="551"/>
      <c r="D413" s="551"/>
      <c r="E413" s="551"/>
      <c r="F413" s="551"/>
      <c r="G413" s="808" t="s">
        <v>2611</v>
      </c>
      <c r="H413" s="806"/>
      <c r="I413" s="809"/>
      <c r="J413" s="806" t="s">
        <v>3981</v>
      </c>
      <c r="K413" s="551"/>
      <c r="L413" s="772"/>
      <c r="N413" s="130"/>
      <c r="O413" s="1234"/>
      <c r="P413" s="1234"/>
    </row>
    <row r="414" spans="1:16" s="174" customFormat="1">
      <c r="A414" s="551"/>
      <c r="B414" s="551"/>
      <c r="C414" s="551"/>
      <c r="D414" s="551"/>
      <c r="E414" s="551"/>
      <c r="F414" s="551"/>
      <c r="G414" s="808" t="s">
        <v>2158</v>
      </c>
      <c r="H414" s="806"/>
      <c r="I414" s="809"/>
      <c r="J414" s="806" t="s">
        <v>3982</v>
      </c>
      <c r="K414" s="551"/>
      <c r="L414" s="772"/>
      <c r="N414" s="130"/>
      <c r="O414" s="1234"/>
      <c r="P414" s="1234"/>
    </row>
    <row r="415" spans="1:16" s="174" customFormat="1">
      <c r="A415" s="804" t="s">
        <v>3101</v>
      </c>
      <c r="B415" s="551"/>
      <c r="C415" s="551"/>
      <c r="D415" s="551"/>
      <c r="E415" s="551"/>
      <c r="F415" s="551"/>
      <c r="G415" s="808" t="s">
        <v>631</v>
      </c>
      <c r="H415" s="806"/>
      <c r="I415" s="809"/>
      <c r="J415" s="806" t="s">
        <v>3983</v>
      </c>
      <c r="K415" s="551"/>
      <c r="L415" s="772"/>
      <c r="N415" s="130"/>
      <c r="O415" s="1234"/>
      <c r="P415" s="1234"/>
    </row>
    <row r="416" spans="1:16" s="174" customFormat="1">
      <c r="A416" s="804" t="s">
        <v>3137</v>
      </c>
      <c r="B416" s="551"/>
      <c r="C416" s="551"/>
      <c r="D416" s="551"/>
      <c r="E416" s="551"/>
      <c r="F416" s="551"/>
      <c r="G416" s="808" t="s">
        <v>348</v>
      </c>
      <c r="H416" s="806"/>
      <c r="I416" s="809"/>
      <c r="J416" s="806" t="s">
        <v>3984</v>
      </c>
      <c r="K416" s="551"/>
      <c r="L416" s="772"/>
      <c r="N416" s="130"/>
      <c r="O416" s="1234"/>
      <c r="P416" s="1234"/>
    </row>
    <row r="417" spans="1:16" s="174" customFormat="1">
      <c r="A417" s="807" t="s">
        <v>3869</v>
      </c>
      <c r="B417" s="551"/>
      <c r="C417" s="551"/>
      <c r="D417" s="810"/>
      <c r="E417" s="811">
        <v>2</v>
      </c>
      <c r="F417" s="551"/>
      <c r="G417" s="808" t="s">
        <v>915</v>
      </c>
      <c r="H417" s="806"/>
      <c r="I417" s="809"/>
      <c r="J417" s="806"/>
      <c r="K417" s="551"/>
      <c r="L417" s="772"/>
      <c r="N417" s="130"/>
      <c r="O417" s="1234"/>
      <c r="P417" s="1234"/>
    </row>
    <row r="418" spans="1:16" s="174" customFormat="1">
      <c r="A418" s="807" t="s">
        <v>3871</v>
      </c>
      <c r="B418" s="551"/>
      <c r="C418" s="551"/>
      <c r="D418" s="810"/>
      <c r="E418" s="811">
        <v>3</v>
      </c>
      <c r="F418" s="551"/>
      <c r="G418" s="808" t="s">
        <v>2020</v>
      </c>
      <c r="H418" s="806"/>
      <c r="I418" s="809"/>
      <c r="J418" s="806"/>
      <c r="K418" s="551"/>
      <c r="L418" s="772"/>
      <c r="N418" s="130"/>
      <c r="O418" s="1234"/>
      <c r="P418" s="1234"/>
    </row>
    <row r="419" spans="1:16" s="174" customFormat="1">
      <c r="A419" s="807" t="s">
        <v>3870</v>
      </c>
      <c r="B419" s="551"/>
      <c r="C419" s="551"/>
      <c r="D419" s="810"/>
      <c r="E419" s="811">
        <v>1</v>
      </c>
      <c r="F419" s="551"/>
      <c r="G419" s="808" t="s">
        <v>474</v>
      </c>
      <c r="H419" s="806"/>
      <c r="I419" s="809"/>
      <c r="J419" s="806"/>
      <c r="K419" s="551"/>
      <c r="L419" s="772"/>
      <c r="N419" s="130"/>
      <c r="O419" s="1234"/>
      <c r="P419" s="1234"/>
    </row>
    <row r="420" spans="1:16" s="174" customFormat="1">
      <c r="A420" s="807" t="s">
        <v>3872</v>
      </c>
      <c r="B420" s="551"/>
      <c r="C420" s="551"/>
      <c r="D420" s="810"/>
      <c r="E420" s="811">
        <v>2</v>
      </c>
      <c r="F420" s="551"/>
      <c r="G420" s="808" t="s">
        <v>243</v>
      </c>
      <c r="H420" s="806"/>
      <c r="I420" s="809"/>
      <c r="J420" s="806"/>
      <c r="K420" s="551"/>
      <c r="L420" s="772"/>
      <c r="N420" s="130"/>
      <c r="O420" s="1234"/>
      <c r="P420" s="1234"/>
    </row>
    <row r="421" spans="1:16" s="174" customFormat="1">
      <c r="A421" s="807" t="s">
        <v>3873</v>
      </c>
      <c r="B421" s="551"/>
      <c r="C421" s="551"/>
      <c r="D421" s="810"/>
      <c r="E421" s="811">
        <v>1</v>
      </c>
      <c r="F421" s="551"/>
      <c r="G421" s="808" t="s">
        <v>1279</v>
      </c>
      <c r="H421" s="806"/>
      <c r="I421" s="809"/>
      <c r="J421" s="806"/>
      <c r="K421" s="551"/>
      <c r="L421" s="772"/>
      <c r="N421" s="130"/>
      <c r="O421" s="1234"/>
      <c r="P421" s="1234"/>
    </row>
    <row r="422" spans="1:16" s="174" customFormat="1">
      <c r="A422" s="807" t="s">
        <v>3864</v>
      </c>
      <c r="B422" s="551"/>
      <c r="C422" s="551"/>
      <c r="D422" s="810"/>
      <c r="E422" s="811">
        <v>2</v>
      </c>
      <c r="F422" s="551"/>
      <c r="G422" s="808" t="s">
        <v>1281</v>
      </c>
      <c r="H422" s="806"/>
      <c r="I422" s="809"/>
      <c r="J422" s="806"/>
      <c r="K422" s="551"/>
      <c r="L422" s="772"/>
      <c r="N422" s="130"/>
      <c r="O422" s="1234"/>
      <c r="P422" s="1234"/>
    </row>
    <row r="423" spans="1:16" s="174" customFormat="1">
      <c r="A423" s="807" t="s">
        <v>3874</v>
      </c>
      <c r="B423" s="551"/>
      <c r="C423" s="551"/>
      <c r="D423" s="810"/>
      <c r="E423" s="811">
        <v>2</v>
      </c>
      <c r="F423" s="551"/>
      <c r="G423" s="808" t="s">
        <v>1715</v>
      </c>
      <c r="H423" s="809"/>
      <c r="I423" s="806"/>
      <c r="J423" s="806"/>
      <c r="K423" s="551"/>
      <c r="L423" s="772"/>
      <c r="N423" s="130"/>
      <c r="O423" s="1234"/>
      <c r="P423" s="1234"/>
    </row>
    <row r="424" spans="1:16" s="174" customFormat="1">
      <c r="A424" s="807" t="s">
        <v>3865</v>
      </c>
      <c r="B424" s="551"/>
      <c r="C424" s="551"/>
      <c r="D424" s="810"/>
      <c r="E424" s="811">
        <v>3</v>
      </c>
      <c r="F424" s="551"/>
      <c r="G424" s="808" t="s">
        <v>1032</v>
      </c>
      <c r="H424" s="809"/>
      <c r="I424" s="806"/>
      <c r="J424" s="806"/>
      <c r="K424" s="551"/>
      <c r="L424" s="772"/>
      <c r="N424" s="130"/>
      <c r="O424" s="1234"/>
      <c r="P424" s="1234"/>
    </row>
    <row r="425" spans="1:16" s="174" customFormat="1">
      <c r="A425" s="807" t="s">
        <v>3863</v>
      </c>
      <c r="B425" s="551"/>
      <c r="C425" s="551"/>
      <c r="D425" s="810"/>
      <c r="E425" s="811">
        <v>1</v>
      </c>
      <c r="F425" s="551"/>
      <c r="G425" s="808" t="s">
        <v>600</v>
      </c>
      <c r="H425" s="809"/>
      <c r="I425" s="806"/>
      <c r="J425" s="806"/>
      <c r="K425" s="551"/>
      <c r="L425" s="772"/>
      <c r="N425" s="130"/>
      <c r="O425" s="1234"/>
      <c r="P425" s="1234"/>
    </row>
    <row r="426" spans="1:16" s="174" customFormat="1">
      <c r="A426" s="807" t="s">
        <v>3138</v>
      </c>
      <c r="B426" s="551"/>
      <c r="C426" s="551"/>
      <c r="D426" s="810"/>
      <c r="E426" s="810"/>
      <c r="F426" s="551"/>
      <c r="G426" s="808" t="s">
        <v>1716</v>
      </c>
      <c r="H426" s="809"/>
      <c r="I426" s="806"/>
      <c r="J426" s="806"/>
      <c r="K426" s="551"/>
      <c r="L426" s="772"/>
      <c r="N426" s="130"/>
      <c r="O426" s="1234"/>
      <c r="P426" s="1234"/>
    </row>
    <row r="427" spans="1:16" s="174" customFormat="1">
      <c r="A427" s="551"/>
      <c r="B427" s="551"/>
      <c r="C427" s="807"/>
      <c r="D427" s="551"/>
      <c r="E427" s="551"/>
      <c r="F427" s="551"/>
      <c r="G427" s="808" t="s">
        <v>1763</v>
      </c>
      <c r="H427" s="809"/>
      <c r="I427" s="806"/>
      <c r="J427" s="806"/>
      <c r="K427" s="551"/>
      <c r="L427" s="772"/>
      <c r="N427" s="130"/>
      <c r="O427" s="1234"/>
      <c r="P427" s="1234"/>
    </row>
    <row r="428" spans="1:16" s="174" customFormat="1">
      <c r="C428" s="807"/>
      <c r="D428" s="551"/>
      <c r="E428" s="551"/>
      <c r="F428" s="551"/>
      <c r="G428" s="808" t="s">
        <v>1827</v>
      </c>
      <c r="H428" s="809"/>
      <c r="I428" s="806"/>
      <c r="J428" s="806"/>
      <c r="K428" s="551"/>
      <c r="L428" s="772"/>
      <c r="N428" s="130"/>
      <c r="O428" s="1234"/>
      <c r="P428" s="1234"/>
    </row>
    <row r="429" spans="1:16" s="174" customFormat="1">
      <c r="C429" s="807"/>
      <c r="D429" s="551"/>
      <c r="E429" s="551"/>
      <c r="F429" s="551"/>
      <c r="G429" s="808" t="s">
        <v>3917</v>
      </c>
      <c r="H429" s="809"/>
      <c r="I429" s="806"/>
      <c r="J429" s="806"/>
      <c r="K429" s="551"/>
      <c r="L429" s="772"/>
      <c r="N429" s="130"/>
      <c r="O429" s="1234"/>
      <c r="P429" s="1234"/>
    </row>
    <row r="430" spans="1:16" s="174" customFormat="1">
      <c r="C430" s="807"/>
      <c r="D430" s="551"/>
      <c r="E430" s="551"/>
      <c r="F430" s="551"/>
      <c r="G430" s="808" t="s">
        <v>862</v>
      </c>
      <c r="H430" s="809"/>
      <c r="I430" s="806"/>
      <c r="J430" s="806"/>
      <c r="K430" s="551"/>
      <c r="L430" s="772"/>
      <c r="N430" s="130"/>
      <c r="O430" s="1234"/>
      <c r="P430" s="1234"/>
    </row>
    <row r="431" spans="1:16" s="174" customFormat="1">
      <c r="C431" s="551"/>
      <c r="D431" s="551"/>
      <c r="E431" s="551"/>
      <c r="F431" s="551"/>
      <c r="G431" s="808" t="s">
        <v>184</v>
      </c>
      <c r="H431" s="809"/>
      <c r="I431" s="806"/>
      <c r="J431" s="806"/>
      <c r="K431" s="551"/>
      <c r="L431" s="772"/>
      <c r="N431" s="130"/>
      <c r="O431" s="1234"/>
      <c r="P431" s="1234"/>
    </row>
    <row r="432" spans="1:16" s="174" customFormat="1">
      <c r="C432" s="551"/>
      <c r="D432" s="551"/>
      <c r="E432" s="551"/>
      <c r="F432" s="551"/>
      <c r="G432" s="808" t="s">
        <v>544</v>
      </c>
      <c r="H432" s="809"/>
      <c r="I432" s="806"/>
      <c r="J432" s="806"/>
      <c r="K432" s="551"/>
      <c r="L432" s="772"/>
      <c r="N432" s="130"/>
      <c r="O432" s="1234"/>
      <c r="P432" s="1234"/>
    </row>
    <row r="433" spans="3:16" s="174" customFormat="1">
      <c r="C433" s="551"/>
      <c r="D433" s="551"/>
      <c r="E433" s="551"/>
      <c r="F433" s="551"/>
      <c r="G433" s="808" t="s">
        <v>552</v>
      </c>
      <c r="H433" s="809"/>
      <c r="I433" s="806"/>
      <c r="J433" s="806"/>
      <c r="K433" s="551"/>
      <c r="L433" s="772"/>
      <c r="N433" s="130"/>
      <c r="O433" s="1234"/>
      <c r="P433" s="1234"/>
    </row>
    <row r="434" spans="3:16" s="174" customFormat="1">
      <c r="C434" s="551"/>
      <c r="D434" s="551"/>
      <c r="E434" s="551"/>
      <c r="F434" s="551"/>
      <c r="G434" s="808" t="s">
        <v>2195</v>
      </c>
      <c r="H434" s="809"/>
      <c r="I434" s="806"/>
      <c r="J434" s="806"/>
      <c r="K434" s="551"/>
      <c r="L434" s="772"/>
      <c r="N434" s="130"/>
      <c r="O434" s="1234"/>
      <c r="P434" s="1234"/>
    </row>
    <row r="435" spans="3:16" s="174" customFormat="1">
      <c r="C435" s="551"/>
      <c r="D435" s="551"/>
      <c r="E435" s="551"/>
      <c r="F435" s="551"/>
      <c r="G435" s="808" t="s">
        <v>2356</v>
      </c>
      <c r="H435" s="809"/>
      <c r="I435" s="806"/>
      <c r="J435" s="806"/>
      <c r="K435" s="551"/>
      <c r="L435" s="772"/>
      <c r="N435" s="130"/>
      <c r="O435" s="1234"/>
      <c r="P435" s="1234"/>
    </row>
    <row r="436" spans="3:16" s="174" customFormat="1" ht="13.5">
      <c r="C436" s="551"/>
      <c r="D436" s="812"/>
      <c r="E436" s="551"/>
      <c r="F436" s="551"/>
      <c r="G436" s="808" t="s">
        <v>412</v>
      </c>
      <c r="H436" s="813"/>
      <c r="I436" s="806"/>
      <c r="J436" s="806"/>
      <c r="K436" s="551"/>
      <c r="L436" s="772"/>
      <c r="N436" s="130"/>
      <c r="O436" s="1234"/>
      <c r="P436" s="1234"/>
    </row>
    <row r="437" spans="3:16" s="174" customFormat="1" ht="13.5">
      <c r="C437" s="551"/>
      <c r="D437" s="812"/>
      <c r="E437" s="551"/>
      <c r="F437" s="551"/>
      <c r="G437" s="808" t="s">
        <v>2222</v>
      </c>
      <c r="H437" s="813"/>
      <c r="I437" s="806"/>
      <c r="J437" s="806"/>
      <c r="K437" s="551"/>
      <c r="L437" s="772"/>
      <c r="N437" s="130"/>
      <c r="O437" s="1234"/>
      <c r="P437" s="1234"/>
    </row>
    <row r="438" spans="3:16" s="174" customFormat="1" ht="13.5">
      <c r="C438" s="551"/>
      <c r="D438" s="814"/>
      <c r="E438" s="551"/>
      <c r="F438" s="551"/>
      <c r="G438" s="808" t="s">
        <v>1513</v>
      </c>
      <c r="H438" s="813"/>
      <c r="I438" s="806"/>
      <c r="J438" s="806"/>
      <c r="K438" s="551"/>
      <c r="L438" s="772"/>
      <c r="N438" s="130"/>
      <c r="O438" s="1234"/>
      <c r="P438" s="1234"/>
    </row>
    <row r="439" spans="3:16" s="174" customFormat="1">
      <c r="C439" s="551"/>
      <c r="D439" s="814"/>
      <c r="E439" s="814"/>
      <c r="F439" s="551"/>
      <c r="G439" s="808" t="s">
        <v>1632</v>
      </c>
      <c r="H439" s="806"/>
      <c r="I439" s="806"/>
      <c r="J439" s="806"/>
      <c r="K439" s="551"/>
      <c r="L439" s="772"/>
      <c r="N439" s="130"/>
      <c r="O439" s="1234"/>
      <c r="P439" s="1234"/>
    </row>
    <row r="440" spans="3:16" s="174" customFormat="1">
      <c r="C440" s="551"/>
      <c r="D440" s="551"/>
      <c r="E440" s="551"/>
      <c r="F440" s="551"/>
      <c r="G440" s="808" t="s">
        <v>256</v>
      </c>
      <c r="H440" s="806"/>
      <c r="I440" s="806"/>
      <c r="J440" s="806"/>
      <c r="K440" s="551"/>
      <c r="L440" s="772"/>
      <c r="N440" s="130"/>
      <c r="O440" s="1234"/>
      <c r="P440" s="1234"/>
    </row>
    <row r="441" spans="3:16" s="174" customFormat="1">
      <c r="C441" s="551"/>
      <c r="D441" s="551"/>
      <c r="E441" s="551"/>
      <c r="F441" s="551"/>
      <c r="G441" s="808" t="s">
        <v>69</v>
      </c>
      <c r="H441" s="806"/>
      <c r="I441" s="806"/>
      <c r="J441" s="806"/>
      <c r="K441" s="551"/>
      <c r="L441" s="760"/>
      <c r="N441" s="130"/>
      <c r="O441" s="1234"/>
      <c r="P441" s="1234"/>
    </row>
    <row r="442" spans="3:16" s="174" customFormat="1" ht="13.5">
      <c r="C442" s="812"/>
      <c r="D442" s="551"/>
      <c r="E442" s="551"/>
      <c r="F442" s="551"/>
      <c r="G442" s="808" t="s">
        <v>2376</v>
      </c>
      <c r="H442" s="806"/>
      <c r="I442" s="806"/>
      <c r="J442" s="806"/>
      <c r="K442" s="551"/>
      <c r="L442" s="775"/>
      <c r="N442" s="130"/>
      <c r="O442" s="1234"/>
      <c r="P442" s="1234"/>
    </row>
    <row r="443" spans="3:16" s="174" customFormat="1" ht="13.5">
      <c r="C443" s="812"/>
      <c r="D443" s="551"/>
      <c r="E443" s="551"/>
      <c r="F443" s="551"/>
      <c r="G443" s="815" t="s">
        <v>2265</v>
      </c>
      <c r="H443" s="806"/>
      <c r="I443" s="806"/>
      <c r="J443" s="806"/>
      <c r="K443" s="551"/>
      <c r="L443" s="775"/>
      <c r="N443" s="130"/>
      <c r="O443" s="1234"/>
      <c r="P443" s="1234"/>
    </row>
    <row r="444" spans="3:16" s="174" customFormat="1" ht="13.5">
      <c r="C444" s="812"/>
      <c r="D444" s="551"/>
      <c r="E444" s="551"/>
      <c r="F444" s="551"/>
      <c r="G444" s="815" t="s">
        <v>1717</v>
      </c>
      <c r="H444" s="806"/>
      <c r="I444" s="806"/>
      <c r="J444" s="806"/>
      <c r="K444" s="551"/>
      <c r="L444" s="775"/>
      <c r="N444" s="130"/>
      <c r="O444" s="1234"/>
      <c r="P444" s="1234"/>
    </row>
    <row r="445" spans="3:16" s="174" customFormat="1" ht="13.5">
      <c r="C445" s="812"/>
      <c r="D445" s="551"/>
      <c r="E445" s="551"/>
      <c r="F445" s="551"/>
      <c r="G445" s="815" t="s">
        <v>2368</v>
      </c>
      <c r="H445" s="806"/>
      <c r="I445" s="806"/>
      <c r="J445" s="806"/>
      <c r="K445" s="551"/>
      <c r="L445" s="775"/>
      <c r="N445" s="130"/>
      <c r="O445" s="1234"/>
      <c r="P445" s="1234"/>
    </row>
    <row r="446" spans="3:16" s="174" customFormat="1" ht="13.5">
      <c r="C446" s="812"/>
      <c r="D446" s="551"/>
      <c r="E446" s="551"/>
      <c r="F446" s="551"/>
      <c r="G446" s="815" t="s">
        <v>2227</v>
      </c>
      <c r="H446" s="806"/>
      <c r="I446" s="806"/>
      <c r="J446" s="806"/>
      <c r="K446" s="806"/>
      <c r="N446" s="130"/>
      <c r="O446" s="1234"/>
      <c r="P446" s="1234"/>
    </row>
    <row r="447" spans="3:16" s="174" customFormat="1" ht="13.5">
      <c r="C447" s="812"/>
      <c r="D447" s="551"/>
      <c r="E447" s="551"/>
      <c r="F447" s="551"/>
      <c r="G447" s="815" t="s">
        <v>1718</v>
      </c>
      <c r="H447" s="806"/>
      <c r="I447" s="806"/>
      <c r="J447" s="806"/>
      <c r="K447" s="806"/>
      <c r="N447" s="130"/>
      <c r="O447" s="1234"/>
      <c r="P447" s="1234"/>
    </row>
    <row r="448" spans="3:16" s="174" customFormat="1" ht="13.5">
      <c r="C448" s="812"/>
      <c r="D448" s="551"/>
      <c r="E448" s="551"/>
      <c r="F448" s="551"/>
      <c r="G448" s="815" t="s">
        <v>2443</v>
      </c>
      <c r="H448" s="806"/>
      <c r="I448" s="806"/>
      <c r="J448" s="806"/>
      <c r="K448" s="806"/>
      <c r="N448" s="130"/>
      <c r="O448" s="1234"/>
      <c r="P448" s="1234"/>
    </row>
    <row r="449" spans="1:19" s="174" customFormat="1" ht="13.5">
      <c r="C449" s="814"/>
      <c r="D449" s="551"/>
      <c r="E449" s="551"/>
      <c r="F449" s="551"/>
      <c r="G449" s="815" t="s">
        <v>1770</v>
      </c>
      <c r="H449" s="806"/>
      <c r="I449" s="806"/>
      <c r="J449" s="806"/>
      <c r="K449" s="806"/>
      <c r="N449" s="130"/>
      <c r="O449" s="1234"/>
      <c r="P449" s="1234"/>
    </row>
    <row r="450" spans="1:19" s="174" customFormat="1" ht="13.5">
      <c r="C450" s="814"/>
      <c r="D450" s="551"/>
      <c r="E450" s="551"/>
      <c r="F450" s="551"/>
      <c r="G450" s="813" t="s">
        <v>2369</v>
      </c>
      <c r="H450" s="806"/>
      <c r="I450" s="806"/>
      <c r="J450" s="806"/>
      <c r="K450" s="806"/>
      <c r="N450" s="130"/>
      <c r="O450" s="1234"/>
      <c r="P450" s="1234"/>
    </row>
    <row r="451" spans="1:19" s="174" customFormat="1" ht="13.5">
      <c r="C451" s="551"/>
      <c r="D451" s="551"/>
      <c r="E451" s="551"/>
      <c r="F451" s="551"/>
      <c r="G451" s="813" t="s">
        <v>1780</v>
      </c>
      <c r="H451" s="806"/>
      <c r="I451" s="806"/>
      <c r="J451" s="806"/>
      <c r="K451" s="806"/>
      <c r="N451" s="130"/>
      <c r="O451" s="1234"/>
      <c r="P451" s="1234"/>
    </row>
    <row r="452" spans="1:19" ht="13.5">
      <c r="A452" s="174"/>
      <c r="B452" s="174"/>
      <c r="C452" s="551"/>
      <c r="D452" s="551"/>
      <c r="E452" s="551"/>
      <c r="F452" s="551"/>
      <c r="G452" s="813" t="s">
        <v>1785</v>
      </c>
      <c r="H452" s="806"/>
      <c r="I452" s="806"/>
      <c r="J452" s="806"/>
      <c r="K452" s="806"/>
      <c r="L452" s="174"/>
      <c r="M452" s="174"/>
      <c r="N452" s="130"/>
      <c r="Q452" s="174"/>
      <c r="R452" s="174"/>
      <c r="S452" s="174"/>
    </row>
    <row r="453" spans="1:19" ht="13.5">
      <c r="A453" s="174"/>
      <c r="B453" s="174"/>
      <c r="C453" s="551"/>
      <c r="D453" s="551"/>
      <c r="E453" s="551"/>
      <c r="F453" s="551"/>
      <c r="G453" s="813" t="s">
        <v>1788</v>
      </c>
      <c r="H453" s="806"/>
      <c r="I453" s="806"/>
      <c r="J453" s="806"/>
      <c r="K453" s="806"/>
      <c r="L453" s="174"/>
      <c r="M453" s="174"/>
      <c r="N453" s="130"/>
      <c r="Q453" s="174"/>
      <c r="R453" s="174"/>
      <c r="S453" s="174"/>
    </row>
    <row r="454" spans="1:19" ht="13.5">
      <c r="A454" s="174"/>
      <c r="B454" s="174"/>
      <c r="C454" s="551"/>
      <c r="D454" s="551"/>
      <c r="E454" s="551"/>
      <c r="F454" s="551"/>
      <c r="G454" s="813" t="s">
        <v>1793</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309</v>
      </c>
      <c r="H456" s="806"/>
      <c r="I456" s="806"/>
      <c r="J456" s="806"/>
      <c r="K456" s="806"/>
      <c r="L456" s="174"/>
      <c r="M456" s="174"/>
      <c r="N456" s="130"/>
      <c r="Q456" s="174"/>
      <c r="R456" s="174"/>
      <c r="S456" s="174"/>
    </row>
    <row r="457" spans="1:19" ht="13.5">
      <c r="A457" s="174"/>
      <c r="B457" s="174"/>
      <c r="C457" s="551"/>
      <c r="D457" s="551"/>
      <c r="E457" s="551"/>
      <c r="F457" s="551"/>
      <c r="G457" s="816" t="s">
        <v>310</v>
      </c>
      <c r="H457" s="551"/>
      <c r="I457" s="551"/>
      <c r="J457" s="806"/>
      <c r="K457" s="551"/>
      <c r="L457" s="174"/>
      <c r="M457" s="174"/>
      <c r="N457" s="130"/>
      <c r="Q457" s="174"/>
      <c r="R457" s="174"/>
      <c r="S457" s="174"/>
    </row>
    <row r="458" spans="1:19" ht="13.5">
      <c r="A458" s="174"/>
      <c r="B458" s="174"/>
      <c r="C458" s="551"/>
      <c r="D458" s="551"/>
      <c r="E458" s="551"/>
      <c r="F458" s="551"/>
      <c r="G458" s="816" t="s">
        <v>1619</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MWx6fVX9IphVz1ZQLXnBhMR4/67jVmST+vf5bqC89wX7AEn8fqgDVLSOXL3Fw6FDtgu0Tngs4Lyg8c4ZI7LQiA==" saltValue="WvKXj4p8pBMU1XTML86BkQ=="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02" t="s">
        <v>4244</v>
      </c>
    </row>
    <row r="2" spans="1:6" s="32" customFormat="1" ht="13.5" customHeight="1">
      <c r="A2" s="1200" t="str">
        <f>'Part I-Project Information'!$F$24</f>
        <v>Arbor Trace Apartments Phase II</v>
      </c>
    </row>
    <row r="3" spans="1:6" s="32" customFormat="1" ht="13.5" customHeight="1">
      <c r="A3" s="1200" t="str">
        <f>CONCATENATE('Part I-Project Information'!$F$28,", ", 'Part I-Project Information'!$J$29," County")</f>
        <v>Lake Park, Lowndes County</v>
      </c>
    </row>
    <row r="4" spans="1:6" s="32" customFormat="1" ht="13.5" customHeight="1">
      <c r="A4" s="1201"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196" t="s">
        <v>2849</v>
      </c>
      <c r="B6" s="1585" t="s">
        <v>2850</v>
      </c>
      <c r="C6" s="1353"/>
      <c r="D6" s="1353"/>
      <c r="E6" s="1353"/>
      <c r="F6" s="1353"/>
    </row>
    <row r="7" spans="1:6" ht="6.6" customHeight="1">
      <c r="A7" s="2196"/>
      <c r="B7" s="1585"/>
      <c r="C7" s="1353"/>
      <c r="D7" s="1353"/>
      <c r="E7" s="1353"/>
      <c r="F7" s="1353"/>
    </row>
    <row r="8" spans="1:6" ht="134.25" customHeight="1">
      <c r="A8" s="2196"/>
      <c r="C8" s="1198"/>
    </row>
    <row r="9" spans="1:6" ht="6.6" customHeight="1">
      <c r="A9" s="2196"/>
    </row>
    <row r="10" spans="1:6" ht="111" customHeight="1">
      <c r="A10" s="2196"/>
    </row>
    <row r="11" spans="1:6" ht="6.6" customHeight="1">
      <c r="A11" s="2196"/>
    </row>
    <row r="12" spans="1:6" ht="111" customHeight="1">
      <c r="A12" s="2196"/>
    </row>
    <row r="13" spans="1:6" ht="6.6" customHeight="1">
      <c r="A13" s="2196"/>
    </row>
    <row r="14" spans="1:6" ht="111" customHeight="1">
      <c r="A14" s="2196"/>
    </row>
    <row r="15" spans="1:6" ht="6.6" customHeight="1">
      <c r="A15" s="2196"/>
    </row>
    <row r="16" spans="1:6" ht="111" customHeight="1">
      <c r="A16" s="2196"/>
    </row>
    <row r="17" spans="1:1" ht="6.6" customHeight="1">
      <c r="A17" s="2196"/>
    </row>
    <row r="18" spans="1:1" ht="111" customHeight="1">
      <c r="A18" s="2196"/>
    </row>
    <row r="19" spans="1:1" ht="6.6" customHeight="1">
      <c r="A19" s="2196"/>
    </row>
    <row r="20" spans="1:1" ht="105.75" customHeight="1">
      <c r="A20" s="2196"/>
    </row>
    <row r="21" spans="1:1" ht="6.6" customHeight="1">
      <c r="A21" s="2196"/>
    </row>
    <row r="22" spans="1:1" ht="105.75" customHeight="1">
      <c r="A22" s="2196"/>
    </row>
    <row r="23" spans="1:1" ht="6.6" customHeight="1">
      <c r="A23" s="2196"/>
    </row>
    <row r="24" spans="1:1" ht="105.75" customHeight="1">
      <c r="A24" s="2196"/>
    </row>
    <row r="25" spans="1:1" ht="6.6" customHeight="1">
      <c r="A25" s="1199"/>
    </row>
  </sheetData>
  <sheetProtection algorithmName="SHA-512" hashValue="ugpq/oPQlFSUdOSewootFgO0q6VOjNa3Rd/d7HBNyMF17Giej8vgxd2XbGvWWv5ic/BcHHrNyowhm9mL2VQing==" saltValue="EnZKHb0tnvkoLI89pAwwA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5" customWidth="1"/>
    <col min="4" max="4" width="15.42578125" style="935" customWidth="1"/>
    <col min="5" max="5" width="4.7109375" style="935" customWidth="1"/>
    <col min="6" max="9" width="12.7109375" style="935" customWidth="1"/>
    <col min="10" max="10" width="5.140625" style="935" customWidth="1"/>
    <col min="11" max="16384" width="9.140625" style="935"/>
  </cols>
  <sheetData>
    <row r="1" spans="1:11" ht="15.75">
      <c r="A1" s="1888" t="s">
        <v>3339</v>
      </c>
      <c r="B1" s="1888"/>
      <c r="C1" s="1888"/>
      <c r="D1" s="1888"/>
      <c r="E1" s="1888"/>
      <c r="F1" s="1888"/>
      <c r="G1" s="1888"/>
      <c r="H1" s="1888"/>
      <c r="I1" s="1888"/>
      <c r="J1" s="1888"/>
    </row>
    <row r="2" spans="1:11" ht="15.75">
      <c r="A2" s="1888" t="str">
        <f>Overview!C8</f>
        <v>Arbor Trace Apartments Phase II</v>
      </c>
      <c r="B2" s="1888"/>
      <c r="C2" s="1888"/>
      <c r="D2" s="1888"/>
      <c r="E2" s="1888"/>
      <c r="F2" s="1888"/>
      <c r="G2" s="1888"/>
      <c r="H2" s="1888"/>
      <c r="I2" s="1888"/>
      <c r="J2" s="1888"/>
    </row>
    <row r="3" spans="1:11" ht="15.75">
      <c r="A3" s="1888" t="str">
        <f>'Subsidy Layering Memo'!F14</f>
        <v>Lake Park, Lowndes</v>
      </c>
      <c r="B3" s="1888"/>
      <c r="C3" s="1888"/>
      <c r="D3" s="1888"/>
      <c r="E3" s="1888"/>
      <c r="F3" s="1888"/>
      <c r="G3" s="1888"/>
      <c r="H3" s="1888"/>
      <c r="I3" s="1888"/>
      <c r="J3" s="1888"/>
    </row>
    <row r="4" spans="1:11" ht="15.75">
      <c r="A4" s="1889" t="s">
        <v>3340</v>
      </c>
      <c r="B4" s="1888"/>
      <c r="C4" s="1888"/>
      <c r="D4" s="1888"/>
      <c r="E4" s="1888"/>
      <c r="F4" s="1888"/>
      <c r="G4" s="1888"/>
      <c r="H4" s="1888"/>
      <c r="I4" s="1888"/>
      <c r="J4" s="1888"/>
    </row>
    <row r="5" spans="1:11" ht="5.25" customHeight="1"/>
    <row r="6" spans="1:11" ht="5.25" customHeight="1"/>
    <row r="7" spans="1:11" ht="15.75">
      <c r="A7" s="1890" t="s">
        <v>3341</v>
      </c>
      <c r="B7" s="1890"/>
      <c r="C7" s="1891"/>
    </row>
    <row r="8" spans="1:11" ht="123" customHeight="1">
      <c r="A8" s="1884" t="s">
        <v>3894</v>
      </c>
      <c r="B8" s="1884"/>
      <c r="C8" s="1884"/>
      <c r="D8" s="1884"/>
      <c r="E8" s="1884"/>
      <c r="F8" s="1884"/>
      <c r="G8" s="1884"/>
      <c r="H8" s="1884"/>
      <c r="I8" s="1884"/>
      <c r="J8" s="1884"/>
      <c r="K8" s="936"/>
    </row>
    <row r="9" spans="1:11" ht="15.75">
      <c r="A9" s="937" t="s">
        <v>3342</v>
      </c>
    </row>
    <row r="10" spans="1:11" ht="31.5" customHeight="1">
      <c r="A10" s="1884" t="str">
        <f>'Subsidy Layering Memo'!A44</f>
        <v xml:space="preserve">Ownership entity:  (NAME) LP, a Georgia Limited Partnership, will be the ownership entity for the proposed project. </v>
      </c>
      <c r="B10" s="1885"/>
      <c r="C10" s="1885"/>
      <c r="D10" s="1885"/>
      <c r="E10" s="1885"/>
      <c r="F10" s="1885"/>
      <c r="G10" s="1885"/>
      <c r="H10" s="1885"/>
      <c r="I10" s="1885"/>
      <c r="J10" s="1884"/>
    </row>
    <row r="11" spans="1:11" ht="76.5" customHeight="1">
      <c r="A11" s="1884"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4"/>
      <c r="C11" s="1884"/>
      <c r="D11" s="1884"/>
      <c r="E11" s="1884"/>
      <c r="F11" s="1884"/>
      <c r="G11" s="1884"/>
      <c r="H11" s="1884"/>
      <c r="I11" s="1884"/>
      <c r="J11" s="1884"/>
    </row>
    <row r="12" spans="1:11" ht="62.25" customHeight="1">
      <c r="A12" s="1884"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4"/>
      <c r="C12" s="1884"/>
      <c r="D12" s="1884"/>
      <c r="E12" s="1884"/>
      <c r="F12" s="1884"/>
      <c r="G12" s="1884"/>
      <c r="H12" s="1884"/>
      <c r="I12" s="1884"/>
      <c r="J12" s="1884"/>
    </row>
    <row r="13" spans="1:11" ht="15.75">
      <c r="A13" s="937" t="s">
        <v>3343</v>
      </c>
      <c r="B13" s="938"/>
    </row>
    <row r="14" spans="1:11">
      <c r="A14" s="935" t="s">
        <v>3344</v>
      </c>
      <c r="E14" s="939" t="s">
        <v>3345</v>
      </c>
    </row>
    <row r="15" spans="1:11">
      <c r="A15" s="935" t="s">
        <v>3346</v>
      </c>
      <c r="D15" s="940">
        <f>Overview!C25</f>
        <v>1329420</v>
      </c>
    </row>
    <row r="16" spans="1:11">
      <c r="A16" s="941" t="s">
        <v>3347</v>
      </c>
      <c r="D16" s="942">
        <f>Overview!C13</f>
        <v>42</v>
      </c>
    </row>
    <row r="17" spans="1:11" ht="14.25" customHeight="1"/>
    <row r="18" spans="1:11" ht="15.75">
      <c r="A18" s="937" t="s">
        <v>3348</v>
      </c>
      <c r="B18" s="938"/>
      <c r="C18" s="938"/>
    </row>
    <row r="19" spans="1:11" ht="54" customHeight="1">
      <c r="A19" s="1886"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6"/>
      <c r="C19" s="1886"/>
      <c r="D19" s="1886"/>
      <c r="E19" s="1886"/>
      <c r="F19" s="1886"/>
      <c r="G19" s="1886"/>
      <c r="H19" s="1886"/>
      <c r="I19" s="1886"/>
      <c r="J19" s="1886"/>
    </row>
    <row r="20" spans="1:11" ht="91.5" customHeight="1">
      <c r="A20" s="1884"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4"/>
      <c r="C20" s="1884"/>
      <c r="D20" s="1884"/>
      <c r="E20" s="1884"/>
      <c r="F20" s="1884"/>
      <c r="G20" s="1884"/>
      <c r="H20" s="1884"/>
      <c r="I20" s="1884"/>
      <c r="J20" s="1884"/>
    </row>
    <row r="21" spans="1:11" ht="15.75">
      <c r="A21" s="937" t="s">
        <v>3349</v>
      </c>
      <c r="B21" s="938"/>
      <c r="C21" s="938"/>
      <c r="D21" s="938"/>
      <c r="E21" s="938"/>
      <c r="F21" s="938"/>
    </row>
    <row r="22" spans="1:11" ht="134.25" customHeight="1">
      <c r="A22" s="188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7"/>
      <c r="C22" s="1887"/>
      <c r="D22" s="1887"/>
      <c r="E22" s="1887"/>
      <c r="F22" s="1887"/>
      <c r="G22" s="1887"/>
      <c r="H22" s="1887"/>
      <c r="I22" s="1887"/>
      <c r="J22" s="1887"/>
      <c r="K22" s="943"/>
    </row>
    <row r="23" spans="1:11" ht="15" customHeight="1">
      <c r="A23" s="1884"/>
      <c r="B23" s="1884"/>
      <c r="C23" s="1884"/>
      <c r="D23" s="1884"/>
      <c r="E23" s="1884"/>
      <c r="F23" s="1884"/>
      <c r="G23" s="1884"/>
      <c r="H23" s="1884"/>
      <c r="I23" s="1884"/>
      <c r="J23" s="1884"/>
      <c r="K23" s="935" t="s">
        <v>254</v>
      </c>
    </row>
    <row r="24" spans="1:11" ht="15" customHeight="1">
      <c r="B24" s="944"/>
      <c r="C24" s="944"/>
      <c r="D24" s="944"/>
      <c r="E24" s="944"/>
      <c r="F24" s="944"/>
      <c r="G24" s="944"/>
      <c r="H24" s="944"/>
      <c r="I24" s="944" t="s">
        <v>254</v>
      </c>
      <c r="J24" s="944"/>
    </row>
    <row r="25" spans="1:11" ht="15.75">
      <c r="A25" s="938" t="s">
        <v>3350</v>
      </c>
    </row>
    <row r="27" spans="1:11" ht="15.75" thickBot="1">
      <c r="A27" s="945"/>
      <c r="B27" s="945"/>
      <c r="C27" s="945"/>
      <c r="D27" s="945"/>
      <c r="F27" s="945"/>
      <c r="G27" s="945"/>
      <c r="H27" s="945"/>
      <c r="I27" s="945"/>
    </row>
    <row r="28" spans="1:11">
      <c r="A28" s="935" t="s">
        <v>3351</v>
      </c>
      <c r="D28" s="935" t="s">
        <v>968</v>
      </c>
      <c r="F28" s="935" t="s">
        <v>3352</v>
      </c>
      <c r="I28" s="935" t="s">
        <v>968</v>
      </c>
      <c r="J28" s="935"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9"/>
    <col min="2" max="2" width="7.7109375" style="949" customWidth="1"/>
    <col min="3" max="3" width="14.85546875" style="949" customWidth="1"/>
    <col min="4" max="4" width="20.28515625" style="949" customWidth="1"/>
    <col min="5" max="5" width="8" style="949" customWidth="1"/>
    <col min="6" max="6" width="5.140625" style="949" customWidth="1"/>
    <col min="7" max="7" width="5.42578125" style="949" customWidth="1"/>
    <col min="8" max="8" width="8.5703125" style="949" customWidth="1"/>
    <col min="9" max="9" width="28.5703125" style="949" customWidth="1"/>
    <col min="10" max="10" width="4.140625" style="949" hidden="1" customWidth="1"/>
    <col min="11" max="11" width="9.140625" style="949"/>
    <col min="12" max="12" width="16.140625" style="949" customWidth="1"/>
    <col min="13" max="13" width="11.28515625" style="949" customWidth="1"/>
    <col min="14" max="14" width="10.85546875" style="949" bestFit="1" customWidth="1"/>
    <col min="15" max="16384" width="9.140625" style="949"/>
  </cols>
  <sheetData>
    <row r="2" spans="1:10" ht="15">
      <c r="A2" s="946" t="s">
        <v>3353</v>
      </c>
      <c r="B2" s="947"/>
      <c r="C2" s="947"/>
      <c r="D2" s="947"/>
      <c r="E2" s="948"/>
      <c r="F2" s="947"/>
      <c r="G2" s="947"/>
      <c r="H2" s="947"/>
      <c r="I2" s="947"/>
      <c r="J2" s="947"/>
    </row>
    <row r="3" spans="1:10" ht="15">
      <c r="A3" s="950"/>
    </row>
    <row r="4" spans="1:10" ht="15">
      <c r="A4" s="950" t="s">
        <v>3354</v>
      </c>
      <c r="D4" s="949" t="s">
        <v>3355</v>
      </c>
    </row>
    <row r="5" spans="1:10" ht="15">
      <c r="A5" s="950"/>
    </row>
    <row r="6" spans="1:10" ht="15">
      <c r="A6" s="950" t="s">
        <v>3356</v>
      </c>
      <c r="D6" s="949" t="s">
        <v>3357</v>
      </c>
    </row>
    <row r="7" spans="1:10" ht="15">
      <c r="A7" s="950"/>
    </row>
    <row r="8" spans="1:10" ht="15">
      <c r="A8" s="950" t="s">
        <v>3358</v>
      </c>
      <c r="D8" s="951" t="s">
        <v>3359</v>
      </c>
    </row>
    <row r="9" spans="1:10" ht="15">
      <c r="A9" s="950"/>
    </row>
    <row r="10" spans="1:10" ht="15">
      <c r="A10" s="950" t="s">
        <v>3360</v>
      </c>
      <c r="D10" s="951" t="s">
        <v>3361</v>
      </c>
    </row>
    <row r="11" spans="1:10" ht="15">
      <c r="A11" s="950"/>
      <c r="D11" s="952"/>
    </row>
    <row r="12" spans="1:10" ht="15">
      <c r="A12" s="950" t="s">
        <v>3362</v>
      </c>
      <c r="D12" s="949" t="s">
        <v>647</v>
      </c>
      <c r="F12" s="952" t="str">
        <f>Overview!$C$8</f>
        <v>Arbor Trace Apartments Phase II</v>
      </c>
    </row>
    <row r="13" spans="1:10" ht="15">
      <c r="A13" s="950"/>
      <c r="D13" s="949" t="s">
        <v>3363</v>
      </c>
      <c r="F13" s="952" t="str">
        <f>Overview!E8</f>
        <v>2015-026</v>
      </c>
    </row>
    <row r="14" spans="1:10" ht="15">
      <c r="A14" s="950"/>
      <c r="D14" s="949" t="s">
        <v>3364</v>
      </c>
      <c r="F14" s="952" t="str">
        <f>Overview!H8</f>
        <v>Lake Park, Lowndes</v>
      </c>
    </row>
    <row r="15" spans="1:10" ht="15">
      <c r="A15" s="950"/>
      <c r="D15" s="949" t="s">
        <v>3752</v>
      </c>
      <c r="F15" s="953">
        <f>Overview!$C$25</f>
        <v>1329420</v>
      </c>
    </row>
    <row r="16" spans="1:10" ht="15">
      <c r="A16" s="950"/>
      <c r="D16" s="954" t="s">
        <v>3365</v>
      </c>
      <c r="F16" s="955">
        <f>Overview!C13</f>
        <v>42</v>
      </c>
      <c r="G16" s="956" t="s">
        <v>3753</v>
      </c>
      <c r="H16" s="952">
        <f>Overview!D13</f>
        <v>42</v>
      </c>
    </row>
    <row r="17" spans="1:18" ht="15">
      <c r="A17" s="950"/>
      <c r="D17" s="954" t="s">
        <v>3304</v>
      </c>
      <c r="F17" s="952" t="str">
        <f>Overview!C14</f>
        <v>Family</v>
      </c>
    </row>
    <row r="18" spans="1:18" ht="15">
      <c r="A18" s="950"/>
      <c r="D18" s="954" t="s">
        <v>3758</v>
      </c>
      <c r="F18" s="952" t="str">
        <f>Overview!H15</f>
        <v>Rural</v>
      </c>
    </row>
    <row r="19" spans="1:18" ht="15">
      <c r="A19" s="950"/>
      <c r="D19" s="954" t="s">
        <v>3754</v>
      </c>
      <c r="F19" s="952">
        <f>Overview!E16</f>
        <v>0</v>
      </c>
    </row>
    <row r="20" spans="1:18" ht="15">
      <c r="A20" s="950"/>
      <c r="D20" s="954"/>
    </row>
    <row r="21" spans="1:18" ht="15">
      <c r="A21" s="957" t="s">
        <v>3366</v>
      </c>
    </row>
    <row r="22" spans="1:18" ht="111.75" customHeight="1">
      <c r="A22" s="1901" t="s">
        <v>4281</v>
      </c>
      <c r="B22" s="1901"/>
      <c r="C22" s="1901"/>
      <c r="D22" s="1901"/>
      <c r="E22" s="1901"/>
      <c r="F22" s="1901"/>
      <c r="G22" s="1901"/>
      <c r="H22" s="1901"/>
      <c r="I22" s="1901"/>
      <c r="J22" s="1901"/>
      <c r="L22" s="1906" t="s">
        <v>3763</v>
      </c>
      <c r="M22" s="1906"/>
      <c r="N22" s="1906"/>
      <c r="O22" s="1906"/>
      <c r="P22" s="1906"/>
      <c r="Q22" s="1906"/>
      <c r="R22" s="1906"/>
    </row>
    <row r="23" spans="1:18" ht="0.75" hidden="1" customHeight="1">
      <c r="A23" s="958"/>
      <c r="B23" s="958"/>
      <c r="C23" s="958"/>
      <c r="D23" s="958"/>
      <c r="E23" s="958"/>
      <c r="F23" s="958"/>
      <c r="G23" s="958"/>
      <c r="H23" s="958"/>
      <c r="I23" s="958"/>
      <c r="J23" s="958"/>
    </row>
    <row r="24" spans="1:18" ht="9.75" hidden="1" customHeight="1">
      <c r="A24" s="1907"/>
      <c r="B24" s="1907"/>
      <c r="C24" s="1907"/>
      <c r="D24" s="1907"/>
      <c r="E24" s="1907"/>
      <c r="F24" s="1907"/>
      <c r="G24" s="1907"/>
      <c r="H24" s="1907"/>
      <c r="I24" s="1907"/>
      <c r="J24" s="1907"/>
    </row>
    <row r="25" spans="1:18" ht="10.5" hidden="1" customHeight="1">
      <c r="A25" s="1908"/>
      <c r="B25" s="1908"/>
      <c r="C25" s="1908"/>
      <c r="D25" s="1908"/>
      <c r="E25" s="1908"/>
      <c r="F25" s="1908"/>
      <c r="G25" s="1908"/>
      <c r="H25" s="1908"/>
      <c r="I25" s="1908"/>
      <c r="J25" s="1908"/>
    </row>
    <row r="26" spans="1:18" ht="15">
      <c r="A26" s="957" t="s">
        <v>3367</v>
      </c>
    </row>
    <row r="27" spans="1:18" ht="14.25" customHeight="1">
      <c r="A27" s="1909" t="s">
        <v>3368</v>
      </c>
      <c r="B27" s="1909"/>
      <c r="C27" s="1909"/>
      <c r="D27" s="1909"/>
      <c r="E27" s="1909"/>
      <c r="F27" s="1909"/>
      <c r="G27" s="1909"/>
      <c r="H27" s="1909"/>
      <c r="I27" s="1909"/>
      <c r="J27" s="1909"/>
    </row>
    <row r="28" spans="1:18" ht="14.25" customHeight="1">
      <c r="A28" s="1909"/>
      <c r="B28" s="1909"/>
      <c r="C28" s="1909"/>
      <c r="D28" s="1909"/>
      <c r="E28" s="1909"/>
      <c r="F28" s="1909"/>
      <c r="G28" s="1909"/>
      <c r="H28" s="1909"/>
      <c r="I28" s="1909"/>
      <c r="J28" s="1909"/>
    </row>
    <row r="29" spans="1:18" ht="6.75" customHeight="1">
      <c r="A29" s="1909"/>
      <c r="B29" s="1909"/>
      <c r="C29" s="1909"/>
      <c r="D29" s="1909"/>
      <c r="E29" s="1909"/>
      <c r="F29" s="1909"/>
      <c r="G29" s="1909"/>
      <c r="H29" s="1909"/>
      <c r="I29" s="1909"/>
      <c r="J29" s="1909"/>
    </row>
    <row r="30" spans="1:18" ht="14.25" customHeight="1">
      <c r="A30" s="1909"/>
      <c r="B30" s="1909"/>
      <c r="C30" s="1909"/>
      <c r="D30" s="1909"/>
      <c r="E30" s="1909"/>
      <c r="F30" s="1909"/>
      <c r="G30" s="1909"/>
      <c r="H30" s="1909"/>
      <c r="I30" s="1909"/>
      <c r="J30" s="1909"/>
    </row>
    <row r="31" spans="1:18" ht="14.25" customHeight="1">
      <c r="A31" s="1909"/>
      <c r="B31" s="1909"/>
      <c r="C31" s="1909"/>
      <c r="D31" s="1909"/>
      <c r="E31" s="1909"/>
      <c r="F31" s="1909"/>
      <c r="G31" s="1909"/>
      <c r="H31" s="1909"/>
      <c r="I31" s="1909"/>
      <c r="J31" s="1909"/>
    </row>
    <row r="32" spans="1:18" ht="54.75" customHeight="1">
      <c r="A32" s="1909"/>
      <c r="B32" s="1909"/>
      <c r="C32" s="1909"/>
      <c r="D32" s="1909"/>
      <c r="E32" s="1909"/>
      <c r="F32" s="1909"/>
      <c r="G32" s="1909"/>
      <c r="H32" s="1909"/>
      <c r="I32" s="1909"/>
      <c r="J32" s="1909"/>
    </row>
    <row r="33" spans="1:10" ht="0.75" hidden="1" customHeight="1">
      <c r="A33" s="1909"/>
      <c r="B33" s="1909"/>
      <c r="C33" s="1909"/>
      <c r="D33" s="1909"/>
      <c r="E33" s="1909"/>
      <c r="F33" s="1909"/>
      <c r="G33" s="1909"/>
      <c r="H33" s="1909"/>
      <c r="I33" s="1909"/>
      <c r="J33" s="1909"/>
    </row>
    <row r="34" spans="1:10" ht="3.75" hidden="1" customHeight="1">
      <c r="A34" s="1909"/>
      <c r="B34" s="1909"/>
      <c r="C34" s="1909"/>
      <c r="D34" s="1909"/>
      <c r="E34" s="1909"/>
      <c r="F34" s="1909"/>
      <c r="G34" s="1909"/>
      <c r="H34" s="1909"/>
      <c r="I34" s="1909"/>
      <c r="J34" s="1909"/>
    </row>
    <row r="35" spans="1:10" ht="5.25" customHeight="1">
      <c r="A35" s="959"/>
      <c r="B35" s="959"/>
      <c r="C35" s="959"/>
      <c r="D35" s="959"/>
      <c r="E35" s="959"/>
      <c r="F35" s="959"/>
      <c r="G35" s="959"/>
      <c r="H35" s="959"/>
      <c r="I35" s="959"/>
      <c r="J35" s="959"/>
    </row>
    <row r="36" spans="1:10" ht="19.5" customHeight="1">
      <c r="A36" s="1907" t="s">
        <v>3369</v>
      </c>
      <c r="B36" s="1907"/>
      <c r="C36" s="1907"/>
      <c r="D36" s="958"/>
      <c r="E36" s="958"/>
      <c r="F36" s="958"/>
      <c r="G36" s="958"/>
      <c r="H36" s="958"/>
      <c r="I36" s="958"/>
      <c r="J36" s="958"/>
    </row>
    <row r="37" spans="1:10" ht="15" customHeight="1">
      <c r="A37" s="1895"/>
      <c r="B37" s="1895"/>
      <c r="C37" s="1895"/>
      <c r="D37" s="1895"/>
      <c r="E37" s="1895"/>
      <c r="F37" s="1895"/>
      <c r="G37" s="1895"/>
      <c r="H37" s="1895"/>
      <c r="I37" s="1895"/>
      <c r="J37" s="1895"/>
    </row>
    <row r="38" spans="1:10" ht="33.75" customHeight="1">
      <c r="A38" s="1895"/>
      <c r="B38" s="1895"/>
      <c r="C38" s="1895"/>
      <c r="D38" s="1895"/>
      <c r="E38" s="1895"/>
      <c r="F38" s="1895"/>
      <c r="G38" s="1895"/>
      <c r="H38" s="1895"/>
      <c r="I38" s="1895"/>
      <c r="J38" s="1895"/>
    </row>
    <row r="39" spans="1:10" ht="2.25" customHeight="1">
      <c r="A39" s="958"/>
      <c r="B39" s="958"/>
      <c r="C39" s="958"/>
      <c r="D39" s="958"/>
      <c r="E39" s="958"/>
      <c r="F39" s="958"/>
      <c r="G39" s="958"/>
      <c r="H39" s="958"/>
      <c r="I39" s="958"/>
      <c r="J39" s="958"/>
    </row>
    <row r="40" spans="1:10" ht="15">
      <c r="A40" s="957" t="s">
        <v>3370</v>
      </c>
    </row>
    <row r="41" spans="1:10" ht="135" customHeight="1">
      <c r="A41" s="1908" t="s">
        <v>3895</v>
      </c>
      <c r="B41" s="1908"/>
      <c r="C41" s="1908"/>
      <c r="D41" s="1908"/>
      <c r="E41" s="1908"/>
      <c r="F41" s="1908"/>
      <c r="G41" s="1908"/>
      <c r="H41" s="1908"/>
      <c r="I41" s="1908"/>
      <c r="J41" s="1908"/>
    </row>
    <row r="42" spans="1:10" ht="6" customHeight="1">
      <c r="A42" s="960"/>
      <c r="B42" s="960"/>
      <c r="C42" s="960"/>
      <c r="D42" s="960"/>
      <c r="E42" s="960"/>
      <c r="F42" s="960"/>
      <c r="G42" s="960"/>
      <c r="H42" s="960"/>
      <c r="I42" s="960"/>
      <c r="J42" s="960"/>
    </row>
    <row r="43" spans="1:10" ht="15">
      <c r="A43" s="957" t="s">
        <v>3371</v>
      </c>
    </row>
    <row r="44" spans="1:10" ht="33" customHeight="1">
      <c r="A44" s="1895" t="s">
        <v>3372</v>
      </c>
      <c r="B44" s="1900"/>
      <c r="C44" s="1900"/>
      <c r="D44" s="1900"/>
      <c r="E44" s="1900"/>
      <c r="F44" s="1900"/>
      <c r="G44" s="1900"/>
      <c r="H44" s="1900"/>
      <c r="I44" s="1900"/>
      <c r="J44" s="1895"/>
    </row>
    <row r="45" spans="1:10" ht="3" customHeight="1"/>
    <row r="46" spans="1:10" ht="72.75" customHeight="1">
      <c r="A46" s="1895" t="s">
        <v>3373</v>
      </c>
      <c r="B46" s="1895"/>
      <c r="C46" s="1895"/>
      <c r="D46" s="1895"/>
      <c r="E46" s="1895"/>
      <c r="F46" s="1895"/>
      <c r="G46" s="1895"/>
      <c r="H46" s="1895"/>
      <c r="I46" s="1895"/>
      <c r="J46" s="1895"/>
    </row>
    <row r="47" spans="1:10" ht="3" customHeight="1">
      <c r="A47" s="958"/>
      <c r="B47" s="958"/>
      <c r="C47" s="958"/>
      <c r="D47" s="958"/>
      <c r="E47" s="958"/>
      <c r="F47" s="958"/>
      <c r="G47" s="958"/>
      <c r="H47" s="958"/>
      <c r="I47" s="958"/>
      <c r="J47" s="958"/>
    </row>
    <row r="48" spans="1:10" ht="56.25" customHeight="1">
      <c r="A48" s="1895" t="s">
        <v>3374</v>
      </c>
      <c r="B48" s="1895"/>
      <c r="C48" s="1895"/>
      <c r="D48" s="1895"/>
      <c r="E48" s="1895"/>
      <c r="F48" s="1895"/>
      <c r="G48" s="1895"/>
      <c r="H48" s="1895"/>
      <c r="I48" s="1895"/>
      <c r="J48" s="1895"/>
    </row>
    <row r="49" spans="1:17" ht="3" customHeight="1">
      <c r="A49" s="958"/>
      <c r="B49" s="958"/>
      <c r="C49" s="958"/>
      <c r="D49" s="958"/>
      <c r="E49" s="958"/>
      <c r="F49" s="958"/>
      <c r="G49" s="958"/>
      <c r="H49" s="958"/>
      <c r="I49" s="958"/>
      <c r="J49" s="958"/>
    </row>
    <row r="50" spans="1:17" ht="49.5" customHeight="1">
      <c r="A50" s="1895" t="s">
        <v>3375</v>
      </c>
      <c r="B50" s="1895"/>
      <c r="C50" s="1895"/>
      <c r="D50" s="1895"/>
      <c r="E50" s="1895"/>
      <c r="F50" s="1895"/>
      <c r="G50" s="1895"/>
      <c r="H50" s="1895"/>
      <c r="I50" s="1895"/>
      <c r="J50" s="958"/>
    </row>
    <row r="51" spans="1:17" ht="3" customHeight="1">
      <c r="A51" s="958"/>
      <c r="B51" s="958"/>
      <c r="C51" s="958"/>
      <c r="D51" s="958"/>
      <c r="E51" s="958"/>
      <c r="F51" s="958"/>
      <c r="G51" s="958"/>
      <c r="H51" s="958"/>
      <c r="I51" s="958"/>
      <c r="J51" s="958"/>
    </row>
    <row r="52" spans="1:17" ht="54.75" customHeight="1">
      <c r="A52" s="1905" t="s">
        <v>3764</v>
      </c>
      <c r="B52" s="1894"/>
      <c r="C52" s="1894"/>
      <c r="D52" s="1894"/>
      <c r="E52" s="1894"/>
      <c r="F52" s="1894"/>
      <c r="G52" s="1894"/>
      <c r="H52" s="1894"/>
      <c r="I52" s="1894"/>
      <c r="J52" s="958"/>
    </row>
    <row r="53" spans="1:17" ht="3" customHeight="1">
      <c r="A53" s="958"/>
      <c r="B53" s="958"/>
      <c r="C53" s="958"/>
      <c r="D53" s="958"/>
      <c r="E53" s="958"/>
      <c r="F53" s="958"/>
      <c r="G53" s="958"/>
      <c r="H53" s="958"/>
      <c r="I53" s="958"/>
      <c r="J53" s="958"/>
    </row>
    <row r="54" spans="1:17" ht="62.25" customHeight="1">
      <c r="A54" s="1894" t="s">
        <v>3376</v>
      </c>
      <c r="B54" s="1894"/>
      <c r="C54" s="1894"/>
      <c r="D54" s="1894"/>
      <c r="E54" s="1894"/>
      <c r="F54" s="1894"/>
      <c r="G54" s="1894"/>
      <c r="H54" s="1894"/>
      <c r="I54" s="1894"/>
      <c r="J54" s="1894"/>
    </row>
    <row r="55" spans="1:17" ht="3" customHeight="1"/>
    <row r="56" spans="1:17" ht="73.5" customHeight="1">
      <c r="A56" s="1895" t="s">
        <v>3377</v>
      </c>
      <c r="B56" s="1895"/>
      <c r="C56" s="1895"/>
      <c r="D56" s="1895"/>
      <c r="E56" s="1895"/>
      <c r="F56" s="1895"/>
      <c r="G56" s="1895"/>
      <c r="H56" s="1895"/>
      <c r="I56" s="1895"/>
      <c r="J56" s="1895"/>
    </row>
    <row r="57" spans="1:17" ht="6" customHeight="1">
      <c r="A57" s="958" t="s">
        <v>254</v>
      </c>
      <c r="B57" s="958"/>
      <c r="C57" s="958"/>
      <c r="D57" s="958"/>
      <c r="E57" s="958"/>
      <c r="F57" s="958"/>
      <c r="G57" s="958"/>
      <c r="H57" s="958"/>
      <c r="I57" s="958"/>
      <c r="J57" s="958"/>
    </row>
    <row r="58" spans="1:17" ht="15">
      <c r="A58" s="957" t="s">
        <v>3378</v>
      </c>
      <c r="L58" s="961" t="s">
        <v>4273</v>
      </c>
    </row>
    <row r="59" spans="1:17" ht="73.5" customHeight="1">
      <c r="A59" s="1901" t="s">
        <v>3379</v>
      </c>
      <c r="B59" s="1901"/>
      <c r="C59" s="1901"/>
      <c r="D59" s="1901"/>
      <c r="E59" s="1901"/>
      <c r="F59" s="1901"/>
      <c r="G59" s="1901"/>
      <c r="H59" s="1901"/>
      <c r="I59" s="1901"/>
      <c r="J59" s="1901"/>
      <c r="L59" s="962">
        <f>'Closing term sheet'!C135</f>
        <v>390006.5</v>
      </c>
      <c r="M59" s="963"/>
      <c r="N59" s="963"/>
      <c r="O59" s="963"/>
    </row>
    <row r="60" spans="1:17" ht="7.5" customHeight="1">
      <c r="A60" s="958"/>
      <c r="B60" s="958"/>
      <c r="C60" s="958"/>
      <c r="D60" s="958"/>
      <c r="E60" s="958"/>
      <c r="F60" s="958"/>
      <c r="G60" s="958"/>
      <c r="H60" s="958"/>
      <c r="I60" s="958"/>
      <c r="J60" s="958"/>
      <c r="L60" s="964" t="s">
        <v>4274</v>
      </c>
      <c r="M60" s="965" t="s">
        <v>4279</v>
      </c>
      <c r="N60" s="966" t="s">
        <v>4276</v>
      </c>
      <c r="O60" s="964" t="s">
        <v>4275</v>
      </c>
      <c r="P60" s="965" t="s">
        <v>4278</v>
      </c>
      <c r="Q60" s="966" t="s">
        <v>4277</v>
      </c>
    </row>
    <row r="61" spans="1:17" ht="78.75" customHeight="1">
      <c r="A61" s="1894" t="s">
        <v>3896</v>
      </c>
      <c r="B61" s="1894"/>
      <c r="C61" s="1894"/>
      <c r="D61" s="1894"/>
      <c r="E61" s="1894"/>
      <c r="F61" s="1894"/>
      <c r="G61" s="1894"/>
      <c r="H61" s="1894"/>
      <c r="I61" s="1894"/>
      <c r="J61" s="967"/>
      <c r="L61" s="968">
        <f>'Part III-Sources of Funds'!I44</f>
        <v>3309295</v>
      </c>
      <c r="M61" s="969">
        <f>'Part IV-Uses of Funds'!$J$173</f>
        <v>359705.74626865669</v>
      </c>
      <c r="N61" s="970">
        <f>'Part IV-Uses of Funds'!N166</f>
        <v>0.92</v>
      </c>
      <c r="O61" s="968">
        <f>'Part III-Sources of Funds'!I45</f>
        <v>1510762</v>
      </c>
      <c r="P61" s="969">
        <f>M61</f>
        <v>359705.74626865669</v>
      </c>
      <c r="Q61" s="970">
        <f>'Part IV-Uses of Funds'!Q166</f>
        <v>0.42</v>
      </c>
    </row>
    <row r="62" spans="1:17" ht="18.75" customHeight="1">
      <c r="A62" s="971" t="s">
        <v>3380</v>
      </c>
    </row>
    <row r="63" spans="1:17" ht="159.75" customHeight="1">
      <c r="A63" s="1894" t="s">
        <v>3897</v>
      </c>
      <c r="B63" s="1894"/>
      <c r="C63" s="1894"/>
      <c r="D63" s="1894"/>
      <c r="E63" s="1894"/>
      <c r="F63" s="1894"/>
      <c r="G63" s="1894"/>
      <c r="H63" s="1894"/>
      <c r="I63" s="1894"/>
      <c r="J63" s="1894"/>
      <c r="L63" s="972">
        <f>'Part VII-Pro Forma'!K65</f>
        <v>785886.95311177569</v>
      </c>
      <c r="M63" s="1892" t="s">
        <v>4280</v>
      </c>
      <c r="N63" s="1893"/>
    </row>
    <row r="64" spans="1:17" ht="6" customHeight="1">
      <c r="A64" s="957"/>
    </row>
    <row r="65" spans="1:10" ht="15">
      <c r="A65" s="957" t="s">
        <v>3381</v>
      </c>
    </row>
    <row r="66" spans="1:10" ht="66.75" customHeight="1">
      <c r="A66" s="1894" t="s">
        <v>3382</v>
      </c>
      <c r="B66" s="1894"/>
      <c r="C66" s="1894"/>
      <c r="D66" s="1894"/>
      <c r="E66" s="1894"/>
      <c r="F66" s="1894"/>
      <c r="G66" s="1894"/>
      <c r="H66" s="1894"/>
      <c r="I66" s="1894"/>
      <c r="J66" s="1894"/>
    </row>
    <row r="67" spans="1:10" ht="36" customHeight="1">
      <c r="A67" s="1894" t="s">
        <v>3383</v>
      </c>
      <c r="B67" s="1894"/>
      <c r="C67" s="1894"/>
      <c r="D67" s="1894"/>
      <c r="E67" s="1894"/>
      <c r="F67" s="1894"/>
      <c r="G67" s="1894"/>
      <c r="H67" s="1894"/>
      <c r="I67" s="1894"/>
      <c r="J67" s="1894"/>
    </row>
    <row r="68" spans="1:10" ht="6" customHeight="1">
      <c r="A68" s="957"/>
    </row>
    <row r="69" spans="1:10" ht="15">
      <c r="A69" s="957" t="s">
        <v>3384</v>
      </c>
    </row>
    <row r="70" spans="1:10" ht="105.75" customHeight="1">
      <c r="A70" s="1895" t="s">
        <v>3385</v>
      </c>
      <c r="B70" s="1895"/>
      <c r="C70" s="1895"/>
      <c r="D70" s="1895"/>
      <c r="E70" s="1895"/>
      <c r="F70" s="1895"/>
      <c r="G70" s="1895"/>
      <c r="H70" s="1895"/>
      <c r="I70" s="1895"/>
      <c r="J70" s="1895"/>
    </row>
    <row r="71" spans="1:10" ht="6" customHeight="1">
      <c r="A71" s="957"/>
    </row>
    <row r="72" spans="1:10" ht="15">
      <c r="A72" s="957" t="s">
        <v>3386</v>
      </c>
    </row>
    <row r="73" spans="1:10" ht="66" customHeight="1">
      <c r="A73" s="1895" t="s">
        <v>3387</v>
      </c>
      <c r="B73" s="1895"/>
      <c r="C73" s="1895"/>
      <c r="D73" s="1895"/>
      <c r="E73" s="1895"/>
      <c r="F73" s="1895"/>
      <c r="G73" s="1895"/>
      <c r="H73" s="1895"/>
      <c r="I73" s="1895"/>
      <c r="J73" s="1895"/>
    </row>
    <row r="74" spans="1:10" s="959" customFormat="1" ht="6" customHeight="1">
      <c r="A74" s="1895"/>
      <c r="B74" s="1895"/>
      <c r="C74" s="1895"/>
      <c r="D74" s="1895"/>
      <c r="E74" s="1895"/>
      <c r="F74" s="1895"/>
      <c r="G74" s="1895"/>
      <c r="H74" s="1895"/>
      <c r="I74" s="1895"/>
      <c r="J74" s="1895"/>
    </row>
    <row r="75" spans="1:10" ht="16.5" customHeight="1">
      <c r="A75" s="973" t="s">
        <v>3388</v>
      </c>
      <c r="B75" s="956"/>
      <c r="C75" s="956"/>
      <c r="D75" s="956"/>
      <c r="E75" s="956"/>
      <c r="F75" s="956"/>
      <c r="G75" s="956"/>
      <c r="H75" s="956"/>
      <c r="I75" s="956"/>
      <c r="J75" s="974"/>
    </row>
    <row r="76" spans="1:10" s="959" customFormat="1" ht="63" customHeight="1">
      <c r="A76" s="1895" t="s">
        <v>3389</v>
      </c>
      <c r="B76" s="1895"/>
      <c r="C76" s="1895"/>
      <c r="D76" s="1895"/>
      <c r="E76" s="1895"/>
      <c r="F76" s="1895"/>
      <c r="G76" s="1895"/>
      <c r="H76" s="1895"/>
      <c r="I76" s="1895"/>
      <c r="J76" s="1895"/>
    </row>
    <row r="77" spans="1:10" s="959" customFormat="1" ht="6" customHeight="1">
      <c r="A77" s="958"/>
      <c r="B77" s="958"/>
      <c r="C77" s="958"/>
      <c r="D77" s="958"/>
      <c r="E77" s="958"/>
      <c r="F77" s="958"/>
      <c r="G77" s="958"/>
      <c r="H77" s="958"/>
      <c r="I77" s="958"/>
      <c r="J77" s="958"/>
    </row>
    <row r="78" spans="1:10" ht="16.5" customHeight="1">
      <c r="A78" s="1902" t="s">
        <v>3390</v>
      </c>
      <c r="B78" s="1903"/>
      <c r="C78" s="1903"/>
      <c r="D78" s="956"/>
      <c r="E78" s="956"/>
      <c r="F78" s="956"/>
      <c r="G78" s="956"/>
      <c r="H78" s="956"/>
      <c r="I78" s="956"/>
      <c r="J78" s="974"/>
    </row>
    <row r="79" spans="1:10" ht="41.25" customHeight="1">
      <c r="A79" s="1894" t="s">
        <v>3898</v>
      </c>
      <c r="B79" s="1904"/>
      <c r="C79" s="1904"/>
      <c r="D79" s="1904"/>
      <c r="E79" s="1904"/>
      <c r="F79" s="1904"/>
      <c r="G79" s="1904"/>
      <c r="H79" s="1904"/>
      <c r="I79" s="1904"/>
      <c r="J79" s="1904"/>
    </row>
    <row r="80" spans="1:10" ht="6" customHeight="1">
      <c r="A80" s="975"/>
      <c r="B80" s="956"/>
      <c r="C80" s="956"/>
      <c r="D80" s="956"/>
      <c r="E80" s="956"/>
      <c r="F80" s="956"/>
      <c r="G80" s="956"/>
      <c r="H80" s="956"/>
      <c r="I80" s="956"/>
      <c r="J80" s="974"/>
    </row>
    <row r="81" spans="1:15" ht="15">
      <c r="A81" s="957" t="s">
        <v>3391</v>
      </c>
    </row>
    <row r="82" spans="1:15" ht="139.5" customHeight="1">
      <c r="A82" s="1894" t="s">
        <v>3392</v>
      </c>
      <c r="B82" s="1894"/>
      <c r="C82" s="1894"/>
      <c r="D82" s="1894"/>
      <c r="E82" s="1894"/>
      <c r="F82" s="1894"/>
      <c r="G82" s="1894"/>
      <c r="H82" s="1894"/>
      <c r="I82" s="1894"/>
      <c r="J82" s="1894"/>
      <c r="L82" s="1898" t="s">
        <v>3393</v>
      </c>
      <c r="M82" s="1898"/>
      <c r="N82" s="1898"/>
    </row>
    <row r="83" spans="1:15" ht="6" customHeight="1">
      <c r="A83" s="976"/>
      <c r="B83" s="976"/>
      <c r="C83" s="976"/>
      <c r="D83" s="976"/>
      <c r="E83" s="976"/>
      <c r="F83" s="976"/>
      <c r="G83" s="976"/>
      <c r="H83" s="976"/>
      <c r="I83" s="976"/>
      <c r="J83" s="976"/>
      <c r="L83" s="977"/>
      <c r="M83" s="977"/>
      <c r="N83" s="977"/>
    </row>
    <row r="84" spans="1:15" ht="17.25" customHeight="1">
      <c r="A84" s="957" t="s">
        <v>3394</v>
      </c>
    </row>
    <row r="85" spans="1:15" ht="111" customHeight="1">
      <c r="A85" s="1894" t="s">
        <v>3395</v>
      </c>
      <c r="B85" s="1894"/>
      <c r="C85" s="1894"/>
      <c r="D85" s="1894"/>
      <c r="E85" s="1894"/>
      <c r="F85" s="1894"/>
      <c r="G85" s="1894"/>
      <c r="H85" s="1894"/>
      <c r="I85" s="1894"/>
      <c r="J85" s="1894"/>
      <c r="L85" s="1898" t="s">
        <v>3396</v>
      </c>
      <c r="M85" s="1898"/>
      <c r="N85" s="978" t="e">
        <f>'After-Tax Analysis'!G66</f>
        <v>#VALUE!</v>
      </c>
      <c r="O85" s="979" t="s">
        <v>3397</v>
      </c>
    </row>
    <row r="86" spans="1:15" ht="6" customHeight="1">
      <c r="A86" s="957"/>
    </row>
    <row r="87" spans="1:15" ht="15">
      <c r="A87" s="957" t="s">
        <v>3398</v>
      </c>
    </row>
    <row r="88" spans="1:15" ht="118.5" customHeight="1">
      <c r="A88" s="1895" t="s">
        <v>3399</v>
      </c>
      <c r="B88" s="1895"/>
      <c r="C88" s="1895"/>
      <c r="D88" s="1895"/>
      <c r="E88" s="1895"/>
      <c r="F88" s="1895"/>
      <c r="G88" s="1895"/>
      <c r="H88" s="1895"/>
      <c r="I88" s="1895"/>
      <c r="J88" s="1895"/>
    </row>
    <row r="89" spans="1:15" ht="20.25" customHeight="1">
      <c r="A89" s="1900" t="s">
        <v>3400</v>
      </c>
      <c r="B89" s="1900"/>
      <c r="C89" s="1900"/>
      <c r="D89" s="1895"/>
      <c r="E89" s="958"/>
      <c r="F89" s="958"/>
      <c r="G89" s="958"/>
      <c r="H89" s="958"/>
      <c r="I89" s="958"/>
      <c r="J89" s="958"/>
    </row>
    <row r="90" spans="1:15" ht="109.5" customHeight="1">
      <c r="A90" s="1895" t="s">
        <v>3401</v>
      </c>
      <c r="B90" s="1900"/>
      <c r="C90" s="1900"/>
      <c r="D90" s="1900"/>
      <c r="E90" s="1900"/>
      <c r="F90" s="1900"/>
      <c r="G90" s="1900"/>
      <c r="H90" s="1900"/>
      <c r="I90" s="1900"/>
      <c r="J90" s="1900"/>
    </row>
    <row r="91" spans="1:15" ht="11.25" customHeight="1">
      <c r="A91" s="957"/>
    </row>
    <row r="92" spans="1:15" ht="15">
      <c r="A92" s="957" t="s">
        <v>3402</v>
      </c>
    </row>
    <row r="93" spans="1:15" ht="122.25" customHeight="1">
      <c r="A93" s="1901" t="s">
        <v>3403</v>
      </c>
      <c r="B93" s="1901"/>
      <c r="C93" s="1901"/>
      <c r="D93" s="1901"/>
      <c r="E93" s="1901"/>
      <c r="F93" s="1901"/>
      <c r="G93" s="1901"/>
      <c r="H93" s="1901"/>
      <c r="I93" s="1901"/>
      <c r="J93" s="1901"/>
      <c r="L93" s="978">
        <f>'Part VII-Pro Forma'!K65</f>
        <v>785886.95311177569</v>
      </c>
      <c r="M93" s="1899" t="s">
        <v>3404</v>
      </c>
      <c r="N93" s="1899"/>
    </row>
    <row r="94" spans="1:15" ht="11.25" hidden="1" customHeight="1">
      <c r="A94" s="958"/>
      <c r="B94" s="958"/>
      <c r="C94" s="958"/>
      <c r="D94" s="958"/>
      <c r="E94" s="958"/>
      <c r="F94" s="958"/>
      <c r="G94" s="958"/>
      <c r="H94" s="958"/>
      <c r="I94" s="958"/>
      <c r="J94" s="958"/>
    </row>
    <row r="95" spans="1:15" ht="12" hidden="1" customHeight="1">
      <c r="A95" s="958"/>
      <c r="B95" s="958"/>
      <c r="C95" s="958"/>
      <c r="D95" s="958"/>
      <c r="E95" s="958"/>
      <c r="F95" s="958"/>
      <c r="G95" s="958"/>
      <c r="H95" s="958"/>
      <c r="I95" s="958"/>
      <c r="J95" s="974"/>
    </row>
    <row r="96" spans="1:15" ht="6" customHeight="1">
      <c r="A96" s="958"/>
      <c r="B96" s="958"/>
      <c r="C96" s="958"/>
      <c r="D96" s="958"/>
      <c r="E96" s="958"/>
      <c r="F96" s="958"/>
      <c r="G96" s="958"/>
      <c r="H96" s="958"/>
      <c r="I96" s="958"/>
      <c r="J96" s="974"/>
    </row>
    <row r="97" spans="1:10" ht="17.25" customHeight="1">
      <c r="A97" s="1900" t="s">
        <v>3405</v>
      </c>
      <c r="B97" s="1900"/>
      <c r="C97" s="1900"/>
      <c r="D97" s="958"/>
      <c r="E97" s="958"/>
      <c r="F97" s="958"/>
      <c r="G97" s="958"/>
      <c r="H97" s="958"/>
      <c r="I97" s="958"/>
      <c r="J97" s="974"/>
    </row>
    <row r="98" spans="1:10" ht="37.5" customHeight="1">
      <c r="A98" s="1894" t="s">
        <v>3406</v>
      </c>
      <c r="B98" s="1894"/>
      <c r="C98" s="1894"/>
      <c r="D98" s="1894"/>
      <c r="E98" s="1894"/>
      <c r="F98" s="1894"/>
      <c r="G98" s="1894"/>
      <c r="H98" s="1894"/>
      <c r="I98" s="1894"/>
      <c r="J98" s="1894"/>
    </row>
    <row r="99" spans="1:10" ht="6" customHeight="1">
      <c r="A99" s="957"/>
    </row>
    <row r="100" spans="1:10" ht="15">
      <c r="A100" s="957" t="s">
        <v>3407</v>
      </c>
    </row>
    <row r="101" spans="1:10" ht="43.5" customHeight="1">
      <c r="A101" s="1895" t="s">
        <v>3408</v>
      </c>
      <c r="B101" s="1895"/>
      <c r="C101" s="1895"/>
      <c r="D101" s="1895"/>
      <c r="E101" s="1895"/>
      <c r="F101" s="1895"/>
      <c r="G101" s="1895"/>
      <c r="H101" s="1895"/>
      <c r="I101" s="1895"/>
      <c r="J101" s="1895"/>
    </row>
    <row r="102" spans="1:10" ht="6" customHeight="1">
      <c r="A102" s="958"/>
      <c r="B102" s="958"/>
      <c r="C102" s="958"/>
      <c r="D102" s="958"/>
      <c r="E102" s="958"/>
      <c r="F102" s="958"/>
      <c r="G102" s="958"/>
      <c r="H102" s="958"/>
      <c r="I102" s="958"/>
      <c r="J102" s="958"/>
    </row>
    <row r="103" spans="1:10" ht="15">
      <c r="A103" s="957" t="s">
        <v>3409</v>
      </c>
    </row>
    <row r="105" spans="1:10">
      <c r="A105" s="1896" t="s">
        <v>3410</v>
      </c>
      <c r="B105" s="1896"/>
      <c r="C105" s="1896"/>
      <c r="D105" s="1896"/>
      <c r="E105" s="1896"/>
      <c r="F105" s="1896"/>
      <c r="G105" s="1896"/>
      <c r="H105" s="1896"/>
      <c r="I105" s="1896"/>
      <c r="J105" s="1896"/>
    </row>
    <row r="107" spans="1:10" ht="15" thickBot="1">
      <c r="A107" s="980"/>
      <c r="B107" s="949" t="s">
        <v>3411</v>
      </c>
    </row>
    <row r="110" spans="1:10" ht="15" thickBot="1">
      <c r="A110" s="980"/>
      <c r="B110" s="949" t="s">
        <v>3412</v>
      </c>
    </row>
    <row r="112" spans="1:10">
      <c r="A112" s="949" t="s">
        <v>3413</v>
      </c>
    </row>
    <row r="115" spans="1:10" ht="15" thickBot="1">
      <c r="A115" s="980"/>
      <c r="B115" s="980"/>
      <c r="C115" s="980"/>
      <c r="D115" s="980"/>
      <c r="E115" s="980"/>
      <c r="H115" s="980"/>
      <c r="I115" s="980"/>
      <c r="J115" s="980"/>
    </row>
    <row r="116" spans="1:10">
      <c r="A116" s="1897" t="s">
        <v>3414</v>
      </c>
      <c r="B116" s="1897"/>
      <c r="C116" s="1897"/>
      <c r="D116" s="1897"/>
      <c r="E116" s="1897"/>
      <c r="H116" s="1897" t="s">
        <v>3415</v>
      </c>
      <c r="I116" s="1897"/>
      <c r="J116" s="1897"/>
    </row>
    <row r="118" spans="1:10" ht="15" thickBot="1">
      <c r="A118" s="949" t="s">
        <v>3416</v>
      </c>
      <c r="B118" s="980"/>
      <c r="C118" s="980"/>
      <c r="H118" s="949" t="s">
        <v>3416</v>
      </c>
      <c r="I118" s="980"/>
    </row>
    <row r="206" spans="1:1">
      <c r="A206" s="949"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1" t="s">
        <v>3417</v>
      </c>
      <c r="B1" s="982"/>
      <c r="C1" s="982"/>
      <c r="D1" s="982"/>
      <c r="E1" s="982"/>
      <c r="F1" s="982"/>
      <c r="G1" s="982"/>
      <c r="H1" s="982"/>
      <c r="I1" s="982"/>
      <c r="J1" s="982"/>
      <c r="K1" s="982"/>
      <c r="L1" s="935"/>
      <c r="M1" s="935"/>
    </row>
    <row r="2" spans="1:13" ht="18">
      <c r="A2" s="981" t="str">
        <f>+"Financial Analysis for:  "&amp;C8</f>
        <v>Financial Analysis for:  Arbor Trace Apartments Phase II</v>
      </c>
      <c r="B2" s="982"/>
      <c r="C2" s="982"/>
      <c r="D2" s="982"/>
      <c r="E2" s="982"/>
      <c r="F2" s="982"/>
      <c r="G2" s="982"/>
      <c r="H2" s="982"/>
      <c r="I2" s="982"/>
      <c r="J2" s="982"/>
      <c r="K2" s="982"/>
      <c r="L2" s="935"/>
      <c r="M2" s="935"/>
    </row>
    <row r="5" spans="1:13" ht="15.75">
      <c r="A5" s="983"/>
      <c r="B5" s="984"/>
      <c r="C5" s="985"/>
      <c r="D5" s="984"/>
      <c r="E5" s="984"/>
      <c r="F5" s="983"/>
      <c r="G5" s="984"/>
      <c r="H5" s="985"/>
      <c r="I5" s="984"/>
      <c r="J5" s="984"/>
      <c r="K5" s="984"/>
      <c r="L5" s="984"/>
      <c r="M5" s="935"/>
    </row>
    <row r="7" spans="1:13" ht="15.75">
      <c r="A7" s="938" t="s">
        <v>3418</v>
      </c>
      <c r="B7" s="935"/>
      <c r="C7" s="986"/>
      <c r="D7" s="987"/>
      <c r="E7" s="987"/>
      <c r="F7" s="938" t="s">
        <v>3768</v>
      </c>
      <c r="G7" s="935"/>
      <c r="H7" s="191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Acquisition/Rehabilitation</v>
      </c>
      <c r="I7" s="1912"/>
      <c r="J7" s="1912"/>
      <c r="K7" s="1912"/>
      <c r="L7" s="935"/>
      <c r="M7" s="935"/>
    </row>
    <row r="8" spans="1:13" ht="15.75">
      <c r="A8" s="938" t="s">
        <v>3419</v>
      </c>
      <c r="B8" s="938"/>
      <c r="C8" s="1912" t="str">
        <f>'Part I-Project Information'!F24</f>
        <v>Arbor Trace Apartments Phase II</v>
      </c>
      <c r="D8" s="1912"/>
      <c r="E8" s="988" t="str">
        <f>'Part I-Project Information'!O4</f>
        <v>2015-026</v>
      </c>
      <c r="F8" s="989" t="s">
        <v>3420</v>
      </c>
      <c r="G8" s="987"/>
      <c r="H8" s="1912" t="str">
        <f>CONCATENATE('Part I-Project Information'!F28,", ",'Part I-Project Information'!J29)</f>
        <v>Lake Park, Lowndes</v>
      </c>
      <c r="I8" s="1912"/>
      <c r="J8" s="1912"/>
      <c r="K8" s="1912"/>
      <c r="L8" s="935"/>
      <c r="M8" s="990"/>
    </row>
    <row r="9" spans="1:13" ht="15.75">
      <c r="A9" s="938" t="s">
        <v>3422</v>
      </c>
      <c r="B9" s="938"/>
      <c r="C9" s="1912" t="s">
        <v>1858</v>
      </c>
      <c r="D9" s="1912"/>
      <c r="E9" s="987"/>
      <c r="F9" s="989" t="s">
        <v>3423</v>
      </c>
      <c r="G9" s="987"/>
      <c r="H9" s="1912" t="str">
        <f>'Part II-Development Team'!H5</f>
        <v>Arbor Trace II Lake Park, LP</v>
      </c>
      <c r="I9" s="1912"/>
      <c r="J9" s="1912"/>
      <c r="K9" s="1912"/>
      <c r="L9" s="1912"/>
      <c r="M9" s="990"/>
    </row>
    <row r="10" spans="1:13" ht="15.75">
      <c r="A10" s="938" t="s">
        <v>3425</v>
      </c>
      <c r="B10" s="935"/>
      <c r="C10" s="930" t="str">
        <f>'Part II-Development Team'!H14</f>
        <v>Arbor Trace II Lake Park Partners, LLC</v>
      </c>
      <c r="D10" s="987"/>
      <c r="E10" s="987"/>
      <c r="F10" s="989" t="s">
        <v>4352</v>
      </c>
      <c r="G10" s="987"/>
      <c r="H10" s="1912" t="str">
        <f>'Part II-Development Team'!H33</f>
        <v>Raymond James Tax Credit Funds, Inc.</v>
      </c>
      <c r="I10" s="1912"/>
      <c r="J10" s="1912"/>
      <c r="K10" s="1912" t="str">
        <f>'Part II-Development Team'!H39</f>
        <v>Raymond James Tax Credit Funds, Inc.</v>
      </c>
      <c r="L10" s="1912"/>
    </row>
    <row r="11" spans="1:13" ht="15.75">
      <c r="A11" s="938" t="s">
        <v>3426</v>
      </c>
      <c r="B11" s="935"/>
      <c r="C11" s="987" t="str">
        <f>IF('Part II-Development Team'!H20="","",'Part II-Development Team'!H20)</f>
        <v/>
      </c>
      <c r="D11" s="987"/>
      <c r="E11" s="987"/>
      <c r="F11" s="989" t="s">
        <v>686</v>
      </c>
      <c r="G11" s="987"/>
      <c r="H11" s="1912" t="str">
        <f>'Part II-Development Team'!H54</f>
        <v>DHM Developer, Inc.</v>
      </c>
      <c r="I11" s="1912"/>
      <c r="J11" s="1912"/>
      <c r="K11" s="1912">
        <f>'Part II-Development Team'!H60</f>
        <v>0</v>
      </c>
      <c r="L11" s="1912"/>
    </row>
    <row r="12" spans="1:13" ht="15.75">
      <c r="A12" s="938" t="s">
        <v>3427</v>
      </c>
      <c r="B12" s="935"/>
      <c r="C12" s="930" t="str">
        <f>'Part II-Development Team'!H86</f>
        <v>McLain &amp; Brown Construction Company, Inc.</v>
      </c>
      <c r="D12" s="987"/>
      <c r="E12" s="987"/>
      <c r="F12" s="989" t="s">
        <v>3428</v>
      </c>
      <c r="G12" s="987"/>
      <c r="H12" s="1912" t="str">
        <f>'Part II-Development Team'!H92</f>
        <v>Investors Management Company of Valdosta, Inc.</v>
      </c>
      <c r="I12" s="1912"/>
      <c r="J12" s="1912"/>
      <c r="K12" s="1912"/>
      <c r="L12" s="935"/>
      <c r="M12" s="935"/>
    </row>
    <row r="13" spans="1:13" ht="15.75">
      <c r="A13" s="938" t="s">
        <v>3429</v>
      </c>
      <c r="B13" s="989"/>
      <c r="C13" s="928">
        <f>'Part VI-Revenues &amp; Expenses'!M62</f>
        <v>42</v>
      </c>
      <c r="D13" s="929">
        <f>'Part VI-Revenues &amp; Expenses'!M58</f>
        <v>42</v>
      </c>
      <c r="E13" s="988"/>
      <c r="F13" s="989" t="s">
        <v>3756</v>
      </c>
      <c r="G13" s="987"/>
      <c r="H13" s="1915">
        <f>'Part I-Project Information'!H61</f>
        <v>7</v>
      </c>
      <c r="I13" s="1915"/>
      <c r="J13" s="1915"/>
      <c r="K13" s="1915"/>
      <c r="L13" s="935"/>
      <c r="M13" s="935"/>
    </row>
    <row r="14" spans="1:13" ht="15.75">
      <c r="A14" s="938" t="s">
        <v>3755</v>
      </c>
      <c r="B14" s="935"/>
      <c r="C14" s="930" t="str">
        <f>'Part I-Project Information'!H67</f>
        <v>Family</v>
      </c>
      <c r="D14" s="1912" t="str">
        <f>IF('Part I-Project Information'!N67=0,"",'Part I-Project Information'!N67)</f>
        <v/>
      </c>
      <c r="E14" s="1912"/>
      <c r="F14" s="989" t="s">
        <v>3430</v>
      </c>
      <c r="G14" s="987"/>
      <c r="H14" s="1916" t="s">
        <v>4282</v>
      </c>
      <c r="I14" s="1916"/>
      <c r="J14" s="1916"/>
      <c r="K14" s="1916" t="s">
        <v>4282</v>
      </c>
      <c r="L14" s="1916"/>
      <c r="M14" s="935"/>
    </row>
    <row r="15" spans="1:13" ht="15.75">
      <c r="A15" s="938" t="s">
        <v>3431</v>
      </c>
      <c r="B15" s="935"/>
      <c r="C15" s="991"/>
      <c r="D15" s="987"/>
      <c r="E15" s="987"/>
      <c r="F15" s="989" t="s">
        <v>3757</v>
      </c>
      <c r="G15" s="987"/>
      <c r="H15" s="987" t="str">
        <f>'Part I-Project Information'!K30</f>
        <v>Rural</v>
      </c>
      <c r="I15" s="987"/>
      <c r="J15" s="987"/>
      <c r="K15" s="987"/>
      <c r="L15" s="935"/>
      <c r="M15" s="935"/>
    </row>
    <row r="16" spans="1:13" ht="15.75">
      <c r="A16" s="938" t="s">
        <v>4320</v>
      </c>
      <c r="B16" s="935"/>
      <c r="C16" s="930">
        <f>'Part I-Project Information'!H86</f>
        <v>0</v>
      </c>
      <c r="D16" s="992" t="s">
        <v>2819</v>
      </c>
      <c r="E16" s="930">
        <f>'Part I-Project Information'!H88</f>
        <v>0</v>
      </c>
      <c r="F16" s="989"/>
      <c r="G16" s="987"/>
      <c r="H16" s="987"/>
      <c r="I16" s="987"/>
      <c r="J16" s="987"/>
      <c r="K16" s="987"/>
      <c r="L16" s="935"/>
      <c r="M16" s="935"/>
    </row>
    <row r="17" spans="1:13" ht="15">
      <c r="A17" s="935"/>
      <c r="B17" s="935"/>
      <c r="C17" s="935"/>
      <c r="D17" s="987"/>
      <c r="E17" s="987"/>
      <c r="F17" s="987"/>
      <c r="G17" s="987"/>
      <c r="H17" s="987"/>
      <c r="I17" s="987"/>
      <c r="J17" s="935"/>
      <c r="K17" s="935"/>
      <c r="L17" s="935"/>
      <c r="M17" s="935"/>
    </row>
    <row r="18" spans="1:13" ht="15.75">
      <c r="A18" s="938" t="s">
        <v>3759</v>
      </c>
      <c r="B18" s="935"/>
      <c r="C18" s="993">
        <f>'Part IV-Uses of Funds'!G130</f>
        <v>6245106</v>
      </c>
      <c r="D18" s="994">
        <f>IF(C18=0,"",$C$29/C18)</f>
        <v>0.21287388876986235</v>
      </c>
      <c r="E18" s="987" t="s">
        <v>3760</v>
      </c>
      <c r="F18" s="989" t="s">
        <v>3761</v>
      </c>
      <c r="G18" s="987"/>
      <c r="H18" s="1914">
        <f>'Part IV-Uses of Funds'!B44</f>
        <v>2850000</v>
      </c>
      <c r="I18" s="1914"/>
      <c r="J18" s="995">
        <f>IF(H18=0,"",$C$29/H18)</f>
        <v>0.46646315789473686</v>
      </c>
      <c r="K18" s="1912" t="s">
        <v>3762</v>
      </c>
      <c r="L18" s="1912"/>
      <c r="M18" s="935"/>
    </row>
    <row r="19" spans="1:13" ht="15.75">
      <c r="A19" s="938" t="s">
        <v>3432</v>
      </c>
      <c r="B19" s="935"/>
      <c r="C19" s="931">
        <f>C18/C13</f>
        <v>148693</v>
      </c>
      <c r="D19" s="987"/>
      <c r="E19" s="935"/>
      <c r="F19" s="938" t="s">
        <v>3432</v>
      </c>
      <c r="G19" s="935"/>
      <c r="H19" s="1913">
        <f>H18/C13</f>
        <v>67857.142857142855</v>
      </c>
      <c r="I19" s="1913"/>
      <c r="J19" s="935"/>
      <c r="K19" s="935"/>
      <c r="L19" s="935"/>
      <c r="M19" s="935"/>
    </row>
    <row r="20" spans="1:13" ht="15.75">
      <c r="A20" s="938" t="s">
        <v>3433</v>
      </c>
      <c r="B20" s="935"/>
      <c r="C20" s="931">
        <f>C18/'Part VI-Revenues &amp; Expenses'!M120</f>
        <v>171.7056446069671</v>
      </c>
      <c r="D20" s="996"/>
      <c r="E20" s="997"/>
      <c r="F20" s="938" t="s">
        <v>3433</v>
      </c>
      <c r="G20" s="935"/>
      <c r="H20" s="1913">
        <f>H18/'Part VI-Revenues &amp; Expenses'!M120</f>
        <v>78.359132275714174</v>
      </c>
      <c r="I20" s="1913"/>
      <c r="J20" s="935"/>
      <c r="K20" s="935"/>
      <c r="L20" s="935"/>
      <c r="M20" s="935"/>
    </row>
    <row r="21" spans="1:13" ht="15.75">
      <c r="A21" s="938"/>
      <c r="B21" s="935"/>
      <c r="C21" s="998"/>
      <c r="D21" s="935"/>
      <c r="E21" s="935"/>
      <c r="F21" s="938"/>
      <c r="G21" s="935"/>
      <c r="H21" s="998"/>
      <c r="I21" s="935"/>
      <c r="J21" s="935"/>
      <c r="K21" s="935"/>
      <c r="L21" s="935"/>
      <c r="M21" s="935"/>
    </row>
    <row r="22" spans="1:13" ht="15">
      <c r="A22" s="984"/>
      <c r="B22" s="984"/>
      <c r="C22" s="984"/>
      <c r="D22" s="984"/>
      <c r="E22" s="984"/>
      <c r="F22" s="984"/>
      <c r="G22" s="984"/>
      <c r="H22" s="984"/>
      <c r="I22" s="984"/>
      <c r="J22" s="984"/>
      <c r="K22" s="984"/>
      <c r="L22" s="984"/>
      <c r="M22" s="990"/>
    </row>
    <row r="23" spans="1:13" ht="15.75">
      <c r="A23" s="999" t="s">
        <v>3434</v>
      </c>
      <c r="B23" s="1000"/>
      <c r="C23" s="1000"/>
      <c r="D23" s="1000"/>
      <c r="E23" s="987"/>
      <c r="F23" s="987"/>
      <c r="G23" s="987"/>
      <c r="H23" s="987"/>
      <c r="I23" s="987"/>
      <c r="J23" s="987"/>
      <c r="K23" s="987"/>
      <c r="L23" s="935"/>
      <c r="M23" s="990"/>
    </row>
    <row r="24" spans="1:13" ht="27" customHeight="1">
      <c r="A24" s="935"/>
      <c r="B24" s="935"/>
      <c r="C24" s="935"/>
      <c r="D24" s="1001" t="s">
        <v>3435</v>
      </c>
      <c r="E24" s="935"/>
      <c r="F24" s="935"/>
      <c r="G24" s="935"/>
      <c r="H24" s="935"/>
      <c r="I24" s="935"/>
      <c r="J24" s="935"/>
      <c r="K24" s="935"/>
      <c r="L24" s="935"/>
      <c r="M24" s="990"/>
    </row>
    <row r="25" spans="1:13" ht="15.75">
      <c r="A25" s="938" t="s">
        <v>3436</v>
      </c>
      <c r="B25" s="1002" t="str">
        <f>'Part III-Sources of Funds'!E36</f>
        <v>USDA 515 acquired loan</v>
      </c>
      <c r="C25" s="1003">
        <f>'Part III-Sources of Funds'!I36</f>
        <v>1329420</v>
      </c>
      <c r="D25" s="1004" t="s">
        <v>3437</v>
      </c>
      <c r="E25" s="935"/>
      <c r="F25" s="987"/>
      <c r="G25" s="935" t="s">
        <v>3438</v>
      </c>
      <c r="H25" s="935"/>
      <c r="I25" s="935"/>
      <c r="K25" s="1003"/>
      <c r="L25" s="987"/>
      <c r="M25" s="990"/>
    </row>
    <row r="26" spans="1:13" ht="15">
      <c r="A26" s="935"/>
      <c r="B26" s="1002"/>
      <c r="C26" s="1003"/>
      <c r="D26" s="1004"/>
      <c r="E26" s="935"/>
      <c r="F26" s="987"/>
      <c r="G26" s="935" t="s">
        <v>3439</v>
      </c>
      <c r="H26" s="935"/>
      <c r="I26" s="935"/>
      <c r="K26" s="1005" t="e">
        <f>C29/K25</f>
        <v>#DIV/0!</v>
      </c>
      <c r="L26" s="987"/>
      <c r="M26" s="935"/>
    </row>
    <row r="27" spans="1:13" ht="15">
      <c r="A27" s="935"/>
      <c r="B27" s="1002"/>
      <c r="C27" s="1003"/>
      <c r="D27" s="1004"/>
      <c r="E27" s="935"/>
      <c r="F27" s="987"/>
      <c r="G27" s="935"/>
      <c r="H27" s="935"/>
      <c r="I27" s="935"/>
      <c r="K27" s="987"/>
      <c r="L27" s="987"/>
      <c r="M27" s="935"/>
    </row>
    <row r="28" spans="1:13" ht="15">
      <c r="A28" s="935"/>
      <c r="B28" s="935"/>
      <c r="C28" s="935"/>
      <c r="D28" s="935"/>
      <c r="E28" s="935"/>
      <c r="F28" s="987"/>
      <c r="G28" s="935" t="s">
        <v>3440</v>
      </c>
      <c r="H28" s="935"/>
      <c r="I28" s="935"/>
      <c r="K28" s="1003"/>
      <c r="L28" s="987"/>
      <c r="M28" s="935"/>
    </row>
    <row r="29" spans="1:13" ht="16.5" thickBot="1">
      <c r="A29" s="935"/>
      <c r="B29" s="1006" t="s">
        <v>3441</v>
      </c>
      <c r="C29" s="1007">
        <f>SUM(C25:C27)</f>
        <v>1329420</v>
      </c>
      <c r="D29" s="935"/>
      <c r="E29" s="935"/>
      <c r="F29" s="987"/>
      <c r="G29" s="935" t="s">
        <v>3442</v>
      </c>
      <c r="H29" s="935"/>
      <c r="I29" s="935"/>
      <c r="K29" s="1005" t="e">
        <f>C29/K28</f>
        <v>#DIV/0!</v>
      </c>
      <c r="L29" s="987"/>
      <c r="M29" s="935"/>
    </row>
    <row r="30" spans="1:13" ht="16.5" thickTop="1">
      <c r="A30" s="938" t="s">
        <v>3443</v>
      </c>
      <c r="B30" s="1006"/>
      <c r="C30" s="1008">
        <f>'Part III-Sources of Funds'!I44+'Part III-Sources of Funds'!I45</f>
        <v>4820057</v>
      </c>
      <c r="D30" s="935"/>
      <c r="E30" s="935"/>
      <c r="F30" s="987"/>
      <c r="G30" s="935"/>
      <c r="H30" s="935"/>
      <c r="I30" s="935"/>
      <c r="K30" s="1009"/>
      <c r="L30" s="987"/>
      <c r="M30" s="935"/>
    </row>
    <row r="31" spans="1:13" ht="15">
      <c r="A31" s="1010" t="s">
        <v>3444</v>
      </c>
      <c r="B31" s="1002">
        <f>'Part III-Sources of Funds'!E37</f>
        <v>0</v>
      </c>
      <c r="C31" s="1003">
        <f>'Part III-Sources of Funds'!I37</f>
        <v>0</v>
      </c>
      <c r="D31" s="1004"/>
      <c r="E31" s="935"/>
      <c r="F31" s="987"/>
      <c r="G31" s="935"/>
      <c r="H31" s="935"/>
      <c r="I31" s="935"/>
      <c r="K31" s="935"/>
      <c r="L31" s="987"/>
      <c r="M31" s="935"/>
    </row>
    <row r="32" spans="1:13" ht="15">
      <c r="A32" s="1010" t="s">
        <v>3444</v>
      </c>
      <c r="B32" s="1002">
        <f>'Part III-Sources of Funds'!E38</f>
        <v>0</v>
      </c>
      <c r="C32" s="1003">
        <f>'Part III-Sources of Funds'!I38</f>
        <v>0</v>
      </c>
      <c r="D32" s="1004"/>
      <c r="E32" s="935" t="s">
        <v>254</v>
      </c>
      <c r="F32" s="987"/>
      <c r="G32" s="935" t="s">
        <v>3445</v>
      </c>
      <c r="H32" s="935"/>
      <c r="I32" s="935"/>
      <c r="K32" s="1003"/>
      <c r="L32" s="987"/>
      <c r="M32" s="987"/>
    </row>
    <row r="33" spans="1:13" ht="15">
      <c r="A33" s="935"/>
      <c r="B33" s="987"/>
      <c r="C33" s="1011"/>
      <c r="D33" s="935"/>
      <c r="E33" s="935"/>
      <c r="F33" s="987"/>
      <c r="G33" s="935" t="s">
        <v>3446</v>
      </c>
      <c r="H33" s="935"/>
      <c r="I33" s="935"/>
      <c r="K33" s="1012"/>
      <c r="L33" s="987"/>
      <c r="M33" s="1013"/>
    </row>
    <row r="34" spans="1:13" ht="15.75">
      <c r="A34" s="935"/>
      <c r="B34" s="1006" t="s">
        <v>3447</v>
      </c>
      <c r="C34" s="1011">
        <f>SUM(C31:C32)</f>
        <v>0</v>
      </c>
      <c r="D34" s="935"/>
      <c r="E34" s="935"/>
      <c r="F34" s="935"/>
      <c r="G34" s="935"/>
      <c r="H34" s="935"/>
      <c r="I34" s="935"/>
      <c r="K34" s="987"/>
      <c r="L34" s="935"/>
      <c r="M34" s="1013"/>
    </row>
    <row r="35" spans="1:13" ht="15.75">
      <c r="A35" s="935"/>
      <c r="B35" s="1006"/>
      <c r="C35" s="935"/>
      <c r="D35" s="935"/>
      <c r="E35" s="935"/>
      <c r="F35" s="935"/>
      <c r="G35" s="935" t="s">
        <v>3448</v>
      </c>
      <c r="H35" s="935"/>
      <c r="I35" s="935"/>
      <c r="K35" s="1014" t="e">
        <f>(C36)/K25</f>
        <v>#DIV/0!</v>
      </c>
      <c r="L35" s="935"/>
      <c r="M35" s="987"/>
    </row>
    <row r="36" spans="1:13" ht="15.75">
      <c r="A36" s="935"/>
      <c r="B36" s="1006" t="s">
        <v>3449</v>
      </c>
      <c r="C36" s="1011">
        <f>C29+C34</f>
        <v>1329420</v>
      </c>
      <c r="D36" s="935"/>
      <c r="E36" s="935"/>
      <c r="F36" s="935"/>
      <c r="G36" s="935"/>
      <c r="H36" s="935"/>
      <c r="I36" s="935"/>
      <c r="K36" s="987"/>
      <c r="L36" s="935"/>
      <c r="M36" s="987"/>
    </row>
    <row r="37" spans="1:13" ht="15.75">
      <c r="A37" s="935"/>
      <c r="B37" s="1006"/>
      <c r="C37" s="1015"/>
      <c r="D37" s="935"/>
      <c r="E37" s="935"/>
      <c r="F37" s="935"/>
      <c r="G37" s="935" t="s">
        <v>3450</v>
      </c>
      <c r="H37" s="935"/>
      <c r="I37" s="935"/>
      <c r="K37" s="1014" t="e">
        <f>+(C36)/K32</f>
        <v>#DIV/0!</v>
      </c>
      <c r="L37" s="935"/>
      <c r="M37" s="1013"/>
    </row>
    <row r="38" spans="1:13" ht="15.75">
      <c r="A38" s="935"/>
      <c r="B38" s="1006" t="s">
        <v>3451</v>
      </c>
      <c r="C38" s="1016">
        <f>C36/C18</f>
        <v>0.21287388876986235</v>
      </c>
      <c r="D38" s="935"/>
      <c r="E38" s="935"/>
      <c r="F38" s="935"/>
      <c r="G38" s="935"/>
      <c r="H38" s="935"/>
      <c r="I38" s="935"/>
      <c r="K38" s="987"/>
      <c r="L38" s="935"/>
      <c r="M38" s="1013"/>
    </row>
    <row r="39" spans="1:13" ht="15.75">
      <c r="A39" s="935"/>
      <c r="B39" s="1006"/>
      <c r="C39" s="1015"/>
      <c r="D39" s="935"/>
      <c r="E39" s="935"/>
      <c r="F39" s="935"/>
      <c r="G39" s="935"/>
      <c r="H39" s="935"/>
      <c r="I39" s="935"/>
      <c r="K39" s="987"/>
      <c r="L39" s="935"/>
      <c r="M39" s="935"/>
    </row>
    <row r="40" spans="1:13" ht="15.75">
      <c r="A40" s="935"/>
      <c r="B40" s="1006" t="s">
        <v>3452</v>
      </c>
      <c r="C40" s="1016">
        <f>C36/H18</f>
        <v>0.46646315789473686</v>
      </c>
      <c r="D40" s="935"/>
      <c r="E40" s="935"/>
      <c r="F40" s="938"/>
      <c r="G40" s="938" t="s">
        <v>3453</v>
      </c>
      <c r="H40" s="935"/>
      <c r="I40" s="935"/>
      <c r="K40" s="1014">
        <f>C30/C18</f>
        <v>0.77181348082802759</v>
      </c>
      <c r="L40" s="935"/>
      <c r="M40" s="935"/>
    </row>
    <row r="46" spans="1:13" ht="15.75">
      <c r="A46" s="1017" t="s">
        <v>3454</v>
      </c>
      <c r="B46" s="982"/>
      <c r="C46" s="982"/>
      <c r="D46" s="982"/>
      <c r="E46" s="982"/>
      <c r="F46" s="982"/>
      <c r="G46" s="982"/>
      <c r="H46" s="982"/>
      <c r="I46" s="982"/>
      <c r="J46" s="982"/>
      <c r="K46" s="982"/>
      <c r="L46" s="982"/>
      <c r="M46" s="935"/>
    </row>
    <row r="47" spans="1:13" ht="15.75">
      <c r="A47" s="1017" t="str">
        <f>C8</f>
        <v>Arbor Trace Apartments Phase II</v>
      </c>
      <c r="B47" s="982"/>
      <c r="C47" s="982"/>
      <c r="D47" s="982"/>
      <c r="E47" s="982"/>
      <c r="F47" s="982"/>
      <c r="G47" s="982"/>
      <c r="H47" s="982"/>
      <c r="I47" s="982"/>
      <c r="J47" s="982"/>
      <c r="K47" s="982"/>
      <c r="L47" s="982"/>
      <c r="M47" s="935"/>
    </row>
    <row r="50" spans="1:14" s="935" customFormat="1" ht="15.75">
      <c r="A50" s="938" t="s">
        <v>3455</v>
      </c>
      <c r="C50" s="1018" t="s">
        <v>3456</v>
      </c>
      <c r="E50" s="1019" t="s">
        <v>4283</v>
      </c>
      <c r="F50" s="1020">
        <v>0.1</v>
      </c>
      <c r="G50" s="1019" t="s">
        <v>4284</v>
      </c>
      <c r="H50" s="1020">
        <v>0.05</v>
      </c>
      <c r="I50" s="1019" t="s">
        <v>4285</v>
      </c>
      <c r="J50" s="1020">
        <v>0.03</v>
      </c>
      <c r="K50" s="1910" t="s">
        <v>3457</v>
      </c>
      <c r="L50" s="1911"/>
      <c r="M50" s="28"/>
      <c r="N50" s="28"/>
    </row>
    <row r="51" spans="1:14" s="935" customFormat="1" ht="15.75">
      <c r="A51" s="938"/>
      <c r="C51" s="1018"/>
      <c r="E51" s="1018"/>
      <c r="F51" s="1021"/>
      <c r="G51" s="1018"/>
      <c r="H51" s="1021"/>
      <c r="I51" s="1018"/>
      <c r="J51" s="1021"/>
      <c r="K51" s="1018"/>
      <c r="M51" s="28"/>
      <c r="N51" s="28"/>
    </row>
    <row r="52" spans="1:14" s="935" customFormat="1" ht="18.75" customHeight="1">
      <c r="B52" s="1022" t="s">
        <v>3458</v>
      </c>
      <c r="C52" s="1023">
        <f>'Part VII-Pro Forma'!$B$14</f>
        <v>202800</v>
      </c>
      <c r="D52" s="1023"/>
      <c r="E52" s="1023">
        <f>$C$52</f>
        <v>202800</v>
      </c>
      <c r="F52" s="1023"/>
      <c r="G52" s="1023">
        <f>$C$52</f>
        <v>202800</v>
      </c>
      <c r="H52" s="1023"/>
      <c r="I52" s="1023">
        <f>$C$52</f>
        <v>202800</v>
      </c>
      <c r="J52" s="1023"/>
      <c r="K52" s="1023">
        <f>$C$52</f>
        <v>202800</v>
      </c>
      <c r="L52" s="1024"/>
      <c r="M52" s="28"/>
      <c r="N52" s="28"/>
    </row>
    <row r="53" spans="1:14" s="935" customFormat="1" ht="18.75" customHeight="1">
      <c r="B53" s="1022" t="s">
        <v>3461</v>
      </c>
      <c r="C53" s="1023">
        <f>'Part VII-Pro Forma'!B15</f>
        <v>4056</v>
      </c>
      <c r="D53" s="1023"/>
      <c r="E53" s="1023">
        <f>$C$53</f>
        <v>4056</v>
      </c>
      <c r="F53" s="1023"/>
      <c r="G53" s="1023">
        <f>$C$53</f>
        <v>4056</v>
      </c>
      <c r="H53" s="1023"/>
      <c r="I53" s="1023">
        <f>$C$53</f>
        <v>4056</v>
      </c>
      <c r="J53" s="1023"/>
      <c r="K53" s="1023">
        <f>$C$53</f>
        <v>4056</v>
      </c>
      <c r="L53" s="1024"/>
      <c r="M53" s="28"/>
      <c r="N53" s="28"/>
    </row>
    <row r="54" spans="1:14" s="935" customFormat="1" ht="18.75" customHeight="1">
      <c r="B54" s="1022" t="s">
        <v>3459</v>
      </c>
      <c r="C54" s="1023">
        <f>-($C$52+C53)*0.07</f>
        <v>-14479.920000000002</v>
      </c>
      <c r="D54" s="1023"/>
      <c r="E54" s="1023">
        <f>-($C$52+E53)*F50</f>
        <v>-20685.600000000002</v>
      </c>
      <c r="F54" s="1025"/>
      <c r="G54" s="1023">
        <f>-($C$52+G53)*0.07</f>
        <v>-14479.920000000002</v>
      </c>
      <c r="H54" s="1023"/>
      <c r="I54" s="1023">
        <f>-($C$52+I53)*0.07</f>
        <v>-14479.920000000002</v>
      </c>
      <c r="J54" s="1023"/>
      <c r="K54" s="1023">
        <f>-($C$52+K53)*L54</f>
        <v>-20685.600000000002</v>
      </c>
      <c r="L54" s="1026">
        <v>0.1</v>
      </c>
      <c r="M54" s="28"/>
      <c r="N54" s="28"/>
    </row>
    <row r="55" spans="1:14" s="935" customFormat="1" ht="18.75" customHeight="1">
      <c r="B55" s="1022" t="s">
        <v>3460</v>
      </c>
      <c r="C55" s="1023">
        <f>'Part VI-Revenues &amp; Expenses'!G130+'Part VI-Revenues &amp; Expenses'!G134</f>
        <v>16800</v>
      </c>
      <c r="D55" s="1023"/>
      <c r="E55" s="1023">
        <f>$C$55</f>
        <v>16800</v>
      </c>
      <c r="F55" s="1025"/>
      <c r="G55" s="1023">
        <f>$C$55</f>
        <v>16800</v>
      </c>
      <c r="H55" s="1023"/>
      <c r="I55" s="1023">
        <f>$C$55</f>
        <v>16800</v>
      </c>
      <c r="J55" s="1023"/>
      <c r="K55" s="1023">
        <f>$C$55</f>
        <v>16800</v>
      </c>
      <c r="L55" s="1027"/>
      <c r="M55" s="28"/>
      <c r="N55" s="28"/>
    </row>
    <row r="56" spans="1:14" s="935" customFormat="1" ht="18.75" customHeight="1">
      <c r="B56" s="1028" t="s">
        <v>3462</v>
      </c>
      <c r="C56" s="1029">
        <f>SUM(C52:C55)</f>
        <v>209176.08</v>
      </c>
      <c r="D56" s="1023"/>
      <c r="E56" s="1029">
        <f>SUM(E52:E55)</f>
        <v>202970.4</v>
      </c>
      <c r="F56" s="1023"/>
      <c r="G56" s="1029">
        <f>SUM(G52:G55)</f>
        <v>209176.08</v>
      </c>
      <c r="H56" s="1023"/>
      <c r="I56" s="1029">
        <f>SUM(I52:I55)</f>
        <v>209176.08</v>
      </c>
      <c r="J56" s="1023"/>
      <c r="K56" s="1029">
        <f>SUM(K52:K55)</f>
        <v>202970.4</v>
      </c>
      <c r="L56" s="1024"/>
      <c r="M56" s="28"/>
      <c r="N56" s="28"/>
    </row>
    <row r="57" spans="1:14" s="935" customFormat="1" ht="24" customHeight="1">
      <c r="B57" s="1022"/>
      <c r="C57" s="1030"/>
      <c r="D57" s="1023"/>
      <c r="E57" s="1030"/>
      <c r="F57" s="1023"/>
      <c r="G57" s="1030"/>
      <c r="H57" s="1023"/>
      <c r="I57" s="1030"/>
      <c r="J57" s="1023"/>
      <c r="K57" s="1030"/>
      <c r="L57" s="1024"/>
      <c r="M57" s="28"/>
      <c r="N57" s="28"/>
    </row>
    <row r="58" spans="1:14" s="935" customFormat="1" ht="18.75" customHeight="1">
      <c r="B58" s="1022" t="s">
        <v>3463</v>
      </c>
      <c r="C58" s="1023">
        <f>'Part VI-Revenues &amp; Expenses'!$F$170+'Part VI-Revenues &amp; Expenses'!$F$179+'Part VI-Revenues &amp; Expenses'!$K$168+'Part VI-Revenues &amp; Expenses'!$K$177</f>
        <v>50560</v>
      </c>
      <c r="D58" s="1023"/>
      <c r="E58" s="1023">
        <f>$C$58</f>
        <v>50560</v>
      </c>
      <c r="F58" s="1023"/>
      <c r="G58" s="1023">
        <f>$C$58</f>
        <v>50560</v>
      </c>
      <c r="H58" s="1023"/>
      <c r="I58" s="1023">
        <f>$C$58</f>
        <v>50560</v>
      </c>
      <c r="J58" s="1023"/>
      <c r="K58" s="1023">
        <f>$C$58</f>
        <v>50560</v>
      </c>
      <c r="L58" s="1024"/>
      <c r="M58" s="28"/>
      <c r="N58" s="28"/>
    </row>
    <row r="59" spans="1:14" s="935" customFormat="1" ht="18.75" customHeight="1">
      <c r="B59" s="1022" t="s">
        <v>3464</v>
      </c>
      <c r="C59" s="1023">
        <f>'Part VI-Revenues &amp; Expenses'!$F$190</f>
        <v>34000</v>
      </c>
      <c r="D59" s="1023"/>
      <c r="E59" s="1023">
        <f>$C$59</f>
        <v>34000</v>
      </c>
      <c r="F59" s="1023"/>
      <c r="G59" s="1023">
        <f>$C$59</f>
        <v>34000</v>
      </c>
      <c r="H59" s="1023"/>
      <c r="I59" s="1023">
        <f>$C$59</f>
        <v>34000</v>
      </c>
      <c r="J59" s="1023"/>
      <c r="K59" s="1023">
        <f>$C$59*(1+$L$59)</f>
        <v>35360</v>
      </c>
      <c r="L59" s="1031">
        <v>0.04</v>
      </c>
      <c r="M59" s="28"/>
      <c r="N59" s="28"/>
    </row>
    <row r="60" spans="1:14" s="935" customFormat="1" ht="18.75" customHeight="1">
      <c r="B60" s="1022" t="s">
        <v>1440</v>
      </c>
      <c r="C60" s="1023">
        <f>'Part VI-Revenues &amp; Expenses'!$K$187</f>
        <v>12950</v>
      </c>
      <c r="D60" s="1023"/>
      <c r="E60" s="1023">
        <f>$C$60</f>
        <v>12950</v>
      </c>
      <c r="F60" s="1023"/>
      <c r="G60" s="1023">
        <f>$C$60</f>
        <v>12950</v>
      </c>
      <c r="H60" s="1023"/>
      <c r="I60" s="1023">
        <f>$C$60*(1+$J$50)</f>
        <v>13338.5</v>
      </c>
      <c r="J60" s="1025"/>
      <c r="K60" s="1023">
        <f>$C$60*(1+$J$50)</f>
        <v>13338.5</v>
      </c>
      <c r="L60" s="1026">
        <v>0.03</v>
      </c>
      <c r="M60" s="28"/>
      <c r="N60" s="28"/>
    </row>
    <row r="61" spans="1:14" s="935" customFormat="1" ht="18.75" customHeight="1">
      <c r="B61" s="1022" t="s">
        <v>1441</v>
      </c>
      <c r="C61" s="1023">
        <f>'Part VI-Revenues &amp; Expenses'!$P$169</f>
        <v>26360</v>
      </c>
      <c r="D61" s="1023"/>
      <c r="E61" s="1023">
        <f>$C$61</f>
        <v>26360</v>
      </c>
      <c r="F61" s="1023"/>
      <c r="G61" s="1023">
        <f>$C$61*(1+H50)</f>
        <v>27678</v>
      </c>
      <c r="H61" s="1025"/>
      <c r="I61" s="1023">
        <f>$C$61</f>
        <v>26360</v>
      </c>
      <c r="J61" s="1023"/>
      <c r="K61" s="1023">
        <f>$C$61*(1+$L$61)</f>
        <v>27678</v>
      </c>
      <c r="L61" s="1026">
        <v>0.05</v>
      </c>
      <c r="M61" s="28"/>
      <c r="N61" s="28"/>
    </row>
    <row r="62" spans="1:14" s="935" customFormat="1" ht="18.75" customHeight="1">
      <c r="B62" s="1028" t="s">
        <v>3465</v>
      </c>
      <c r="C62" s="1029">
        <f>SUM(C58:C61)</f>
        <v>123870</v>
      </c>
      <c r="D62" s="1023"/>
      <c r="E62" s="1029">
        <f>SUM(E58:E61)</f>
        <v>123870</v>
      </c>
      <c r="F62" s="1023"/>
      <c r="G62" s="1029">
        <f>SUM(G58:G61)</f>
        <v>125188</v>
      </c>
      <c r="H62" s="1023"/>
      <c r="I62" s="1029">
        <f>SUM(I58:I61)</f>
        <v>124258.5</v>
      </c>
      <c r="J62" s="1023"/>
      <c r="K62" s="1029">
        <f>SUM(K58:K61)</f>
        <v>126936.5</v>
      </c>
      <c r="L62" s="1032"/>
      <c r="M62" s="28"/>
      <c r="N62" s="28"/>
    </row>
    <row r="63" spans="1:14" s="935" customFormat="1" ht="24" customHeight="1">
      <c r="B63" s="1033"/>
      <c r="C63" s="1030"/>
      <c r="D63" s="1030"/>
      <c r="E63" s="1030"/>
      <c r="F63" s="1030"/>
      <c r="G63" s="1030"/>
      <c r="H63" s="1030"/>
      <c r="I63" s="1030"/>
      <c r="J63" s="1030"/>
      <c r="K63" s="1030"/>
      <c r="L63" s="1032"/>
      <c r="M63" s="28"/>
      <c r="N63" s="28"/>
    </row>
    <row r="64" spans="1:14" s="935" customFormat="1" ht="15.75">
      <c r="A64" s="28"/>
      <c r="B64" s="1034" t="s">
        <v>3466</v>
      </c>
      <c r="C64" s="1035">
        <f>C56-C62</f>
        <v>85306.079999999987</v>
      </c>
      <c r="D64" s="1035"/>
      <c r="E64" s="1035">
        <f>E56-E62</f>
        <v>79100.399999999994</v>
      </c>
      <c r="F64" s="1035"/>
      <c r="G64" s="1035">
        <f>G56-G62</f>
        <v>83988.079999999987</v>
      </c>
      <c r="H64" s="1035"/>
      <c r="I64" s="1035">
        <f>I56-I62</f>
        <v>84917.579999999987</v>
      </c>
      <c r="J64" s="1035"/>
      <c r="K64" s="1035">
        <f>K56-K62</f>
        <v>76033.899999999994</v>
      </c>
      <c r="L64" s="32"/>
      <c r="M64" s="28"/>
      <c r="N64" s="28"/>
    </row>
    <row r="65" spans="1:14" s="935" customFormat="1" ht="24" customHeight="1">
      <c r="A65" s="28"/>
      <c r="B65" s="1033"/>
      <c r="C65" s="1030"/>
      <c r="D65" s="1030"/>
      <c r="E65" s="1030"/>
      <c r="F65" s="1030"/>
      <c r="G65" s="1030"/>
      <c r="H65" s="1030"/>
      <c r="I65" s="1030"/>
      <c r="J65" s="1030"/>
      <c r="K65" s="1030"/>
      <c r="L65" s="32"/>
      <c r="M65" s="28"/>
      <c r="N65" s="28"/>
    </row>
    <row r="66" spans="1:14" s="935" customFormat="1" ht="15">
      <c r="A66" s="28"/>
      <c r="B66" s="1033" t="s">
        <v>3467</v>
      </c>
      <c r="C66" s="1030">
        <f>'Part VI-Revenues &amp; Expenses'!$P$181</f>
        <v>14700</v>
      </c>
      <c r="D66" s="1030"/>
      <c r="E66" s="1030">
        <f>$C$66</f>
        <v>14700</v>
      </c>
      <c r="F66" s="1030"/>
      <c r="G66" s="1030">
        <f>$C$66</f>
        <v>14700</v>
      </c>
      <c r="H66" s="1030"/>
      <c r="I66" s="1030">
        <f>$C$66</f>
        <v>14700</v>
      </c>
      <c r="J66" s="1030"/>
      <c r="K66" s="1030">
        <f>$C$66</f>
        <v>14700</v>
      </c>
      <c r="L66" s="32"/>
      <c r="M66" s="28"/>
      <c r="N66" s="28"/>
    </row>
    <row r="67" spans="1:14" s="935" customFormat="1" ht="6" customHeight="1">
      <c r="A67" s="28"/>
      <c r="B67" s="1033"/>
      <c r="C67" s="1030"/>
      <c r="D67" s="1030"/>
      <c r="E67" s="1030"/>
      <c r="F67" s="1030"/>
      <c r="G67" s="1030"/>
      <c r="H67" s="1030"/>
      <c r="I67" s="1030"/>
      <c r="J67" s="1030"/>
      <c r="K67" s="1030"/>
      <c r="L67" s="32"/>
      <c r="M67" s="28"/>
      <c r="N67" s="28"/>
    </row>
    <row r="68" spans="1:14" s="935" customFormat="1" ht="15">
      <c r="A68" s="28"/>
      <c r="B68" s="1033" t="s">
        <v>3468</v>
      </c>
      <c r="C68" s="1030">
        <f>'Part VI-Revenues &amp; Expenses'!$P$172</f>
        <v>23184</v>
      </c>
      <c r="D68" s="1030"/>
      <c r="E68" s="1030">
        <f>$C$68</f>
        <v>23184</v>
      </c>
      <c r="F68" s="1030"/>
      <c r="G68" s="1030">
        <f>$C$68</f>
        <v>23184</v>
      </c>
      <c r="H68" s="1030"/>
      <c r="I68" s="1030">
        <f>$C$68</f>
        <v>23184</v>
      </c>
      <c r="J68" s="1030"/>
      <c r="K68" s="1030">
        <f>$C$68</f>
        <v>23184</v>
      </c>
      <c r="L68" s="32"/>
      <c r="M68" s="28"/>
      <c r="N68" s="28"/>
    </row>
    <row r="69" spans="1:14" s="935" customFormat="1" ht="24" customHeight="1">
      <c r="A69" s="28"/>
      <c r="B69" s="1036"/>
      <c r="C69" s="1030"/>
      <c r="D69" s="1023"/>
      <c r="E69" s="1030"/>
      <c r="F69" s="1023"/>
      <c r="G69" s="1030"/>
      <c r="H69" s="1023"/>
      <c r="I69" s="1030"/>
      <c r="J69" s="1023"/>
      <c r="K69" s="1030"/>
      <c r="L69" s="32"/>
      <c r="M69" s="28"/>
      <c r="N69" s="28"/>
    </row>
    <row r="70" spans="1:14" s="935" customFormat="1" ht="15.75">
      <c r="A70" s="28"/>
      <c r="B70" s="1037" t="s">
        <v>3469</v>
      </c>
      <c r="C70" s="1038">
        <f>C64-C66-C68</f>
        <v>47422.079999999987</v>
      </c>
      <c r="D70" s="1039"/>
      <c r="E70" s="1038">
        <f>E64-E66-E68</f>
        <v>41216.399999999994</v>
      </c>
      <c r="F70" s="1039"/>
      <c r="G70" s="1038">
        <f>G64-G66-G68</f>
        <v>46104.079999999987</v>
      </c>
      <c r="H70" s="1039"/>
      <c r="I70" s="1038">
        <f>I64-I66-I68</f>
        <v>47033.579999999987</v>
      </c>
      <c r="J70" s="1039"/>
      <c r="K70" s="1038">
        <f>K64-K66-K68</f>
        <v>38149.899999999994</v>
      </c>
      <c r="L70" s="32"/>
      <c r="M70" s="28"/>
      <c r="N70" s="28"/>
    </row>
    <row r="71" spans="1:14" s="935" customFormat="1" ht="30" customHeight="1">
      <c r="A71" s="28"/>
      <c r="B71" s="1022"/>
      <c r="C71" s="1023"/>
      <c r="D71" s="1023"/>
      <c r="E71" s="1023"/>
      <c r="F71" s="1023"/>
      <c r="G71" s="1023"/>
      <c r="H71" s="1023"/>
      <c r="I71" s="1023"/>
      <c r="J71" s="1023"/>
      <c r="K71" s="1023"/>
      <c r="L71" s="32"/>
      <c r="M71" s="28"/>
      <c r="N71" s="28"/>
    </row>
    <row r="72" spans="1:14" s="938" customFormat="1" ht="18.75" customHeight="1">
      <c r="A72" s="269"/>
      <c r="B72" s="1040" t="s">
        <v>3470</v>
      </c>
      <c r="C72" s="1041">
        <f>-C70/C75</f>
        <v>1.2527296262052565</v>
      </c>
      <c r="D72" s="1041"/>
      <c r="E72" s="1041">
        <f>-E70/E75</f>
        <v>1.0887967243428871</v>
      </c>
      <c r="F72" s="1041"/>
      <c r="G72" s="1041">
        <f>-G70/G75</f>
        <v>1.2179125610883632</v>
      </c>
      <c r="H72" s="1041"/>
      <c r="I72" s="1041">
        <f>-I70/I75</f>
        <v>1.2424667811385546</v>
      </c>
      <c r="J72" s="1041"/>
      <c r="K72" s="1041">
        <f>-K70/K75</f>
        <v>1.0077902522784308</v>
      </c>
      <c r="L72" s="1042"/>
      <c r="M72" s="269"/>
      <c r="N72" s="269"/>
    </row>
    <row r="73" spans="1:14" s="935" customFormat="1" ht="18.75" customHeight="1">
      <c r="A73" s="28"/>
      <c r="B73" s="1022" t="s">
        <v>3471</v>
      </c>
      <c r="C73" s="1043">
        <f>C76/C62</f>
        <v>7.7234842980544019E-2</v>
      </c>
      <c r="D73" s="1043"/>
      <c r="E73" s="1043">
        <f>E76/E62</f>
        <v>2.7136514087349593E-2</v>
      </c>
      <c r="F73" s="1043"/>
      <c r="G73" s="1043">
        <f>G76/G62</f>
        <v>6.5893536121672897E-2</v>
      </c>
      <c r="H73" s="1043"/>
      <c r="I73" s="1043">
        <f>I76/I62</f>
        <v>7.386681796416332E-2</v>
      </c>
      <c r="J73" s="1043"/>
      <c r="K73" s="1043">
        <f>K76/K62</f>
        <v>2.3232088485187017E-3</v>
      </c>
      <c r="L73" s="32"/>
      <c r="M73" s="28"/>
      <c r="N73" s="28"/>
    </row>
    <row r="74" spans="1:14" s="935" customFormat="1" ht="24" customHeight="1">
      <c r="A74" s="28"/>
      <c r="B74" s="1022"/>
      <c r="C74" s="1023"/>
      <c r="D74" s="1023"/>
      <c r="E74" s="1023"/>
      <c r="F74" s="1023"/>
      <c r="G74" s="1023"/>
      <c r="H74" s="1023"/>
      <c r="I74" s="1023"/>
      <c r="J74" s="1023"/>
      <c r="K74" s="1023"/>
      <c r="L74" s="32"/>
      <c r="M74" s="28"/>
      <c r="N74" s="28"/>
    </row>
    <row r="75" spans="1:14" s="935" customFormat="1" ht="18.75" customHeight="1">
      <c r="A75" s="28"/>
      <c r="B75" s="1022" t="s">
        <v>3472</v>
      </c>
      <c r="C75" s="1023">
        <f>'Part VII-Pro Forma'!$B$23+'Part VII-Pro Forma'!$B$24+'Part VII-Pro Forma'!$B$25+'Part VII-Pro Forma'!$B$26</f>
        <v>-37855</v>
      </c>
      <c r="D75" s="1023"/>
      <c r="E75" s="1023">
        <f>$C$75</f>
        <v>-37855</v>
      </c>
      <c r="F75" s="1023"/>
      <c r="G75" s="1023">
        <f>$C$75</f>
        <v>-37855</v>
      </c>
      <c r="H75" s="1023"/>
      <c r="I75" s="1023">
        <f>$C$75</f>
        <v>-37855</v>
      </c>
      <c r="J75" s="1023"/>
      <c r="K75" s="1023">
        <f>$C$75</f>
        <v>-37855</v>
      </c>
      <c r="L75" s="32"/>
      <c r="M75" s="28"/>
      <c r="N75" s="28"/>
    </row>
    <row r="76" spans="1:14" s="935" customFormat="1" ht="18.75" customHeight="1">
      <c r="A76" s="28"/>
      <c r="B76" s="1022" t="s">
        <v>1219</v>
      </c>
      <c r="C76" s="1023">
        <f>C70+C75</f>
        <v>9567.0799999999872</v>
      </c>
      <c r="D76" s="1023"/>
      <c r="E76" s="1023">
        <f>E70+E75</f>
        <v>3361.3999999999942</v>
      </c>
      <c r="F76" s="1023"/>
      <c r="G76" s="1023">
        <f>G70+G75</f>
        <v>8249.0799999999872</v>
      </c>
      <c r="H76" s="1023"/>
      <c r="I76" s="1023">
        <f>I70+I75</f>
        <v>9178.5799999999872</v>
      </c>
      <c r="J76" s="1023"/>
      <c r="K76" s="1023">
        <f>K70+K75</f>
        <v>294.89999999999418</v>
      </c>
      <c r="L76" s="32"/>
      <c r="M76" s="28"/>
      <c r="N76" s="28"/>
    </row>
    <row r="77" spans="1:14" s="935" customFormat="1" ht="15" hidden="1">
      <c r="A77" s="28"/>
      <c r="B77" s="1022" t="s">
        <v>3473</v>
      </c>
      <c r="C77" s="1044" t="e">
        <f>PV(intrate/12,30*12,C75/12,0)</f>
        <v>#NAME?</v>
      </c>
      <c r="D77" s="1022"/>
      <c r="E77" s="1044" t="e">
        <f>PV(intrate/12,30*12,E75/12,0)</f>
        <v>#NAME?</v>
      </c>
      <c r="F77" s="1022"/>
      <c r="G77" s="1044" t="e">
        <f>PV(intrate/12,30*12,G75/12,0)</f>
        <v>#NAME?</v>
      </c>
      <c r="H77" s="1022"/>
      <c r="I77" s="1044" t="e">
        <f>PV(intrate/12,30*12,I75/12,0)</f>
        <v>#NAME?</v>
      </c>
      <c r="J77" s="1022"/>
      <c r="K77" s="1044" t="e">
        <f>PV(intrate/12,30*12,K75/12,0)</f>
        <v>#NAME?</v>
      </c>
      <c r="L77" s="32"/>
      <c r="M77" s="28"/>
      <c r="N77" s="28"/>
    </row>
    <row r="78" spans="1:14" s="935" customFormat="1" ht="15" hidden="1">
      <c r="A78" s="28"/>
      <c r="B78" s="1045" t="s">
        <v>3474</v>
      </c>
      <c r="C78" s="1032"/>
      <c r="D78" s="1032"/>
      <c r="E78" s="1032"/>
      <c r="F78" s="1032"/>
      <c r="G78" s="1032"/>
      <c r="H78" s="1032"/>
      <c r="I78" s="1032"/>
      <c r="J78" s="1032"/>
      <c r="K78" s="1032"/>
      <c r="L78" s="32"/>
      <c r="M78" s="28"/>
      <c r="N78" s="28"/>
    </row>
    <row r="79" spans="1:14" s="935" customFormat="1" ht="15" hidden="1">
      <c r="A79" s="28"/>
      <c r="B79" s="1032"/>
      <c r="C79" s="1032"/>
      <c r="D79" s="1032"/>
      <c r="E79" s="1032"/>
      <c r="F79" s="1032"/>
      <c r="G79" s="1032"/>
      <c r="H79" s="1032"/>
      <c r="I79" s="1032"/>
      <c r="J79" s="1032"/>
      <c r="K79" s="1032"/>
      <c r="L79" s="32"/>
      <c r="M79" s="28"/>
      <c r="N79" s="28"/>
    </row>
    <row r="80" spans="1:14" s="935" customFormat="1" ht="15.75" hidden="1" thickBot="1">
      <c r="A80" s="28"/>
      <c r="B80" s="1032" t="s">
        <v>3475</v>
      </c>
      <c r="C80" s="1046" t="e">
        <f>MIN(C77,E77,G77,I77,K77)</f>
        <v>#NAME?</v>
      </c>
      <c r="D80" s="1032"/>
      <c r="E80" s="1032" t="s">
        <v>3476</v>
      </c>
      <c r="F80" s="1047">
        <v>0.06</v>
      </c>
      <c r="G80" s="32"/>
      <c r="H80" s="32"/>
      <c r="I80" s="32"/>
      <c r="J80" s="32"/>
      <c r="K80" s="32"/>
      <c r="L80" s="32"/>
      <c r="M80" s="28"/>
      <c r="N80" s="28"/>
    </row>
    <row r="81" spans="1:14" s="935" customFormat="1" ht="15" hidden="1">
      <c r="A81" s="28"/>
      <c r="B81" s="1032" t="s">
        <v>1817</v>
      </c>
      <c r="C81" s="1046" t="e">
        <f>MAX(C77,E77,G77,I77,K77)</f>
        <v>#NAME?</v>
      </c>
      <c r="D81" s="1032"/>
      <c r="E81" s="1032"/>
      <c r="F81" s="1032"/>
      <c r="G81" s="32"/>
      <c r="H81" s="32"/>
      <c r="I81" s="32"/>
      <c r="J81" s="32"/>
      <c r="K81" s="32"/>
      <c r="L81" s="32"/>
      <c r="M81" s="28"/>
      <c r="N81" s="28"/>
    </row>
    <row r="82" spans="1:14" s="935" customFormat="1" ht="15">
      <c r="A82" s="28"/>
      <c r="B82" s="1032"/>
      <c r="C82" s="1032"/>
      <c r="D82" s="1032"/>
      <c r="E82" s="1032" t="s">
        <v>254</v>
      </c>
      <c r="F82" s="1032"/>
      <c r="G82" s="32"/>
      <c r="H82" s="32"/>
      <c r="I82" s="32"/>
      <c r="J82" s="32"/>
      <c r="K82" s="32"/>
      <c r="L82" s="32"/>
      <c r="M82" s="28"/>
      <c r="N82" s="28"/>
    </row>
    <row r="83" spans="1:14" s="935"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49" customWidth="1"/>
    <col min="2" max="2" width="1.7109375" style="949" customWidth="1"/>
    <col min="3" max="3" width="13" style="949" customWidth="1"/>
    <col min="4" max="4" width="11.28515625" style="949" customWidth="1"/>
    <col min="5" max="5" width="14.7109375" style="949" customWidth="1"/>
    <col min="6" max="6" width="15.140625" style="949" customWidth="1"/>
    <col min="7" max="7" width="11.7109375" style="949" customWidth="1"/>
    <col min="8" max="8" width="11.42578125" style="949" customWidth="1"/>
    <col min="9" max="9" width="10.5703125" style="949" customWidth="1"/>
    <col min="10" max="10" width="6" style="949" customWidth="1"/>
    <col min="11" max="11" width="12.7109375" style="949" customWidth="1"/>
    <col min="12" max="12" width="10.85546875" style="949" customWidth="1"/>
    <col min="13" max="13" width="26.28515625" style="949" customWidth="1"/>
    <col min="14" max="14" width="9.140625" style="949"/>
    <col min="15" max="15" width="12.42578125" style="949" customWidth="1"/>
    <col min="16" max="16" width="9.140625" style="949"/>
    <col min="17" max="17" width="11.7109375" style="949" bestFit="1" customWidth="1"/>
    <col min="18" max="16384" width="9.140625" style="949"/>
  </cols>
  <sheetData>
    <row r="1" spans="1:15" ht="13.5" customHeight="1">
      <c r="A1" s="950" t="s">
        <v>3477</v>
      </c>
      <c r="B1" s="1048"/>
      <c r="C1" s="949" t="str">
        <f>'Part I-Project Information'!F24</f>
        <v>Arbor Trace Apartments Phase II</v>
      </c>
    </row>
    <row r="2" spans="1:15" ht="13.5" customHeight="1"/>
    <row r="3" spans="1:15" ht="13.5" customHeight="1">
      <c r="A3" s="950" t="s">
        <v>3478</v>
      </c>
      <c r="C3" s="949" t="s">
        <v>3479</v>
      </c>
      <c r="E3" s="1049">
        <f>SUM('Part IV-Uses of Funds'!J147,'Part IV-Uses of Funds'!M147,'Part IV-Uses of Funds'!P147)</f>
        <v>5719016</v>
      </c>
      <c r="G3" s="1050" t="s">
        <v>3480</v>
      </c>
      <c r="H3" s="950">
        <v>27.5</v>
      </c>
      <c r="I3" s="949" t="s">
        <v>2591</v>
      </c>
      <c r="K3" s="956" t="s">
        <v>3502</v>
      </c>
      <c r="M3" s="952"/>
      <c r="O3" s="1051"/>
    </row>
    <row r="4" spans="1:15" ht="13.5" customHeight="1">
      <c r="C4" s="949" t="s">
        <v>4347</v>
      </c>
      <c r="E4" s="1049">
        <f>SUM('Part IV-Uses of Funds'!G85:H89)</f>
        <v>0</v>
      </c>
      <c r="G4" s="1050" t="s">
        <v>3481</v>
      </c>
      <c r="H4" s="950">
        <f>'Part III-Sources of Funds'!M36</f>
        <v>50</v>
      </c>
      <c r="I4" s="949" t="s">
        <v>2591</v>
      </c>
      <c r="K4" s="1052" t="s">
        <v>3765</v>
      </c>
      <c r="M4" s="952"/>
    </row>
    <row r="5" spans="1:15" ht="13.5" customHeight="1">
      <c r="C5" s="949" t="s">
        <v>4348</v>
      </c>
      <c r="E5" s="1049">
        <f>SUM('Part IV-Uses of Funds'!G96:H102)</f>
        <v>56576</v>
      </c>
      <c r="G5" s="1050" t="s">
        <v>3481</v>
      </c>
      <c r="H5" s="950">
        <v>15</v>
      </c>
      <c r="I5" s="949" t="s">
        <v>2591</v>
      </c>
      <c r="K5" s="1051">
        <f>-E6</f>
        <v>-4820057</v>
      </c>
    </row>
    <row r="6" spans="1:15" ht="13.5" customHeight="1">
      <c r="C6" s="949" t="s">
        <v>3482</v>
      </c>
      <c r="E6" s="1053">
        <f>'Part III-Sources of Funds'!$I$44+'Part III-Sources of Funds'!$I$45</f>
        <v>4820057</v>
      </c>
      <c r="G6" s="1050" t="s">
        <v>3483</v>
      </c>
      <c r="H6" s="1054">
        <v>0.35</v>
      </c>
      <c r="K6" s="1051" t="e">
        <f>C24</f>
        <v>#VALUE!</v>
      </c>
      <c r="M6" s="949" t="s">
        <v>3484</v>
      </c>
      <c r="O6" s="1055">
        <f>Overview!K32</f>
        <v>0</v>
      </c>
    </row>
    <row r="7" spans="1:15" ht="13.5" customHeight="1">
      <c r="K7" s="1051" t="e">
        <f>D24</f>
        <v>#VALUE!</v>
      </c>
      <c r="O7" s="1056"/>
    </row>
    <row r="8" spans="1:15" ht="13.5" customHeight="1">
      <c r="A8" s="950" t="s">
        <v>2602</v>
      </c>
      <c r="C8" s="1057">
        <v>1</v>
      </c>
      <c r="D8" s="1057">
        <v>2</v>
      </c>
      <c r="E8" s="1057">
        <v>3</v>
      </c>
      <c r="F8" s="1057">
        <v>4</v>
      </c>
      <c r="G8" s="1057">
        <v>5</v>
      </c>
      <c r="H8" s="1057">
        <v>6</v>
      </c>
      <c r="I8" s="1057">
        <v>7</v>
      </c>
      <c r="K8" s="1051" t="e">
        <f>E24</f>
        <v>#VALUE!</v>
      </c>
      <c r="M8" s="949" t="s">
        <v>3485</v>
      </c>
      <c r="O8" s="1056" t="e">
        <f>'Part VII-Pro Forma'!$K$65+'Part VII-Pro Forma'!$K$66</f>
        <v>#VALUE!</v>
      </c>
    </row>
    <row r="9" spans="1:15" ht="13.5" customHeight="1">
      <c r="A9" s="949" t="s">
        <v>3486</v>
      </c>
      <c r="C9" s="1058">
        <f>'Part VII-Pro Forma'!B30</f>
        <v>9567.0799999999872</v>
      </c>
      <c r="D9" s="1058">
        <f>'Part VII-Pro Forma'!C30</f>
        <v>9561.5015999999887</v>
      </c>
      <c r="E9" s="1058">
        <f>'Part VII-Pro Forma'!D30</f>
        <v>9488.1606320000283</v>
      </c>
      <c r="F9" s="1058">
        <f>'Part VII-Pro Forma'!E30</f>
        <v>9342.8547146399724</v>
      </c>
      <c r="G9" s="1058">
        <f>'Part VII-Pro Forma'!F30</f>
        <v>9323.3000050328119</v>
      </c>
      <c r="H9" s="1058">
        <f>'Part VII-Pro Forma'!G30</f>
        <v>9326.1284471165054</v>
      </c>
      <c r="I9" s="1058">
        <f>'Part VII-Pro Forma'!H30</f>
        <v>9448.8849313013197</v>
      </c>
      <c r="K9" s="1051" t="e">
        <f>F24</f>
        <v>#VALUE!</v>
      </c>
      <c r="N9" s="1059" t="s">
        <v>3488</v>
      </c>
    </row>
    <row r="10" spans="1:15" ht="13.5" customHeight="1">
      <c r="A10" s="949" t="s">
        <v>3487</v>
      </c>
      <c r="C10" s="1060">
        <f>'Part III-Sources of Funds'!I36-'Part VII-Pro Forma'!B36</f>
        <v>24673.683615786489</v>
      </c>
      <c r="D10" s="1060">
        <f>'Part VII-Pro Forma'!B36-'Part VII-Pro Forma'!C36</f>
        <v>24921.554476333316</v>
      </c>
      <c r="E10" s="1060">
        <f>'Part VII-Pro Forma'!C36-'Part VII-Pro Forma'!D36</f>
        <v>25171.91543785017</v>
      </c>
      <c r="F10" s="1060">
        <f>'Part VII-Pro Forma'!D36-'Part VII-Pro Forma'!E36</f>
        <v>25424.79151579435</v>
      </c>
      <c r="G10" s="1060">
        <f>'Part VII-Pro Forma'!E36-'Part VII-Pro Forma'!F36</f>
        <v>25680.207976926584</v>
      </c>
      <c r="H10" s="1060">
        <f>'Part VII-Pro Forma'!F36-'Part VII-Pro Forma'!G36</f>
        <v>25938.190341837471</v>
      </c>
      <c r="I10" s="1060">
        <f>'Part VII-Pro Forma'!G36-'Part VII-Pro Forma'!H36</f>
        <v>26198.764387495816</v>
      </c>
      <c r="K10" s="1051" t="e">
        <f>G24</f>
        <v>#VALUE!</v>
      </c>
      <c r="N10" s="1059" t="s">
        <v>3489</v>
      </c>
      <c r="O10" s="1056"/>
    </row>
    <row r="11" spans="1:15" ht="13.5" customHeight="1">
      <c r="A11" s="949" t="s">
        <v>3487</v>
      </c>
      <c r="C11" s="1060" t="e">
        <f>'Part III-Sources of Funds'!I37-'Part VII-Pro Forma'!B37</f>
        <v>#VALUE!</v>
      </c>
      <c r="D11" s="1060" t="e">
        <f>'Part VII-Pro Forma'!B37-'Part VII-Pro Forma'!C37</f>
        <v>#VALUE!</v>
      </c>
      <c r="E11" s="1060" t="e">
        <f>'Part VII-Pro Forma'!C37-'Part VII-Pro Forma'!D37</f>
        <v>#VALUE!</v>
      </c>
      <c r="F11" s="1060" t="e">
        <f>'Part VII-Pro Forma'!D37-'Part VII-Pro Forma'!E37</f>
        <v>#VALUE!</v>
      </c>
      <c r="G11" s="1060" t="e">
        <f>'Part VII-Pro Forma'!E37-'Part VII-Pro Forma'!F37</f>
        <v>#VALUE!</v>
      </c>
      <c r="H11" s="1060" t="e">
        <f>'Part VII-Pro Forma'!F37-'Part VII-Pro Forma'!G37</f>
        <v>#VALUE!</v>
      </c>
      <c r="I11" s="1060" t="e">
        <f>'Part VII-Pro Forma'!G37-'Part VII-Pro Forma'!H37</f>
        <v>#VALUE!</v>
      </c>
      <c r="K11" s="1051" t="e">
        <f>H24</f>
        <v>#VALUE!</v>
      </c>
      <c r="O11" s="1056"/>
    </row>
    <row r="12" spans="1:15" ht="13.5" customHeight="1">
      <c r="A12" s="949" t="s">
        <v>3487</v>
      </c>
      <c r="C12" s="1060"/>
      <c r="D12" s="1060"/>
      <c r="E12" s="1060"/>
      <c r="F12" s="1060"/>
      <c r="G12" s="1060"/>
      <c r="H12" s="1060"/>
      <c r="I12" s="1060"/>
      <c r="K12" s="1051" t="e">
        <f>I24</f>
        <v>#VALUE!</v>
      </c>
      <c r="M12" s="949" t="s">
        <v>3491</v>
      </c>
      <c r="N12" s="1061">
        <v>0.06</v>
      </c>
      <c r="O12" s="1056">
        <f>N12*O6</f>
        <v>0</v>
      </c>
    </row>
    <row r="13" spans="1:15" ht="13.5" customHeight="1">
      <c r="A13" s="1062" t="s">
        <v>4350</v>
      </c>
      <c r="B13" s="1063"/>
      <c r="C13" s="1064">
        <f>-SUMIF('Part VII-Pro Forma'!$A$13:$L$13,C$8,'Part VII-Pro Forma'!$A$21:$L$21)-SUMIF('Part VII-Pro Forma'!$A$42:$L$42,C$8,'Part VII-Pro Forma'!$A$50:$L$50)-SUMIF('Part VII-Pro Forma'!$A$71:$L$71,C$8,'Part VII-Pro Forma'!$A$79:$L$79)</f>
        <v>14700</v>
      </c>
      <c r="D13" s="1064">
        <f>-SUMIF('Part VII-Pro Forma'!$A$13:$L$13,D$8,'Part VII-Pro Forma'!$A$21:$L$21)-SUMIF('Part VII-Pro Forma'!$A$42:$L$42,D$8,'Part VII-Pro Forma'!$A$50:$L$50)-SUMIF('Part VII-Pro Forma'!$A$71:$L$71,D$8,'Part VII-Pro Forma'!$A$79:$L$79)</f>
        <v>15141</v>
      </c>
      <c r="E13" s="1064">
        <f>-SUMIF('Part VII-Pro Forma'!$A$13:$L$13,E$8,'Part VII-Pro Forma'!$A$21:$L$21)-SUMIF('Part VII-Pro Forma'!$A$42:$L$42,E$8,'Part VII-Pro Forma'!$A$50:$L$50)-SUMIF('Part VII-Pro Forma'!$A$71:$L$71,E$8,'Part VII-Pro Forma'!$A$79:$L$79)</f>
        <v>15595.23</v>
      </c>
      <c r="F13" s="1064">
        <f>-SUMIF('Part VII-Pro Forma'!$A$13:$L$13,F$8,'Part VII-Pro Forma'!$A$21:$L$21)-SUMIF('Part VII-Pro Forma'!$A$42:$L$42,F$8,'Part VII-Pro Forma'!$A$50:$L$50)-SUMIF('Part VII-Pro Forma'!$A$71:$L$71,F$8,'Part VII-Pro Forma'!$A$79:$L$79)</f>
        <v>16063.0869</v>
      </c>
      <c r="G13" s="1064">
        <f>-SUMIF('Part VII-Pro Forma'!$A$13:$L$13,G$8,'Part VII-Pro Forma'!$A$21:$L$21)-SUMIF('Part VII-Pro Forma'!$A$42:$L$42,G$8,'Part VII-Pro Forma'!$A$50:$L$50)-SUMIF('Part VII-Pro Forma'!$A$71:$L$71,G$8,'Part VII-Pro Forma'!$A$79:$L$79)</f>
        <v>16544.979507</v>
      </c>
      <c r="H13" s="1064">
        <f>-SUMIF('Part VII-Pro Forma'!$A$13:$L$13,H$8,'Part VII-Pro Forma'!$A$21:$L$21)-SUMIF('Part VII-Pro Forma'!$A$42:$L$42,H$8,'Part VII-Pro Forma'!$A$50:$L$50)-SUMIF('Part VII-Pro Forma'!$A$71:$L$71,H$8,'Part VII-Pro Forma'!$A$79:$L$79)</f>
        <v>17041.328892209996</v>
      </c>
      <c r="I13" s="1064">
        <f>-SUMIF('Part VII-Pro Forma'!$A$13:$L$13,I$8,'Part VII-Pro Forma'!$A$21:$L$21)-SUMIF('Part VII-Pro Forma'!$A$42:$L$42,I$8,'Part VII-Pro Forma'!$A$50:$L$50)-SUMIF('Part VII-Pro Forma'!$A$71:$L$71,I$8,'Part VII-Pro Forma'!$A$79:$L$79)</f>
        <v>17552.5687589763</v>
      </c>
      <c r="K13" s="1051" t="e">
        <f>C44</f>
        <v>#VALUE!</v>
      </c>
      <c r="O13" s="1056"/>
    </row>
    <row r="14" spans="1:15" ht="13.5" customHeight="1">
      <c r="A14" s="1062" t="s">
        <v>4351</v>
      </c>
      <c r="B14" s="1063"/>
      <c r="C14" s="1064">
        <f>-SUMIF('Part VII-Pro Forma'!$A$13:$L$13,C$8,'Part VII-Pro Forma'!$A$29:$L$29)-SUMIF('Part VII-Pro Forma'!$A$42:$L$42,C$8,'Part VII-Pro Forma'!$A$58:$L$58)-SUMIF('Part VII-Pro Forma'!$A$71:$L$71,C$8,'Part VII-Pro Forma'!$A$87:$L$87)</f>
        <v>0</v>
      </c>
      <c r="D14" s="1064">
        <f>-SUMIF('Part VII-Pro Forma'!$A$13:$L$13,D$8,'Part VII-Pro Forma'!$A$29:$L$29)-SUMIF('Part VII-Pro Forma'!$A$42:$L$42,D$8,'Part VII-Pro Forma'!$A$58:$L$58)-SUMIF('Part VII-Pro Forma'!$A$71:$L$71,D$8,'Part VII-Pro Forma'!$A$87:$L$87)</f>
        <v>0</v>
      </c>
      <c r="E14" s="1064">
        <f>-SUMIF('Part VII-Pro Forma'!$A$13:$L$13,E$8,'Part VII-Pro Forma'!$A$29:$L$29)-SUMIF('Part VII-Pro Forma'!$A$42:$L$42,E$8,'Part VII-Pro Forma'!$A$58:$L$58)-SUMIF('Part VII-Pro Forma'!$A$71:$L$71,E$8,'Part VII-Pro Forma'!$A$87:$L$87)</f>
        <v>0</v>
      </c>
      <c r="F14" s="1064">
        <f>-SUMIF('Part VII-Pro Forma'!$A$13:$L$13,F$8,'Part VII-Pro Forma'!$A$29:$L$29)-SUMIF('Part VII-Pro Forma'!$A$42:$L$42,F$8,'Part VII-Pro Forma'!$A$58:$L$58)-SUMIF('Part VII-Pro Forma'!$A$71:$L$71,F$8,'Part VII-Pro Forma'!$A$87:$L$87)</f>
        <v>0</v>
      </c>
      <c r="G14" s="1064">
        <f>-SUMIF('Part VII-Pro Forma'!$A$13:$L$13,G$8,'Part VII-Pro Forma'!$A$29:$L$29)-SUMIF('Part VII-Pro Forma'!$A$42:$L$42,G$8,'Part VII-Pro Forma'!$A$58:$L$58)-SUMIF('Part VII-Pro Forma'!$A$71:$L$71,G$8,'Part VII-Pro Forma'!$A$87:$L$87)</f>
        <v>0</v>
      </c>
      <c r="H14" s="1064">
        <f>-SUMIF('Part VII-Pro Forma'!$A$13:$L$13,H$8,'Part VII-Pro Forma'!$A$29:$L$29)-SUMIF('Part VII-Pro Forma'!$A$42:$L$42,H$8,'Part VII-Pro Forma'!$A$58:$L$58)-SUMIF('Part VII-Pro Forma'!$A$71:$L$71,H$8,'Part VII-Pro Forma'!$A$87:$L$87)</f>
        <v>0</v>
      </c>
      <c r="I14" s="1064">
        <f>-SUMIF('Part VII-Pro Forma'!$A$13:$L$13,I$8,'Part VII-Pro Forma'!$A$29:$L$29)-SUMIF('Part VII-Pro Forma'!$A$42:$L$42,I$8,'Part VII-Pro Forma'!$A$58:$L$58)-SUMIF('Part VII-Pro Forma'!$A$71:$L$71,I$8,'Part VII-Pro Forma'!$A$87:$L$87)</f>
        <v>0</v>
      </c>
      <c r="K14" s="1051" t="e">
        <f>D44</f>
        <v>#VALUE!</v>
      </c>
      <c r="M14" s="949" t="s">
        <v>3494</v>
      </c>
      <c r="O14" s="1056" t="e">
        <f>O6-O8-O12</f>
        <v>#VALUE!</v>
      </c>
    </row>
    <row r="15" spans="1:15" ht="13.5" customHeight="1">
      <c r="A15" s="1065" t="s">
        <v>3490</v>
      </c>
      <c r="C15" s="1066">
        <f t="shared" ref="C15:I15" si="0">$E$3/$H$3</f>
        <v>207964.21818181817</v>
      </c>
      <c r="D15" s="1066">
        <f t="shared" si="0"/>
        <v>207964.21818181817</v>
      </c>
      <c r="E15" s="1066">
        <f t="shared" si="0"/>
        <v>207964.21818181817</v>
      </c>
      <c r="F15" s="1066">
        <f t="shared" si="0"/>
        <v>207964.21818181817</v>
      </c>
      <c r="G15" s="1066">
        <f t="shared" si="0"/>
        <v>207964.21818181817</v>
      </c>
      <c r="H15" s="1066">
        <f t="shared" si="0"/>
        <v>207964.21818181817</v>
      </c>
      <c r="I15" s="1066">
        <f t="shared" si="0"/>
        <v>207964.21818181817</v>
      </c>
      <c r="K15" s="1051" t="e">
        <f>E44</f>
        <v>#VALUE!</v>
      </c>
      <c r="O15" s="1056"/>
    </row>
    <row r="16" spans="1:15" ht="13.5" customHeight="1">
      <c r="A16" s="1065" t="s">
        <v>3492</v>
      </c>
      <c r="C16" s="1066">
        <f>IF(C$8&lt;=$H$4,($E$4/$H$4),0)+IF(C$8&lt;=$H$5,($E$5/$H$5),0)</f>
        <v>3771.7333333333331</v>
      </c>
      <c r="D16" s="1066">
        <f t="shared" ref="D16:I16" si="1">IF(D$8&lt;=$H$4,($E$4/$H$4),0)+IF(D$8&lt;=$H$5,($E$5/$H$5),0)</f>
        <v>3771.7333333333331</v>
      </c>
      <c r="E16" s="1066">
        <f t="shared" si="1"/>
        <v>3771.7333333333331</v>
      </c>
      <c r="F16" s="1066">
        <f t="shared" si="1"/>
        <v>3771.7333333333331</v>
      </c>
      <c r="G16" s="1066">
        <f t="shared" si="1"/>
        <v>3771.7333333333331</v>
      </c>
      <c r="H16" s="1066">
        <f t="shared" si="1"/>
        <v>3771.7333333333331</v>
      </c>
      <c r="I16" s="1066">
        <f t="shared" si="1"/>
        <v>3771.7333333333331</v>
      </c>
      <c r="K16" s="1051" t="e">
        <f>F44</f>
        <v>#VALUE!</v>
      </c>
      <c r="M16" s="949" t="s">
        <v>3496</v>
      </c>
      <c r="O16" s="1056">
        <f>E3</f>
        <v>5719016</v>
      </c>
    </row>
    <row r="17" spans="1:17" ht="13.5" customHeight="1">
      <c r="A17" s="1065" t="s">
        <v>3493</v>
      </c>
      <c r="C17" s="1060" t="e">
        <f t="shared" ref="C17:I17" si="2">C9+C10+C11+C12+C13+C14-C15-C16</f>
        <v>#VALUE!</v>
      </c>
      <c r="D17" s="1060" t="e">
        <f t="shared" si="2"/>
        <v>#VALUE!</v>
      </c>
      <c r="E17" s="1060" t="e">
        <f t="shared" si="2"/>
        <v>#VALUE!</v>
      </c>
      <c r="F17" s="1060" t="e">
        <f t="shared" si="2"/>
        <v>#VALUE!</v>
      </c>
      <c r="G17" s="1060" t="e">
        <f t="shared" si="2"/>
        <v>#VALUE!</v>
      </c>
      <c r="H17" s="1060" t="e">
        <f t="shared" si="2"/>
        <v>#VALUE!</v>
      </c>
      <c r="I17" s="1060" t="e">
        <f t="shared" si="2"/>
        <v>#VALUE!</v>
      </c>
      <c r="K17" s="1051" t="e">
        <f>G44</f>
        <v>#VALUE!</v>
      </c>
      <c r="M17" s="949" t="s">
        <v>3490</v>
      </c>
      <c r="O17" s="1056">
        <f>20*(E3/H3)</f>
        <v>4159284.3636363633</v>
      </c>
    </row>
    <row r="18" spans="1:17" ht="13.5" customHeight="1">
      <c r="A18" s="1065" t="s">
        <v>3495</v>
      </c>
      <c r="C18" s="1067" t="e">
        <f t="shared" ref="C18:I18" si="3">C17*$H$6</f>
        <v>#VALUE!</v>
      </c>
      <c r="D18" s="1067" t="e">
        <f t="shared" si="3"/>
        <v>#VALUE!</v>
      </c>
      <c r="E18" s="1067" t="e">
        <f t="shared" si="3"/>
        <v>#VALUE!</v>
      </c>
      <c r="F18" s="1067" t="e">
        <f t="shared" si="3"/>
        <v>#VALUE!</v>
      </c>
      <c r="G18" s="1067" t="e">
        <f t="shared" si="3"/>
        <v>#VALUE!</v>
      </c>
      <c r="H18" s="1067" t="e">
        <f t="shared" si="3"/>
        <v>#VALUE!</v>
      </c>
      <c r="I18" s="1067" t="e">
        <f t="shared" si="3"/>
        <v>#VALUE!</v>
      </c>
      <c r="K18" s="1051" t="e">
        <f>H44</f>
        <v>#VALUE!</v>
      </c>
      <c r="O18" s="1056"/>
    </row>
    <row r="19" spans="1:17" ht="13.5" customHeight="1">
      <c r="A19" s="1065"/>
      <c r="C19" s="1058"/>
      <c r="D19" s="1058"/>
      <c r="E19" s="1058"/>
      <c r="F19" s="1058"/>
      <c r="G19" s="1058"/>
      <c r="H19" s="1058"/>
      <c r="I19" s="1058"/>
      <c r="K19" s="1051" t="e">
        <f>I44</f>
        <v>#VALUE!</v>
      </c>
      <c r="M19" s="949" t="s">
        <v>3500</v>
      </c>
      <c r="O19" s="1056">
        <f>O16-O17</f>
        <v>1559731.6363636367</v>
      </c>
    </row>
    <row r="20" spans="1:17" ht="13.5" customHeight="1">
      <c r="A20" s="949" t="s">
        <v>3497</v>
      </c>
      <c r="C20" s="1060" t="e">
        <f t="shared" ref="C20:I20" si="4">C9-C18</f>
        <v>#VALUE!</v>
      </c>
      <c r="D20" s="1060" t="e">
        <f t="shared" si="4"/>
        <v>#VALUE!</v>
      </c>
      <c r="E20" s="1060" t="e">
        <f t="shared" si="4"/>
        <v>#VALUE!</v>
      </c>
      <c r="F20" s="1060" t="e">
        <f t="shared" si="4"/>
        <v>#VALUE!</v>
      </c>
      <c r="G20" s="1060" t="e">
        <f t="shared" si="4"/>
        <v>#VALUE!</v>
      </c>
      <c r="H20" s="1060" t="e">
        <f t="shared" si="4"/>
        <v>#VALUE!</v>
      </c>
      <c r="I20" s="1060" t="e">
        <f t="shared" si="4"/>
        <v>#VALUE!</v>
      </c>
      <c r="K20" s="1051" t="e">
        <f>C64</f>
        <v>#VALUE!</v>
      </c>
      <c r="O20" s="1056"/>
    </row>
    <row r="21" spans="1:17" ht="13.5" customHeight="1">
      <c r="A21" s="949" t="s">
        <v>3498</v>
      </c>
      <c r="C21" s="1067">
        <f>'Part IV-Uses of Funds'!$J$173</f>
        <v>359705.74626865669</v>
      </c>
      <c r="D21" s="1067">
        <f t="shared" ref="D21:I21" si="5">C21</f>
        <v>359705.74626865669</v>
      </c>
      <c r="E21" s="1067">
        <f t="shared" si="5"/>
        <v>359705.74626865669</v>
      </c>
      <c r="F21" s="1067">
        <f t="shared" si="5"/>
        <v>359705.74626865669</v>
      </c>
      <c r="G21" s="1067">
        <f t="shared" si="5"/>
        <v>359705.74626865669</v>
      </c>
      <c r="H21" s="1067">
        <f t="shared" si="5"/>
        <v>359705.74626865669</v>
      </c>
      <c r="I21" s="1067">
        <f t="shared" si="5"/>
        <v>359705.74626865669</v>
      </c>
      <c r="J21" s="949" t="s">
        <v>254</v>
      </c>
      <c r="K21" s="1051" t="e">
        <f>D64</f>
        <v>#VALUE!</v>
      </c>
      <c r="O21" s="1056"/>
    </row>
    <row r="22" spans="1:17" ht="13.5" customHeight="1">
      <c r="A22" s="949" t="s">
        <v>3499</v>
      </c>
      <c r="C22" s="1067">
        <f>C21</f>
        <v>359705.74626865669</v>
      </c>
      <c r="D22" s="1067">
        <f t="shared" ref="D22:I22" si="6">D21</f>
        <v>359705.74626865669</v>
      </c>
      <c r="E22" s="1067">
        <f t="shared" si="6"/>
        <v>359705.74626865669</v>
      </c>
      <c r="F22" s="1067">
        <f t="shared" si="6"/>
        <v>359705.74626865669</v>
      </c>
      <c r="G22" s="1067">
        <f t="shared" si="6"/>
        <v>359705.74626865669</v>
      </c>
      <c r="H22" s="1067">
        <f t="shared" si="6"/>
        <v>359705.74626865669</v>
      </c>
      <c r="I22" s="1067">
        <f t="shared" si="6"/>
        <v>359705.74626865669</v>
      </c>
      <c r="K22" s="1051" t="e">
        <f>E64</f>
        <v>#VALUE!</v>
      </c>
      <c r="M22" s="949" t="s">
        <v>3484</v>
      </c>
      <c r="O22" s="1056">
        <f>O6</f>
        <v>0</v>
      </c>
    </row>
    <row r="23" spans="1:17" ht="13.5" customHeight="1">
      <c r="A23" s="949" t="s">
        <v>3501</v>
      </c>
      <c r="C23" s="1058">
        <v>0</v>
      </c>
      <c r="D23" s="1058">
        <v>0</v>
      </c>
      <c r="E23" s="1058">
        <v>0</v>
      </c>
      <c r="F23" s="1058">
        <v>0</v>
      </c>
      <c r="G23" s="1058">
        <v>0</v>
      </c>
      <c r="H23" s="1058">
        <v>0</v>
      </c>
      <c r="I23" s="1058">
        <v>0</v>
      </c>
      <c r="K23" s="1051" t="e">
        <f>F64</f>
        <v>#VALUE!</v>
      </c>
      <c r="M23" s="949" t="s">
        <v>3503</v>
      </c>
      <c r="O23" s="1056">
        <f>O19</f>
        <v>1559731.6363636367</v>
      </c>
    </row>
    <row r="24" spans="1:17" ht="13.5" customHeight="1">
      <c r="A24" s="949" t="s">
        <v>3502</v>
      </c>
      <c r="C24" s="1060" t="e">
        <f t="shared" ref="C24:I24" si="7">SUM(C20:C23)</f>
        <v>#VALUE!</v>
      </c>
      <c r="D24" s="1060" t="e">
        <f t="shared" si="7"/>
        <v>#VALUE!</v>
      </c>
      <c r="E24" s="1060" t="e">
        <f t="shared" si="7"/>
        <v>#VALUE!</v>
      </c>
      <c r="F24" s="1060" t="e">
        <f t="shared" si="7"/>
        <v>#VALUE!</v>
      </c>
      <c r="G24" s="1060" t="e">
        <f t="shared" si="7"/>
        <v>#VALUE!</v>
      </c>
      <c r="H24" s="1060" t="e">
        <f t="shared" si="7"/>
        <v>#VALUE!</v>
      </c>
      <c r="I24" s="1060" t="e">
        <f t="shared" si="7"/>
        <v>#VALUE!</v>
      </c>
      <c r="K24" s="1051" t="e">
        <f>G64</f>
        <v>#VALUE!</v>
      </c>
      <c r="O24" s="1056"/>
    </row>
    <row r="25" spans="1:17" ht="13.5" customHeight="1">
      <c r="K25" s="1051" t="e">
        <f>H64</f>
        <v>#VALUE!</v>
      </c>
      <c r="M25" s="949" t="s">
        <v>3504</v>
      </c>
      <c r="O25" s="1056">
        <f>O22-O23</f>
        <v>-1559731.6363636367</v>
      </c>
      <c r="Q25" s="1068"/>
    </row>
    <row r="26" spans="1:17" ht="13.5" customHeight="1">
      <c r="A26" s="1069"/>
      <c r="B26" s="1069"/>
      <c r="C26" s="1069"/>
      <c r="D26" s="1069"/>
      <c r="E26" s="1069"/>
      <c r="F26" s="1069"/>
      <c r="G26" s="1069"/>
      <c r="H26" s="1069"/>
      <c r="I26" s="1069"/>
      <c r="K26" s="1051"/>
      <c r="O26" s="1056"/>
    </row>
    <row r="27" spans="1:17" ht="13.5" customHeight="1">
      <c r="K27" s="1051"/>
      <c r="M27" s="949" t="s">
        <v>3505</v>
      </c>
      <c r="N27" s="1070"/>
      <c r="O27" s="1061">
        <v>0.2</v>
      </c>
    </row>
    <row r="28" spans="1:17" ht="13.5" customHeight="1">
      <c r="A28" s="950" t="s">
        <v>2602</v>
      </c>
      <c r="B28" s="950"/>
      <c r="C28" s="1057">
        <v>8</v>
      </c>
      <c r="D28" s="1057">
        <v>9</v>
      </c>
      <c r="E28" s="1057">
        <v>10</v>
      </c>
      <c r="F28" s="1057">
        <v>11</v>
      </c>
      <c r="G28" s="1057">
        <v>12</v>
      </c>
      <c r="H28" s="1057">
        <v>13</v>
      </c>
      <c r="I28" s="1057">
        <v>14</v>
      </c>
      <c r="N28" s="1070"/>
      <c r="O28" s="1070"/>
    </row>
    <row r="29" spans="1:17" ht="13.5" customHeight="1">
      <c r="A29" s="949" t="s">
        <v>3486</v>
      </c>
      <c r="C29" s="1058">
        <f>'Part VII-Pro Forma'!I30</f>
        <v>9488.0243626270458</v>
      </c>
      <c r="D29" s="1058">
        <f>'Part VII-Pro Forma'!J30</f>
        <v>9638.9086345603428</v>
      </c>
      <c r="E29" s="1058">
        <f>'Part VII-Pro Forma'!K30</f>
        <v>9499.803505472737</v>
      </c>
      <c r="F29" s="1058">
        <f>'Part VII-Pro Forma'!B59</f>
        <v>9466.8753747500086</v>
      </c>
      <c r="G29" s="1058">
        <f>'Part VII-Pro Forma'!C59</f>
        <v>9435.1879553878534</v>
      </c>
      <c r="H29" s="1058">
        <f>'Part VII-Pro Forma'!D59</f>
        <v>9301.6988398327812</v>
      </c>
      <c r="I29" s="1058">
        <f>'Part VII-Pro Forma'!E59</f>
        <v>9463.2559557267159</v>
      </c>
      <c r="N29" s="1070"/>
      <c r="O29" s="1070"/>
    </row>
    <row r="30" spans="1:17" ht="13.5" customHeight="1">
      <c r="A30" s="949" t="s">
        <v>3487</v>
      </c>
      <c r="C30" s="1060">
        <f>'Part VII-Pro Forma'!H36-'Part VII-Pro Forma'!I36</f>
        <v>26461.956149825128</v>
      </c>
      <c r="D30" s="1060">
        <f>'Part VII-Pro Forma'!I36-'Part VII-Pro Forma'!J36</f>
        <v>26727.791926304577</v>
      </c>
      <c r="E30" s="1060">
        <f>'Part VII-Pro Forma'!J36-'Part VII-Pro Forma'!K36</f>
        <v>26996.298278596951</v>
      </c>
      <c r="F30" s="1060">
        <f>'Part VII-Pro Forma'!K36-'Part VII-Pro Forma'!B65</f>
        <v>27267.502035202575</v>
      </c>
      <c r="G30" s="1060">
        <f>'Part VII-Pro Forma'!B65-'Part VII-Pro Forma'!C65</f>
        <v>27541.430294139311</v>
      </c>
      <c r="H30" s="1060">
        <f>'Part VII-Pro Forma'!C65-'Part VII-Pro Forma'!D65</f>
        <v>27818.11042565119</v>
      </c>
      <c r="I30" s="1060">
        <f>'Part VII-Pro Forma'!D65-'Part VII-Pro Forma'!E65</f>
        <v>28097.570074942545</v>
      </c>
    </row>
    <row r="31" spans="1:17" ht="13.5" customHeight="1">
      <c r="A31" s="949" t="s">
        <v>3487</v>
      </c>
      <c r="C31" s="1060" t="e">
        <f>'Part VII-Pro Forma'!H37-'Part VII-Pro Forma'!I37</f>
        <v>#VALUE!</v>
      </c>
      <c r="D31" s="1060" t="e">
        <f>'Part VII-Pro Forma'!I37-'Part VII-Pro Forma'!J37</f>
        <v>#VALUE!</v>
      </c>
      <c r="E31" s="1060" t="e">
        <f>'Part VII-Pro Forma'!J37-'Part VII-Pro Forma'!K37</f>
        <v>#VALUE!</v>
      </c>
      <c r="F31" s="1060" t="e">
        <f>'Part VII-Pro Forma'!K37-'Part VII-Pro Forma'!B66</f>
        <v>#VALUE!</v>
      </c>
      <c r="G31" s="1060" t="e">
        <f>'Part VII-Pro Forma'!B66-'Part VII-Pro Forma'!C66</f>
        <v>#VALUE!</v>
      </c>
      <c r="H31" s="1060" t="e">
        <f>'Part VII-Pro Forma'!C66-'Part VII-Pro Forma'!D66</f>
        <v>#VALUE!</v>
      </c>
      <c r="I31" s="1060" t="e">
        <f>'Part VII-Pro Forma'!D66-'Part VII-Pro Forma'!E66</f>
        <v>#VALUE!</v>
      </c>
      <c r="K31" s="949" t="s">
        <v>254</v>
      </c>
      <c r="M31" s="949" t="s">
        <v>3506</v>
      </c>
      <c r="O31" s="1058">
        <f>O25*O27</f>
        <v>-311946.32727272733</v>
      </c>
    </row>
    <row r="32" spans="1:17" ht="13.5" customHeight="1">
      <c r="A32" s="949" t="s">
        <v>3487</v>
      </c>
      <c r="C32" s="1058"/>
      <c r="D32" s="1058"/>
      <c r="E32" s="1058"/>
      <c r="F32" s="1058"/>
      <c r="G32" s="1058"/>
      <c r="H32" s="1058"/>
      <c r="I32" s="1058"/>
    </row>
    <row r="33" spans="1:15" ht="13.5" customHeight="1">
      <c r="A33" s="1062" t="s">
        <v>4350</v>
      </c>
      <c r="B33" s="1063"/>
      <c r="C33" s="1064">
        <f>-SUMIF('Part VII-Pro Forma'!$A$13:$L$13,C$28,'Part VII-Pro Forma'!$A$21:$L$21)-SUMIF('Part VII-Pro Forma'!$A$42:$L$42,C$28,'Part VII-Pro Forma'!$A$50:$L$50)-SUMIF('Part VII-Pro Forma'!$A$71:$L$71,C$28,'Part VII-Pro Forma'!$A$79:$L$79)</f>
        <v>18079.145821745587</v>
      </c>
      <c r="D33" s="1064">
        <f>-SUMIF('Part VII-Pro Forma'!$A$13:$L$13,D$28,'Part VII-Pro Forma'!$A$21:$L$21)-SUMIF('Part VII-Pro Forma'!$A$42:$L$42,D$28,'Part VII-Pro Forma'!$A$50:$L$50)-SUMIF('Part VII-Pro Forma'!$A$71:$L$71,D$28,'Part VII-Pro Forma'!$A$79:$L$79)</f>
        <v>18621.520196397953</v>
      </c>
      <c r="E33" s="1064">
        <f>-SUMIF('Part VII-Pro Forma'!$A$13:$L$13,E$28,'Part VII-Pro Forma'!$A$21:$L$21)-SUMIF('Part VII-Pro Forma'!$A$42:$L$42,E$28,'Part VII-Pro Forma'!$A$50:$L$50)-SUMIF('Part VII-Pro Forma'!$A$71:$L$71,E$28,'Part VII-Pro Forma'!$A$79:$L$79)</f>
        <v>19180.165802289892</v>
      </c>
      <c r="F33" s="1064">
        <f>-SUMIF('Part VII-Pro Forma'!$A$13:$L$13,F$28,'Part VII-Pro Forma'!$A$21:$L$21)-SUMIF('Part VII-Pro Forma'!$A$42:$L$42,F$28,'Part VII-Pro Forma'!$A$50:$L$50)-SUMIF('Part VII-Pro Forma'!$A$71:$L$71,F$28,'Part VII-Pro Forma'!$A$79:$L$79)</f>
        <v>19755.570776358589</v>
      </c>
      <c r="G33" s="1064">
        <f>-SUMIF('Part VII-Pro Forma'!$A$13:$L$13,G$28,'Part VII-Pro Forma'!$A$21:$L$21)-SUMIF('Part VII-Pro Forma'!$A$42:$L$42,G$28,'Part VII-Pro Forma'!$A$50:$L$50)-SUMIF('Part VII-Pro Forma'!$A$71:$L$71,G$28,'Part VII-Pro Forma'!$A$79:$L$79)</f>
        <v>20348.23789964935</v>
      </c>
      <c r="H33" s="1064">
        <f>-SUMIF('Part VII-Pro Forma'!$A$13:$L$13,H$28,'Part VII-Pro Forma'!$A$21:$L$21)-SUMIF('Part VII-Pro Forma'!$A$42:$L$42,H$28,'Part VII-Pro Forma'!$A$50:$L$50)-SUMIF('Part VII-Pro Forma'!$A$71:$L$71,H$28,'Part VII-Pro Forma'!$A$79:$L$79)</f>
        <v>20958.685036638824</v>
      </c>
      <c r="I33" s="1064">
        <f>-SUMIF('Part VII-Pro Forma'!$A$13:$L$13,I$28,'Part VII-Pro Forma'!$A$21:$L$21)-SUMIF('Part VII-Pro Forma'!$A$42:$L$42,I$28,'Part VII-Pro Forma'!$A$50:$L$50)-SUMIF('Part VII-Pro Forma'!$A$71:$L$71,I$28,'Part VII-Pro Forma'!$A$79:$L$79)</f>
        <v>21587.445587737988</v>
      </c>
      <c r="K33" s="949" t="s">
        <v>254</v>
      </c>
      <c r="M33" s="949" t="s">
        <v>3507</v>
      </c>
      <c r="O33" s="1058" t="e">
        <f>O14-O31</f>
        <v>#VALUE!</v>
      </c>
    </row>
    <row r="34" spans="1:15" ht="13.5" customHeight="1">
      <c r="A34" s="1062" t="s">
        <v>4351</v>
      </c>
      <c r="B34" s="1063"/>
      <c r="C34" s="1064">
        <f>-SUMIF('Part VII-Pro Forma'!$A$13:$L$13,C$28,'Part VII-Pro Forma'!$A$29:$L$29)-SUMIF('Part VII-Pro Forma'!$A$42:$L$42,C$28,'Part VII-Pro Forma'!$A$58:$L$58)-SUMIF('Part VII-Pro Forma'!$A$71:$L$71,C$28,'Part VII-Pro Forma'!$A$87:$L$87)</f>
        <v>0</v>
      </c>
      <c r="D34" s="1064">
        <f>-SUMIF('Part VII-Pro Forma'!$A$13:$L$13,D$28,'Part VII-Pro Forma'!$A$29:$L$29)-SUMIF('Part VII-Pro Forma'!$A$42:$L$42,D$28,'Part VII-Pro Forma'!$A$58:$L$58)-SUMIF('Part VII-Pro Forma'!$A$71:$L$71,D$28,'Part VII-Pro Forma'!$A$87:$L$87)</f>
        <v>0</v>
      </c>
      <c r="E34" s="1064">
        <f>-SUMIF('Part VII-Pro Forma'!$A$13:$L$13,E$28,'Part VII-Pro Forma'!$A$29:$L$29)-SUMIF('Part VII-Pro Forma'!$A$42:$L$42,E$28,'Part VII-Pro Forma'!$A$58:$L$58)-SUMIF('Part VII-Pro Forma'!$A$71:$L$71,E$28,'Part VII-Pro Forma'!$A$87:$L$87)</f>
        <v>0</v>
      </c>
      <c r="F34" s="1064">
        <f>-SUMIF('Part VII-Pro Forma'!$A$13:$L$13,F$28,'Part VII-Pro Forma'!$A$29:$L$29)-SUMIF('Part VII-Pro Forma'!$A$42:$L$42,F$28,'Part VII-Pro Forma'!$A$58:$L$58)-SUMIF('Part VII-Pro Forma'!$A$71:$L$71,F$28,'Part VII-Pro Forma'!$A$87:$L$87)</f>
        <v>0</v>
      </c>
      <c r="G34" s="1064">
        <f>-SUMIF('Part VII-Pro Forma'!$A$13:$L$13,G$28,'Part VII-Pro Forma'!$A$29:$L$29)-SUMIF('Part VII-Pro Forma'!$A$42:$L$42,G$28,'Part VII-Pro Forma'!$A$58:$L$58)-SUMIF('Part VII-Pro Forma'!$A$71:$L$71,G$28,'Part VII-Pro Forma'!$A$87:$L$87)</f>
        <v>0</v>
      </c>
      <c r="H34" s="1064">
        <f>-SUMIF('Part VII-Pro Forma'!$A$13:$L$13,H$28,'Part VII-Pro Forma'!$A$29:$L$29)-SUMIF('Part VII-Pro Forma'!$A$42:$L$42,H$28,'Part VII-Pro Forma'!$A$58:$L$58)-SUMIF('Part VII-Pro Forma'!$A$71:$L$71,H$28,'Part VII-Pro Forma'!$A$87:$L$87)</f>
        <v>0</v>
      </c>
      <c r="I34" s="1064">
        <f>-SUMIF('Part VII-Pro Forma'!$A$13:$L$13,I$28,'Part VII-Pro Forma'!$A$29:$L$29)-SUMIF('Part VII-Pro Forma'!$A$42:$L$42,I$28,'Part VII-Pro Forma'!$A$58:$L$58)-SUMIF('Part VII-Pro Forma'!$A$71:$L$71,I$28,'Part VII-Pro Forma'!$A$87:$L$87)</f>
        <v>0</v>
      </c>
    </row>
    <row r="35" spans="1:15" ht="13.5" customHeight="1">
      <c r="A35" s="1065" t="s">
        <v>3490</v>
      </c>
      <c r="C35" s="1066">
        <f t="shared" ref="C35:I35" si="8">$E$3/$H$3</f>
        <v>207964.21818181817</v>
      </c>
      <c r="D35" s="1066">
        <f t="shared" si="8"/>
        <v>207964.21818181817</v>
      </c>
      <c r="E35" s="1066">
        <f t="shared" si="8"/>
        <v>207964.21818181817</v>
      </c>
      <c r="F35" s="1066">
        <f t="shared" si="8"/>
        <v>207964.21818181817</v>
      </c>
      <c r="G35" s="1066">
        <f t="shared" si="8"/>
        <v>207964.21818181817</v>
      </c>
      <c r="H35" s="1066">
        <f t="shared" si="8"/>
        <v>207964.21818181817</v>
      </c>
      <c r="I35" s="1066">
        <f t="shared" si="8"/>
        <v>207964.21818181817</v>
      </c>
    </row>
    <row r="36" spans="1:15" ht="13.5" customHeight="1">
      <c r="A36" s="1065" t="s">
        <v>3492</v>
      </c>
      <c r="C36" s="1058">
        <f>IF(C$28&lt;=$H$4,($E$4/$H$4),0)+IF(C$28&lt;=$H$5,($E$5/$H$5),0)</f>
        <v>3771.7333333333331</v>
      </c>
      <c r="D36" s="1058">
        <f t="shared" ref="D36:I36" si="9">IF(D$28&lt;=$H$4,($E$4/$H$4),0)+IF(D$28&lt;=$H$5,($E$5/$H$5),0)</f>
        <v>3771.7333333333331</v>
      </c>
      <c r="E36" s="1058">
        <f t="shared" si="9"/>
        <v>3771.7333333333331</v>
      </c>
      <c r="F36" s="1058">
        <f t="shared" si="9"/>
        <v>3771.7333333333331</v>
      </c>
      <c r="G36" s="1058">
        <f t="shared" si="9"/>
        <v>3771.7333333333331</v>
      </c>
      <c r="H36" s="1058">
        <f t="shared" si="9"/>
        <v>3771.7333333333331</v>
      </c>
      <c r="I36" s="1058">
        <f t="shared" si="9"/>
        <v>3771.7333333333331</v>
      </c>
    </row>
    <row r="37" spans="1:15" ht="13.5" customHeight="1">
      <c r="A37" s="1065" t="s">
        <v>3493</v>
      </c>
      <c r="C37" s="1060" t="e">
        <f t="shared" ref="C37:I37" si="10">C29+C30+C31+C32+C33+C34-C35-C36</f>
        <v>#VALUE!</v>
      </c>
      <c r="D37" s="1060" t="e">
        <f t="shared" si="10"/>
        <v>#VALUE!</v>
      </c>
      <c r="E37" s="1060" t="e">
        <f t="shared" si="10"/>
        <v>#VALUE!</v>
      </c>
      <c r="F37" s="1060" t="e">
        <f t="shared" si="10"/>
        <v>#VALUE!</v>
      </c>
      <c r="G37" s="1060" t="e">
        <f t="shared" si="10"/>
        <v>#VALUE!</v>
      </c>
      <c r="H37" s="1060" t="e">
        <f t="shared" si="10"/>
        <v>#VALUE!</v>
      </c>
      <c r="I37" s="1060" t="e">
        <f t="shared" si="10"/>
        <v>#VALUE!</v>
      </c>
    </row>
    <row r="38" spans="1:15" ht="13.5" customHeight="1">
      <c r="A38" s="949" t="s">
        <v>3495</v>
      </c>
      <c r="C38" s="1067" t="e">
        <f t="shared" ref="C38:I38" si="11">C37*$H$6</f>
        <v>#VALUE!</v>
      </c>
      <c r="D38" s="1067" t="e">
        <f t="shared" si="11"/>
        <v>#VALUE!</v>
      </c>
      <c r="E38" s="1067" t="e">
        <f t="shared" si="11"/>
        <v>#VALUE!</v>
      </c>
      <c r="F38" s="1067" t="e">
        <f t="shared" si="11"/>
        <v>#VALUE!</v>
      </c>
      <c r="G38" s="1067" t="e">
        <f t="shared" si="11"/>
        <v>#VALUE!</v>
      </c>
      <c r="H38" s="1067" t="e">
        <f t="shared" si="11"/>
        <v>#VALUE!</v>
      </c>
      <c r="I38" s="1067" t="e">
        <f t="shared" si="11"/>
        <v>#VALUE!</v>
      </c>
    </row>
    <row r="39" spans="1:15" ht="13.5" customHeight="1">
      <c r="C39" s="1060"/>
      <c r="D39" s="1060"/>
      <c r="E39" s="1060"/>
      <c r="F39" s="1060"/>
      <c r="G39" s="1060"/>
      <c r="H39" s="1060"/>
      <c r="I39" s="1060"/>
    </row>
    <row r="40" spans="1:15" ht="13.5" customHeight="1">
      <c r="A40" s="949" t="s">
        <v>3497</v>
      </c>
      <c r="C40" s="1060" t="e">
        <f t="shared" ref="C40:I40" si="12">C29-C38</f>
        <v>#VALUE!</v>
      </c>
      <c r="D40" s="1060" t="e">
        <f t="shared" si="12"/>
        <v>#VALUE!</v>
      </c>
      <c r="E40" s="1060" t="e">
        <f t="shared" si="12"/>
        <v>#VALUE!</v>
      </c>
      <c r="F40" s="1060" t="e">
        <f t="shared" si="12"/>
        <v>#VALUE!</v>
      </c>
      <c r="G40" s="1060" t="e">
        <f t="shared" si="12"/>
        <v>#VALUE!</v>
      </c>
      <c r="H40" s="1060" t="e">
        <f t="shared" si="12"/>
        <v>#VALUE!</v>
      </c>
      <c r="I40" s="1060" t="e">
        <f t="shared" si="12"/>
        <v>#VALUE!</v>
      </c>
    </row>
    <row r="41" spans="1:15" ht="13.5" customHeight="1">
      <c r="A41" s="949" t="s">
        <v>3498</v>
      </c>
      <c r="C41" s="1067">
        <f>C21</f>
        <v>359705.74626865669</v>
      </c>
      <c r="D41" s="1067">
        <f>C41</f>
        <v>359705.74626865669</v>
      </c>
      <c r="E41" s="1067">
        <f>D41</f>
        <v>359705.74626865669</v>
      </c>
      <c r="F41" s="1067">
        <v>0</v>
      </c>
      <c r="G41" s="1067">
        <v>0</v>
      </c>
      <c r="H41" s="1067">
        <v>0</v>
      </c>
      <c r="I41" s="1067">
        <v>0</v>
      </c>
    </row>
    <row r="42" spans="1:15" ht="13.5" customHeight="1">
      <c r="A42" s="949" t="s">
        <v>3499</v>
      </c>
      <c r="C42" s="1067">
        <f>C22</f>
        <v>359705.74626865669</v>
      </c>
      <c r="D42" s="1067">
        <f>C42</f>
        <v>359705.74626865669</v>
      </c>
      <c r="E42" s="1067">
        <f>D42</f>
        <v>359705.74626865669</v>
      </c>
      <c r="F42" s="1067">
        <v>0</v>
      </c>
      <c r="G42" s="1067">
        <v>0</v>
      </c>
      <c r="H42" s="1067">
        <v>0</v>
      </c>
      <c r="I42" s="1067">
        <v>0</v>
      </c>
    </row>
    <row r="43" spans="1:15" ht="13.5" customHeight="1">
      <c r="A43" s="949" t="s">
        <v>3501</v>
      </c>
      <c r="C43" s="1060">
        <v>0</v>
      </c>
      <c r="D43" s="1060">
        <v>0</v>
      </c>
      <c r="E43" s="1060">
        <v>0</v>
      </c>
      <c r="F43" s="1060">
        <v>0</v>
      </c>
      <c r="G43" s="1060">
        <v>0</v>
      </c>
      <c r="H43" s="1060">
        <v>0</v>
      </c>
      <c r="I43" s="1060">
        <v>0</v>
      </c>
    </row>
    <row r="44" spans="1:15" ht="13.5" customHeight="1">
      <c r="A44" s="949" t="s">
        <v>3502</v>
      </c>
      <c r="C44" s="1060" t="e">
        <f t="shared" ref="C44:I44" si="13">SUM(C40:C43)</f>
        <v>#VALUE!</v>
      </c>
      <c r="D44" s="1060" t="e">
        <f t="shared" si="13"/>
        <v>#VALUE!</v>
      </c>
      <c r="E44" s="1060" t="e">
        <f t="shared" si="13"/>
        <v>#VALUE!</v>
      </c>
      <c r="F44" s="1060" t="e">
        <f t="shared" si="13"/>
        <v>#VALUE!</v>
      </c>
      <c r="G44" s="1060" t="e">
        <f t="shared" si="13"/>
        <v>#VALUE!</v>
      </c>
      <c r="H44" s="1060" t="e">
        <f t="shared" si="13"/>
        <v>#VALUE!</v>
      </c>
      <c r="I44" s="1060" t="e">
        <f t="shared" si="13"/>
        <v>#VALUE!</v>
      </c>
    </row>
    <row r="45" spans="1:15" ht="13.5" customHeight="1"/>
    <row r="46" spans="1:15" ht="13.5" customHeight="1">
      <c r="A46" s="1069"/>
      <c r="B46" s="1069"/>
      <c r="C46" s="1069"/>
      <c r="D46" s="1069"/>
      <c r="E46" s="1069"/>
      <c r="F46" s="1069"/>
      <c r="G46" s="1069"/>
      <c r="H46" s="1069"/>
      <c r="I46" s="1069"/>
    </row>
    <row r="47" spans="1:15" ht="13.5" customHeight="1">
      <c r="I47" s="956"/>
    </row>
    <row r="48" spans="1:15" ht="13.5" customHeight="1">
      <c r="A48" s="950" t="s">
        <v>2602</v>
      </c>
      <c r="B48" s="950"/>
      <c r="C48" s="1057">
        <v>15</v>
      </c>
      <c r="D48" s="950">
        <v>16</v>
      </c>
      <c r="E48" s="950">
        <v>17</v>
      </c>
      <c r="F48" s="950">
        <v>18</v>
      </c>
      <c r="G48" s="950">
        <v>19</v>
      </c>
      <c r="H48" s="950">
        <v>20</v>
      </c>
    </row>
    <row r="49" spans="1:10" ht="13.5" customHeight="1">
      <c r="A49" s="949" t="s">
        <v>3486</v>
      </c>
      <c r="C49" s="1058">
        <f>'Part VII-Pro Forma'!F59</f>
        <v>9313.5939081114266</v>
      </c>
      <c r="D49" s="1058">
        <f>'Part VII-Pro Forma'!G59</f>
        <v>9650.3302045418677</v>
      </c>
      <c r="E49" s="1058">
        <f>'Part VII-Pro Forma'!H59</f>
        <v>9467.9613594490802</v>
      </c>
      <c r="F49" s="1058">
        <f>'Part VII-Pro Forma'!I59</f>
        <v>9362.8588739788756</v>
      </c>
      <c r="G49" s="1058">
        <f>'Part VII-Pro Forma'!J59</f>
        <v>9330.2650874194514</v>
      </c>
      <c r="H49" s="1058">
        <f>'Part VII-Pro Forma'!K59</f>
        <v>9564.2888962077486</v>
      </c>
    </row>
    <row r="50" spans="1:10" ht="13.5" customHeight="1">
      <c r="A50" s="949" t="s">
        <v>3487</v>
      </c>
      <c r="C50" s="1058">
        <f>'Part VII-Pro Forma'!E65-'Part VII-Pro Forma'!F65</f>
        <v>28379.837164940196</v>
      </c>
      <c r="D50" s="1058">
        <f>'Part VII-Pro Forma'!F65-'Part VII-Pro Forma'!G65</f>
        <v>28664.939899083809</v>
      </c>
      <c r="E50" s="1058">
        <f>'Part VII-Pro Forma'!G65-'Part VII-Pro Forma'!H65</f>
        <v>28952.906764143379</v>
      </c>
      <c r="F50" s="1058">
        <f>'Part VII-Pro Forma'!H65-'Part VII-Pro Forma'!I65</f>
        <v>29243.766533066169</v>
      </c>
      <c r="G50" s="1058">
        <f>'Part VII-Pro Forma'!I65-'Part VII-Pro Forma'!J65</f>
        <v>29537.548267851118</v>
      </c>
      <c r="H50" s="1058">
        <f>'Part VII-Pro Forma'!J65-'Part VII-Pro Forma'!K65</f>
        <v>29834.281322453171</v>
      </c>
    </row>
    <row r="51" spans="1:10" ht="13.5" customHeight="1">
      <c r="A51" s="949" t="s">
        <v>3487</v>
      </c>
      <c r="C51" s="1058" t="e">
        <f>'Part VII-Pro Forma'!E66-'Part VII-Pro Forma'!F66</f>
        <v>#VALUE!</v>
      </c>
      <c r="D51" s="1058" t="e">
        <f>'Part VII-Pro Forma'!F66-'Part VII-Pro Forma'!G66</f>
        <v>#VALUE!</v>
      </c>
      <c r="E51" s="1058" t="e">
        <f>'Part VII-Pro Forma'!G66-'Part VII-Pro Forma'!H66</f>
        <v>#VALUE!</v>
      </c>
      <c r="F51" s="1058" t="e">
        <f>'Part VII-Pro Forma'!H66-'Part VII-Pro Forma'!I66</f>
        <v>#VALUE!</v>
      </c>
      <c r="G51" s="1058" t="e">
        <f>'Part VII-Pro Forma'!I66-'Part VII-Pro Forma'!J66</f>
        <v>#VALUE!</v>
      </c>
      <c r="H51" s="1058" t="e">
        <f>'Part VII-Pro Forma'!J66-'Part VII-Pro Forma'!K66</f>
        <v>#VALUE!</v>
      </c>
    </row>
    <row r="52" spans="1:10" ht="13.5" customHeight="1">
      <c r="A52" s="949" t="s">
        <v>3487</v>
      </c>
      <c r="C52" s="1071"/>
      <c r="D52" s="1071"/>
      <c r="E52" s="1071"/>
      <c r="F52" s="1071"/>
      <c r="G52" s="1071"/>
      <c r="H52" s="1071"/>
    </row>
    <row r="53" spans="1:10" ht="13.5" customHeight="1">
      <c r="A53" s="1062" t="s">
        <v>4350</v>
      </c>
      <c r="B53" s="1063"/>
      <c r="C53" s="1064">
        <f>-SUMIF('Part VII-Pro Forma'!$A$13:$L$13,C$48,'Part VII-Pro Forma'!$A$21:$L$21)-SUMIF('Part VII-Pro Forma'!$A$42:$L$42,C$48,'Part VII-Pro Forma'!$A$50:$L$50)-SUMIF('Part VII-Pro Forma'!$A$71:$L$71,C$48,'Part VII-Pro Forma'!$A$79:$L$79)</f>
        <v>22235.06895537013</v>
      </c>
      <c r="D53" s="1064">
        <f>-SUMIF('Part VII-Pro Forma'!$A$13:$L$13,D$48,'Part VII-Pro Forma'!$A$21:$L$21)-SUMIF('Part VII-Pro Forma'!$A$42:$L$42,D$48,'Part VII-Pro Forma'!$A$50:$L$50)-SUMIF('Part VII-Pro Forma'!$A$71:$L$71,D$48,'Part VII-Pro Forma'!$A$79:$L$79)</f>
        <v>22902.121024031236</v>
      </c>
      <c r="E53" s="1064">
        <f>-SUMIF('Part VII-Pro Forma'!$A$13:$L$13,E$48,'Part VII-Pro Forma'!$A$21:$L$21)-SUMIF('Part VII-Pro Forma'!$A$42:$L$42,E$48,'Part VII-Pro Forma'!$A$50:$L$50)-SUMIF('Part VII-Pro Forma'!$A$71:$L$71,E$48,'Part VII-Pro Forma'!$A$79:$L$79)</f>
        <v>23589.184654752171</v>
      </c>
      <c r="F53" s="1064">
        <f>-SUMIF('Part VII-Pro Forma'!$A$13:$L$13,F$48,'Part VII-Pro Forma'!$A$21:$L$21)-SUMIF('Part VII-Pro Forma'!$A$42:$L$42,F$48,'Part VII-Pro Forma'!$A$50:$L$50)-SUMIF('Part VII-Pro Forma'!$A$71:$L$71,F$48,'Part VII-Pro Forma'!$A$79:$L$79)</f>
        <v>24296.860194394736</v>
      </c>
      <c r="G53" s="1064">
        <f>-SUMIF('Part VII-Pro Forma'!$A$13:$L$13,G$48,'Part VII-Pro Forma'!$A$21:$L$21)-SUMIF('Part VII-Pro Forma'!$A$42:$L$42,G$48,'Part VII-Pro Forma'!$A$50:$L$50)-SUMIF('Part VII-Pro Forma'!$A$71:$L$71,G$48,'Part VII-Pro Forma'!$A$79:$L$79)</f>
        <v>25025.766000226577</v>
      </c>
      <c r="H53" s="1064">
        <f>-SUMIF('Part VII-Pro Forma'!$A$13:$L$13,H$48,'Part VII-Pro Forma'!$A$21:$L$21)-SUMIF('Part VII-Pro Forma'!$A$42:$L$42,H$48,'Part VII-Pro Forma'!$A$50:$L$50)-SUMIF('Part VII-Pro Forma'!$A$71:$L$71,H$48,'Part VII-Pro Forma'!$A$79:$L$79)</f>
        <v>25776.538980233374</v>
      </c>
    </row>
    <row r="54" spans="1:10" ht="13.5" customHeight="1">
      <c r="A54" s="1062" t="s">
        <v>4351</v>
      </c>
      <c r="C54" s="1072">
        <f>-SUMIF('Part VII-Pro Forma'!$A$13:$L$13,C$48,'Part VII-Pro Forma'!$A$31:$L$31)-SUMIF('Part VII-Pro Forma'!$A$48:$L$48,C$48,'Part VII-Pro Forma'!$A$66:$L$66)-SUMIF('Part VII-Pro Forma'!$A$83:$L$83,C$48,'Part VII-Pro Forma'!$A$101:$L$101)</f>
        <v>0</v>
      </c>
      <c r="D54" s="1072">
        <f>-SUMIF('Part VII-Pro Forma'!$A$13:$L$13,D$48,'Part VII-Pro Forma'!$A$31:$L$31)-SUMIF('Part VII-Pro Forma'!$A$48:$L$48,D$48,'Part VII-Pro Forma'!$A$66:$L$66)-SUMIF('Part VII-Pro Forma'!$A$83:$L$83,D$48,'Part VII-Pro Forma'!$A$101:$L$101)</f>
        <v>0</v>
      </c>
      <c r="E54" s="1072">
        <f>-SUMIF('Part VII-Pro Forma'!$A$13:$L$13,E$48,'Part VII-Pro Forma'!$A$31:$L$31)-SUMIF('Part VII-Pro Forma'!$A$48:$L$48,E$48,'Part VII-Pro Forma'!$A$66:$L$66)-SUMIF('Part VII-Pro Forma'!$A$83:$L$83,E$48,'Part VII-Pro Forma'!$A$101:$L$101)</f>
        <v>0</v>
      </c>
      <c r="F54" s="1072">
        <f>-SUMIF('Part VII-Pro Forma'!$A$13:$L$13,F$48,'Part VII-Pro Forma'!$A$31:$L$31)-SUMIF('Part VII-Pro Forma'!$A$48:$L$48,F$48,'Part VII-Pro Forma'!$A$66:$L$66)-SUMIF('Part VII-Pro Forma'!$A$83:$L$83,F$48,'Part VII-Pro Forma'!$A$101:$L$101)</f>
        <v>0</v>
      </c>
      <c r="G54" s="1072">
        <f>-SUMIF('Part VII-Pro Forma'!$A$13:$L$13,G$48,'Part VII-Pro Forma'!$A$31:$L$31)-SUMIF('Part VII-Pro Forma'!$A$48:$L$48,G$48,'Part VII-Pro Forma'!$A$66:$L$66)-SUMIF('Part VII-Pro Forma'!$A$83:$L$83,G$48,'Part VII-Pro Forma'!$A$101:$L$101)</f>
        <v>0</v>
      </c>
      <c r="H54" s="1072">
        <f>-SUMIF('Part VII-Pro Forma'!$A$13:$L$13,H$48,'Part VII-Pro Forma'!$A$31:$L$31)-SUMIF('Part VII-Pro Forma'!$A$48:$L$48,H$48,'Part VII-Pro Forma'!$A$66:$L$66)-SUMIF('Part VII-Pro Forma'!$A$83:$L$83,H$48,'Part VII-Pro Forma'!$A$101:$L$101)</f>
        <v>0</v>
      </c>
    </row>
    <row r="55" spans="1:10" ht="13.5" customHeight="1">
      <c r="A55" s="1065" t="s">
        <v>3490</v>
      </c>
      <c r="C55" s="1066">
        <f t="shared" ref="C55:H55" si="14">$E$3/$H$3</f>
        <v>207964.21818181817</v>
      </c>
      <c r="D55" s="1066">
        <f t="shared" si="14"/>
        <v>207964.21818181817</v>
      </c>
      <c r="E55" s="1066">
        <f t="shared" si="14"/>
        <v>207964.21818181817</v>
      </c>
      <c r="F55" s="1066">
        <f t="shared" si="14"/>
        <v>207964.21818181817</v>
      </c>
      <c r="G55" s="1066">
        <f t="shared" si="14"/>
        <v>207964.21818181817</v>
      </c>
      <c r="H55" s="1066">
        <f t="shared" si="14"/>
        <v>207964.21818181817</v>
      </c>
    </row>
    <row r="56" spans="1:10" ht="13.5" customHeight="1">
      <c r="A56" s="1065" t="s">
        <v>3492</v>
      </c>
      <c r="C56" s="1058">
        <f t="shared" ref="C56:H56" si="15">IF(C$48&lt;=$H$4,($E$4/$H$4),0)+IF(C$48&lt;=$H$5,($E$5/$H$5),0)</f>
        <v>3771.7333333333331</v>
      </c>
      <c r="D56" s="1058">
        <f t="shared" si="15"/>
        <v>0</v>
      </c>
      <c r="E56" s="1058">
        <f t="shared" si="15"/>
        <v>0</v>
      </c>
      <c r="F56" s="1058">
        <f t="shared" si="15"/>
        <v>0</v>
      </c>
      <c r="G56" s="1058">
        <f t="shared" si="15"/>
        <v>0</v>
      </c>
      <c r="H56" s="1058">
        <f t="shared" si="15"/>
        <v>0</v>
      </c>
    </row>
    <row r="57" spans="1:10" ht="13.5" customHeight="1">
      <c r="A57" s="1065" t="s">
        <v>3493</v>
      </c>
      <c r="C57" s="1058" t="e">
        <f t="shared" ref="C57:H57" si="16">C49+C50+C51+C52+C53+C54-C55-C56</f>
        <v>#VALUE!</v>
      </c>
      <c r="D57" s="1058" t="e">
        <f t="shared" si="16"/>
        <v>#VALUE!</v>
      </c>
      <c r="E57" s="1058" t="e">
        <f t="shared" si="16"/>
        <v>#VALUE!</v>
      </c>
      <c r="F57" s="1058" t="e">
        <f t="shared" si="16"/>
        <v>#VALUE!</v>
      </c>
      <c r="G57" s="1058" t="e">
        <f t="shared" si="16"/>
        <v>#VALUE!</v>
      </c>
      <c r="H57" s="1058" t="e">
        <f t="shared" si="16"/>
        <v>#VALUE!</v>
      </c>
    </row>
    <row r="58" spans="1:10" ht="13.5" customHeight="1">
      <c r="A58" s="949" t="s">
        <v>3495</v>
      </c>
      <c r="C58" s="1066" t="e">
        <f t="shared" ref="C58:H58" si="17">C57*$H$6</f>
        <v>#VALUE!</v>
      </c>
      <c r="D58" s="1066" t="e">
        <f t="shared" si="17"/>
        <v>#VALUE!</v>
      </c>
      <c r="E58" s="1066" t="e">
        <f t="shared" si="17"/>
        <v>#VALUE!</v>
      </c>
      <c r="F58" s="1066" t="e">
        <f t="shared" si="17"/>
        <v>#VALUE!</v>
      </c>
      <c r="G58" s="1066" t="e">
        <f t="shared" si="17"/>
        <v>#VALUE!</v>
      </c>
      <c r="H58" s="1066" t="e">
        <f t="shared" si="17"/>
        <v>#VALUE!</v>
      </c>
      <c r="J58" s="949" t="s">
        <v>254</v>
      </c>
    </row>
    <row r="59" spans="1:10" s="1073" customFormat="1" ht="16.5" customHeight="1">
      <c r="A59" s="949"/>
      <c r="B59" s="949"/>
      <c r="C59" s="1058"/>
      <c r="D59" s="1058"/>
      <c r="E59" s="1058"/>
      <c r="F59" s="1058"/>
      <c r="G59" s="1058"/>
      <c r="H59" s="1058"/>
      <c r="I59" s="949"/>
      <c r="J59" s="949"/>
    </row>
    <row r="60" spans="1:10">
      <c r="A60" s="949" t="s">
        <v>3497</v>
      </c>
      <c r="C60" s="1058" t="e">
        <f t="shared" ref="C60:H60" si="18">C49-C58</f>
        <v>#VALUE!</v>
      </c>
      <c r="D60" s="1058" t="e">
        <f t="shared" si="18"/>
        <v>#VALUE!</v>
      </c>
      <c r="E60" s="1058" t="e">
        <f t="shared" si="18"/>
        <v>#VALUE!</v>
      </c>
      <c r="F60" s="1058" t="e">
        <f t="shared" si="18"/>
        <v>#VALUE!</v>
      </c>
      <c r="G60" s="1058" t="e">
        <f t="shared" si="18"/>
        <v>#VALUE!</v>
      </c>
      <c r="H60" s="1058" t="e">
        <f t="shared" si="18"/>
        <v>#VALUE!</v>
      </c>
    </row>
    <row r="61" spans="1:10">
      <c r="A61" s="949" t="s">
        <v>3498</v>
      </c>
      <c r="C61" s="1066">
        <v>0</v>
      </c>
      <c r="D61" s="1066">
        <v>0</v>
      </c>
      <c r="E61" s="1066">
        <v>0</v>
      </c>
      <c r="F61" s="1066">
        <v>0</v>
      </c>
      <c r="G61" s="1066">
        <v>0</v>
      </c>
      <c r="H61" s="1058">
        <v>0</v>
      </c>
    </row>
    <row r="62" spans="1:10">
      <c r="A62" s="949" t="s">
        <v>3499</v>
      </c>
      <c r="C62" s="1066">
        <v>0</v>
      </c>
      <c r="D62" s="1058">
        <v>0</v>
      </c>
      <c r="E62" s="1058">
        <v>0</v>
      </c>
      <c r="F62" s="1058">
        <v>0</v>
      </c>
      <c r="G62" s="1058">
        <v>0</v>
      </c>
      <c r="H62" s="1058">
        <v>0</v>
      </c>
    </row>
    <row r="63" spans="1:10">
      <c r="A63" s="949" t="s">
        <v>3501</v>
      </c>
      <c r="C63" s="1058">
        <v>0</v>
      </c>
      <c r="D63" s="1058">
        <v>0</v>
      </c>
      <c r="E63" s="1058">
        <v>0</v>
      </c>
      <c r="F63" s="1058">
        <v>0</v>
      </c>
      <c r="G63" s="1058">
        <v>0</v>
      </c>
      <c r="H63" s="1058" t="e">
        <f>O33</f>
        <v>#VALUE!</v>
      </c>
    </row>
    <row r="64" spans="1:10">
      <c r="A64" s="949" t="s">
        <v>3502</v>
      </c>
      <c r="C64" s="1058" t="e">
        <f t="shared" ref="C64:H64" si="19">SUM(C60:C63)</f>
        <v>#VALUE!</v>
      </c>
      <c r="D64" s="1058" t="e">
        <f t="shared" si="19"/>
        <v>#VALUE!</v>
      </c>
      <c r="E64" s="1058" t="e">
        <f t="shared" si="19"/>
        <v>#VALUE!</v>
      </c>
      <c r="F64" s="1058" t="e">
        <f t="shared" si="19"/>
        <v>#VALUE!</v>
      </c>
      <c r="G64" s="1058" t="e">
        <f t="shared" si="19"/>
        <v>#VALUE!</v>
      </c>
      <c r="H64" s="1058" t="e">
        <f t="shared" si="19"/>
        <v>#VALUE!</v>
      </c>
    </row>
    <row r="66" spans="1:10" ht="15">
      <c r="A66" s="1074"/>
      <c r="B66" s="1075"/>
      <c r="C66" s="1075"/>
      <c r="D66" s="1075"/>
      <c r="E66" s="1075"/>
      <c r="F66" s="1076" t="s">
        <v>3508</v>
      </c>
      <c r="G66" s="1917" t="e">
        <f>IRR(K5:K25)</f>
        <v>#VALUE!</v>
      </c>
      <c r="H66" s="1918"/>
      <c r="I66" s="1073"/>
      <c r="J66" s="1073"/>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45" customWidth="1"/>
    <col min="9" max="16384" width="9.140625" style="645"/>
  </cols>
  <sheetData>
    <row r="1" spans="1:8" ht="21.95" customHeight="1">
      <c r="A1" s="1920" t="str">
        <f>IF(Overview!C8="","",Overview!C8)</f>
        <v>Arbor Trace Apartments Phase II</v>
      </c>
      <c r="B1" s="1920"/>
      <c r="C1" s="1920"/>
      <c r="D1" s="1920"/>
      <c r="E1" s="1920"/>
      <c r="F1" s="1920"/>
      <c r="G1" s="1920"/>
      <c r="H1" s="1920"/>
    </row>
    <row r="2" spans="1:8" ht="21.95" customHeight="1">
      <c r="A2" s="934"/>
      <c r="B2" s="934"/>
      <c r="C2" s="934"/>
      <c r="D2" s="934"/>
      <c r="E2" s="934"/>
      <c r="F2" s="934"/>
      <c r="G2" s="934"/>
      <c r="H2" s="934"/>
    </row>
    <row r="3" spans="1:8" ht="20.25" customHeight="1">
      <c r="C3" s="1919" t="s">
        <v>3509</v>
      </c>
      <c r="D3" s="1919"/>
      <c r="E3" s="1919"/>
      <c r="F3" s="1919"/>
    </row>
    <row r="5" spans="1:8" ht="15.75">
      <c r="D5" s="646"/>
      <c r="E5" s="646" t="s">
        <v>3510</v>
      </c>
    </row>
    <row r="6" spans="1:8" ht="15.75">
      <c r="D6" s="646" t="s">
        <v>2602</v>
      </c>
      <c r="E6" s="646" t="s">
        <v>3511</v>
      </c>
    </row>
    <row r="7" spans="1:8" ht="15">
      <c r="D7" s="647"/>
      <c r="E7" s="647"/>
    </row>
    <row r="8" spans="1:8" ht="15">
      <c r="D8" s="648">
        <v>1</v>
      </c>
      <c r="E8" s="649">
        <f>-'Part VII-Pro Forma'!B23/12</f>
        <v>3154.5833333333335</v>
      </c>
    </row>
    <row r="9" spans="1:8" ht="15">
      <c r="D9" s="648">
        <v>2</v>
      </c>
      <c r="E9" s="649">
        <f>-'Part VII-Pro Forma'!C23/12</f>
        <v>3154.5833333333335</v>
      </c>
    </row>
    <row r="10" spans="1:8" ht="15">
      <c r="D10" s="648">
        <v>3</v>
      </c>
      <c r="E10" s="649">
        <f>-'Part VII-Pro Forma'!D23/12</f>
        <v>3154.5833333333335</v>
      </c>
    </row>
    <row r="11" spans="1:8" ht="15">
      <c r="D11" s="650">
        <v>4</v>
      </c>
      <c r="E11" s="649">
        <f>-'Part VII-Pro Forma'!E23/12</f>
        <v>3154.5833333333335</v>
      </c>
    </row>
    <row r="12" spans="1:8" ht="15">
      <c r="D12" s="650">
        <v>5</v>
      </c>
      <c r="E12" s="649">
        <f>-'Part VII-Pro Forma'!F23/12</f>
        <v>3154.5833333333335</v>
      </c>
    </row>
    <row r="13" spans="1:8" ht="15">
      <c r="D13" s="648">
        <v>6</v>
      </c>
      <c r="E13" s="649">
        <f>-'Part VII-Pro Forma'!G23/12</f>
        <v>3154.5833333333335</v>
      </c>
    </row>
    <row r="14" spans="1:8" ht="15">
      <c r="D14" s="648">
        <v>7</v>
      </c>
      <c r="E14" s="649">
        <f>-'Part VII-Pro Forma'!H23/12</f>
        <v>3154.5833333333335</v>
      </c>
    </row>
    <row r="15" spans="1:8" ht="15">
      <c r="D15" s="650">
        <v>8</v>
      </c>
      <c r="E15" s="649">
        <f>-'Part VII-Pro Forma'!I23/12</f>
        <v>3154.5833333333335</v>
      </c>
    </row>
    <row r="16" spans="1:8" ht="15">
      <c r="D16" s="648">
        <v>9</v>
      </c>
      <c r="E16" s="649">
        <f>-'Part VII-Pro Forma'!J23/12</f>
        <v>3154.5833333333335</v>
      </c>
    </row>
    <row r="17" spans="4:8" ht="15">
      <c r="D17" s="648">
        <v>10</v>
      </c>
      <c r="E17" s="649">
        <f>-'Part VII-Pro Forma'!K23/12</f>
        <v>3154.5833333333335</v>
      </c>
    </row>
    <row r="18" spans="4:8" ht="15">
      <c r="D18" s="650">
        <v>11</v>
      </c>
      <c r="E18" s="649">
        <f>-'Part VII-Pro Forma'!B52/12</f>
        <v>3154.5833333333335</v>
      </c>
    </row>
    <row r="19" spans="4:8" ht="15">
      <c r="D19" s="648">
        <v>12</v>
      </c>
      <c r="E19" s="649">
        <f>-'Part VII-Pro Forma'!C52/12</f>
        <v>3154.5833333333335</v>
      </c>
    </row>
    <row r="20" spans="4:8" ht="15">
      <c r="D20" s="648">
        <v>13</v>
      </c>
      <c r="E20" s="649">
        <f>-'Part VII-Pro Forma'!D52/12</f>
        <v>3154.5833333333335</v>
      </c>
    </row>
    <row r="21" spans="4:8" ht="15">
      <c r="D21" s="648">
        <v>14</v>
      </c>
      <c r="E21" s="649">
        <f>-'Part VII-Pro Forma'!E52/12</f>
        <v>3154.5833333333335</v>
      </c>
    </row>
    <row r="22" spans="4:8" ht="15">
      <c r="D22" s="648">
        <v>15</v>
      </c>
      <c r="E22" s="649">
        <f>-'Part VII-Pro Forma'!F52/12</f>
        <v>3154.5833333333335</v>
      </c>
    </row>
    <row r="23" spans="4:8" ht="15">
      <c r="D23" s="648">
        <v>16</v>
      </c>
      <c r="E23" s="649">
        <f>-'Part VII-Pro Forma'!G52/12</f>
        <v>3154.5833333333335</v>
      </c>
    </row>
    <row r="24" spans="4:8" ht="15">
      <c r="D24" s="648">
        <v>17</v>
      </c>
      <c r="E24" s="649">
        <f>-'Part VII-Pro Forma'!H52/12</f>
        <v>3154.5833333333335</v>
      </c>
      <c r="H24" s="645" t="s">
        <v>254</v>
      </c>
    </row>
    <row r="25" spans="4:8" ht="15">
      <c r="D25" s="648">
        <v>18</v>
      </c>
      <c r="E25" s="649">
        <f>-'Part VII-Pro Forma'!I52/12</f>
        <v>3154.5833333333335</v>
      </c>
    </row>
    <row r="26" spans="4:8" ht="15">
      <c r="D26" s="648">
        <v>19</v>
      </c>
      <c r="E26" s="649">
        <f>-'Part VII-Pro Forma'!J52/12</f>
        <v>3154.5833333333335</v>
      </c>
    </row>
    <row r="27" spans="4:8" ht="15">
      <c r="D27" s="648">
        <v>20</v>
      </c>
      <c r="E27" s="649">
        <f>-'Part VII-Pro Forma'!K52/12</f>
        <v>3154.5833333333335</v>
      </c>
    </row>
    <row r="28" spans="4:8" ht="15">
      <c r="D28" s="648">
        <v>21</v>
      </c>
      <c r="E28" s="649">
        <f>-'Part VII-Pro Forma'!B81/12</f>
        <v>3154.5833333333335</v>
      </c>
    </row>
    <row r="29" spans="4:8" ht="15">
      <c r="D29" s="648">
        <v>22</v>
      </c>
      <c r="E29" s="649">
        <f>-'Part VII-Pro Forma'!C81/12</f>
        <v>3154.5833333333335</v>
      </c>
    </row>
    <row r="30" spans="4:8" ht="15">
      <c r="D30" s="648">
        <v>23</v>
      </c>
      <c r="E30" s="649">
        <f>-'Part VII-Pro Forma'!D81/12</f>
        <v>3154.5833333333335</v>
      </c>
    </row>
    <row r="31" spans="4:8" ht="15">
      <c r="D31" s="648">
        <v>24</v>
      </c>
      <c r="E31" s="649">
        <f>-'Part VII-Pro Forma'!E81/12</f>
        <v>3154.5833333333335</v>
      </c>
    </row>
    <row r="32" spans="4:8" ht="15">
      <c r="D32" s="648">
        <v>25</v>
      </c>
      <c r="E32" s="649">
        <f>-'Part VII-Pro Forma'!F81/12</f>
        <v>3154.5833333333335</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95" t="s">
        <v>1026</v>
      </c>
    </row>
    <row r="2" spans="1:6" ht="15" customHeight="1">
      <c r="A2" s="1196" t="str">
        <f>'Part I-Project Information'!F24</f>
        <v>Arbor Trace Apartments Phase II</v>
      </c>
    </row>
    <row r="3" spans="1:6" ht="15" customHeight="1">
      <c r="A3" s="1196" t="str">
        <f>CONCATENATE('Part I-Project Information'!F28,", ", 'Part I-Project Information'!J29," County")</f>
        <v>Lake Park, Lowndes County</v>
      </c>
    </row>
    <row r="4" spans="1:6" ht="12" customHeight="1"/>
    <row r="5" spans="1:6" ht="111" customHeight="1">
      <c r="A5" s="2196" t="s">
        <v>4527</v>
      </c>
      <c r="B5" s="1353" t="s">
        <v>3334</v>
      </c>
      <c r="C5" s="1353"/>
      <c r="D5" s="1353"/>
      <c r="E5" s="1353"/>
      <c r="F5" s="1353"/>
    </row>
    <row r="6" spans="1:6" ht="6.6" customHeight="1">
      <c r="A6" s="2196"/>
      <c r="B6" s="1353"/>
      <c r="C6" s="1353"/>
      <c r="D6" s="1353"/>
      <c r="E6" s="1353"/>
      <c r="F6" s="1353"/>
    </row>
    <row r="7" spans="1:6" ht="93" customHeight="1">
      <c r="A7" s="2196"/>
      <c r="B7" s="1353"/>
      <c r="C7" s="1353"/>
      <c r="D7" s="1353"/>
      <c r="E7" s="1353"/>
      <c r="F7" s="1353"/>
    </row>
    <row r="8" spans="1:6" ht="6.6" customHeight="1">
      <c r="A8" s="2196"/>
    </row>
    <row r="9" spans="1:6" ht="93" customHeight="1">
      <c r="A9" s="2196"/>
    </row>
    <row r="10" spans="1:6" ht="6.6" customHeight="1">
      <c r="A10" s="2196"/>
    </row>
    <row r="11" spans="1:6" ht="93" customHeight="1">
      <c r="A11" s="2196"/>
    </row>
    <row r="12" spans="1:6" ht="6.6" customHeight="1">
      <c r="A12" s="2196"/>
    </row>
    <row r="13" spans="1:6" ht="93" customHeight="1">
      <c r="A13" s="2196"/>
    </row>
    <row r="14" spans="1:6" ht="6.6" customHeight="1">
      <c r="A14" s="2196"/>
    </row>
    <row r="15" spans="1:6" ht="93" customHeight="1">
      <c r="A15" s="2196"/>
    </row>
    <row r="16" spans="1:6" ht="6.6" customHeight="1">
      <c r="A16" s="2196"/>
    </row>
    <row r="17" spans="1:1" ht="93" customHeight="1">
      <c r="A17" s="2196"/>
    </row>
    <row r="18" spans="1:1" ht="6.6" customHeight="1">
      <c r="A18" s="2196"/>
    </row>
    <row r="19" spans="1:1" ht="93" customHeight="1">
      <c r="A19" s="2196"/>
    </row>
    <row r="20" spans="1:1" ht="6.6" customHeight="1">
      <c r="A20" s="2196"/>
    </row>
    <row r="21" spans="1:1" ht="93" customHeight="1">
      <c r="A21" s="2196"/>
    </row>
    <row r="22" spans="1:1" ht="6.6" customHeight="1">
      <c r="A22" s="2196"/>
    </row>
    <row r="23" spans="1:1" ht="93" customHeight="1">
      <c r="A23" s="2196"/>
    </row>
  </sheetData>
  <sheetProtection algorithmName="SHA-512" hashValue="GVnJfCfbNEEBKgnIK4hmFJSM24qXvJ8e9Vw7lFDI9UHaPTVPKg1PUDaLW0Hen2gg2dVHFZgpAM+ygkavOM23KQ==" saltValue="/niVSjtTTR5euGv4niywOQ=="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7" customWidth="1"/>
    <col min="2" max="2" width="10.140625" style="1077" customWidth="1"/>
    <col min="3" max="3" width="11.7109375" style="1077" customWidth="1"/>
    <col min="4" max="4" width="8.5703125" style="1077" customWidth="1"/>
    <col min="5" max="5" width="13.7109375" style="1077" customWidth="1"/>
    <col min="6" max="6" width="2.7109375" style="1077" customWidth="1"/>
    <col min="7" max="7" width="11.7109375" style="1077" customWidth="1"/>
    <col min="8" max="8" width="8.5703125" style="1077" customWidth="1"/>
    <col min="9" max="9" width="13.7109375" style="1077" customWidth="1"/>
    <col min="10" max="10" width="4.7109375" style="1077" customWidth="1"/>
    <col min="11" max="11" width="25.7109375" style="1077" customWidth="1"/>
    <col min="12" max="256" width="8.85546875" style="1077"/>
    <col min="257" max="257" width="11.5703125" style="1077" bestFit="1" customWidth="1"/>
    <col min="258" max="258" width="12.5703125" style="1077" customWidth="1"/>
    <col min="259" max="259" width="10.28515625" style="1077" customWidth="1"/>
    <col min="260" max="260" width="14.7109375" style="1077" customWidth="1"/>
    <col min="261" max="261" width="13.28515625" style="1077" bestFit="1" customWidth="1"/>
    <col min="262" max="262" width="4.85546875" style="1077" customWidth="1"/>
    <col min="263" max="263" width="11.7109375" style="1077" customWidth="1"/>
    <col min="264" max="264" width="12" style="1077" customWidth="1"/>
    <col min="265" max="265" width="9.7109375" style="1077" customWidth="1"/>
    <col min="266" max="266" width="13.7109375" style="1077" bestFit="1" customWidth="1"/>
    <col min="267" max="512" width="8.85546875" style="1077"/>
    <col min="513" max="513" width="11.5703125" style="1077" bestFit="1" customWidth="1"/>
    <col min="514" max="514" width="12.5703125" style="1077" customWidth="1"/>
    <col min="515" max="515" width="10.28515625" style="1077" customWidth="1"/>
    <col min="516" max="516" width="14.7109375" style="1077" customWidth="1"/>
    <col min="517" max="517" width="13.28515625" style="1077" bestFit="1" customWidth="1"/>
    <col min="518" max="518" width="4.85546875" style="1077" customWidth="1"/>
    <col min="519" max="519" width="11.7109375" style="1077" customWidth="1"/>
    <col min="520" max="520" width="12" style="1077" customWidth="1"/>
    <col min="521" max="521" width="9.7109375" style="1077" customWidth="1"/>
    <col min="522" max="522" width="13.7109375" style="1077" bestFit="1" customWidth="1"/>
    <col min="523" max="768" width="8.85546875" style="1077"/>
    <col min="769" max="769" width="11.5703125" style="1077" bestFit="1" customWidth="1"/>
    <col min="770" max="770" width="12.5703125" style="1077" customWidth="1"/>
    <col min="771" max="771" width="10.28515625" style="1077" customWidth="1"/>
    <col min="772" max="772" width="14.7109375" style="1077" customWidth="1"/>
    <col min="773" max="773" width="13.28515625" style="1077" bestFit="1" customWidth="1"/>
    <col min="774" max="774" width="4.85546875" style="1077" customWidth="1"/>
    <col min="775" max="775" width="11.7109375" style="1077" customWidth="1"/>
    <col min="776" max="776" width="12" style="1077" customWidth="1"/>
    <col min="777" max="777" width="9.7109375" style="1077" customWidth="1"/>
    <col min="778" max="778" width="13.7109375" style="1077" bestFit="1" customWidth="1"/>
    <col min="779" max="1024" width="8.85546875" style="1077"/>
    <col min="1025" max="1025" width="11.5703125" style="1077" bestFit="1" customWidth="1"/>
    <col min="1026" max="1026" width="12.5703125" style="1077" customWidth="1"/>
    <col min="1027" max="1027" width="10.28515625" style="1077" customWidth="1"/>
    <col min="1028" max="1028" width="14.7109375" style="1077" customWidth="1"/>
    <col min="1029" max="1029" width="13.28515625" style="1077" bestFit="1" customWidth="1"/>
    <col min="1030" max="1030" width="4.85546875" style="1077" customWidth="1"/>
    <col min="1031" max="1031" width="11.7109375" style="1077" customWidth="1"/>
    <col min="1032" max="1032" width="12" style="1077" customWidth="1"/>
    <col min="1033" max="1033" width="9.7109375" style="1077" customWidth="1"/>
    <col min="1034" max="1034" width="13.7109375" style="1077" bestFit="1" customWidth="1"/>
    <col min="1035" max="1280" width="8.85546875" style="1077"/>
    <col min="1281" max="1281" width="11.5703125" style="1077" bestFit="1" customWidth="1"/>
    <col min="1282" max="1282" width="12.5703125" style="1077" customWidth="1"/>
    <col min="1283" max="1283" width="10.28515625" style="1077" customWidth="1"/>
    <col min="1284" max="1284" width="14.7109375" style="1077" customWidth="1"/>
    <col min="1285" max="1285" width="13.28515625" style="1077" bestFit="1" customWidth="1"/>
    <col min="1286" max="1286" width="4.85546875" style="1077" customWidth="1"/>
    <col min="1287" max="1287" width="11.7109375" style="1077" customWidth="1"/>
    <col min="1288" max="1288" width="12" style="1077" customWidth="1"/>
    <col min="1289" max="1289" width="9.7109375" style="1077" customWidth="1"/>
    <col min="1290" max="1290" width="13.7109375" style="1077" bestFit="1" customWidth="1"/>
    <col min="1291" max="1536" width="8.85546875" style="1077"/>
    <col min="1537" max="1537" width="11.5703125" style="1077" bestFit="1" customWidth="1"/>
    <col min="1538" max="1538" width="12.5703125" style="1077" customWidth="1"/>
    <col min="1539" max="1539" width="10.28515625" style="1077" customWidth="1"/>
    <col min="1540" max="1540" width="14.7109375" style="1077" customWidth="1"/>
    <col min="1541" max="1541" width="13.28515625" style="1077" bestFit="1" customWidth="1"/>
    <col min="1542" max="1542" width="4.85546875" style="1077" customWidth="1"/>
    <col min="1543" max="1543" width="11.7109375" style="1077" customWidth="1"/>
    <col min="1544" max="1544" width="12" style="1077" customWidth="1"/>
    <col min="1545" max="1545" width="9.7109375" style="1077" customWidth="1"/>
    <col min="1546" max="1546" width="13.7109375" style="1077" bestFit="1" customWidth="1"/>
    <col min="1547" max="1792" width="8.85546875" style="1077"/>
    <col min="1793" max="1793" width="11.5703125" style="1077" bestFit="1" customWidth="1"/>
    <col min="1794" max="1794" width="12.5703125" style="1077" customWidth="1"/>
    <col min="1795" max="1795" width="10.28515625" style="1077" customWidth="1"/>
    <col min="1796" max="1796" width="14.7109375" style="1077" customWidth="1"/>
    <col min="1797" max="1797" width="13.28515625" style="1077" bestFit="1" customWidth="1"/>
    <col min="1798" max="1798" width="4.85546875" style="1077" customWidth="1"/>
    <col min="1799" max="1799" width="11.7109375" style="1077" customWidth="1"/>
    <col min="1800" max="1800" width="12" style="1077" customWidth="1"/>
    <col min="1801" max="1801" width="9.7109375" style="1077" customWidth="1"/>
    <col min="1802" max="1802" width="13.7109375" style="1077" bestFit="1" customWidth="1"/>
    <col min="1803" max="2048" width="8.85546875" style="1077"/>
    <col min="2049" max="2049" width="11.5703125" style="1077" bestFit="1" customWidth="1"/>
    <col min="2050" max="2050" width="12.5703125" style="1077" customWidth="1"/>
    <col min="2051" max="2051" width="10.28515625" style="1077" customWidth="1"/>
    <col min="2052" max="2052" width="14.7109375" style="1077" customWidth="1"/>
    <col min="2053" max="2053" width="13.28515625" style="1077" bestFit="1" customWidth="1"/>
    <col min="2054" max="2054" width="4.85546875" style="1077" customWidth="1"/>
    <col min="2055" max="2055" width="11.7109375" style="1077" customWidth="1"/>
    <col min="2056" max="2056" width="12" style="1077" customWidth="1"/>
    <col min="2057" max="2057" width="9.7109375" style="1077" customWidth="1"/>
    <col min="2058" max="2058" width="13.7109375" style="1077" bestFit="1" customWidth="1"/>
    <col min="2059" max="2304" width="8.85546875" style="1077"/>
    <col min="2305" max="2305" width="11.5703125" style="1077" bestFit="1" customWidth="1"/>
    <col min="2306" max="2306" width="12.5703125" style="1077" customWidth="1"/>
    <col min="2307" max="2307" width="10.28515625" style="1077" customWidth="1"/>
    <col min="2308" max="2308" width="14.7109375" style="1077" customWidth="1"/>
    <col min="2309" max="2309" width="13.28515625" style="1077" bestFit="1" customWidth="1"/>
    <col min="2310" max="2310" width="4.85546875" style="1077" customWidth="1"/>
    <col min="2311" max="2311" width="11.7109375" style="1077" customWidth="1"/>
    <col min="2312" max="2312" width="12" style="1077" customWidth="1"/>
    <col min="2313" max="2313" width="9.7109375" style="1077" customWidth="1"/>
    <col min="2314" max="2314" width="13.7109375" style="1077" bestFit="1" customWidth="1"/>
    <col min="2315" max="2560" width="8.85546875" style="1077"/>
    <col min="2561" max="2561" width="11.5703125" style="1077" bestFit="1" customWidth="1"/>
    <col min="2562" max="2562" width="12.5703125" style="1077" customWidth="1"/>
    <col min="2563" max="2563" width="10.28515625" style="1077" customWidth="1"/>
    <col min="2564" max="2564" width="14.7109375" style="1077" customWidth="1"/>
    <col min="2565" max="2565" width="13.28515625" style="1077" bestFit="1" customWidth="1"/>
    <col min="2566" max="2566" width="4.85546875" style="1077" customWidth="1"/>
    <col min="2567" max="2567" width="11.7109375" style="1077" customWidth="1"/>
    <col min="2568" max="2568" width="12" style="1077" customWidth="1"/>
    <col min="2569" max="2569" width="9.7109375" style="1077" customWidth="1"/>
    <col min="2570" max="2570" width="13.7109375" style="1077" bestFit="1" customWidth="1"/>
    <col min="2571" max="2816" width="8.85546875" style="1077"/>
    <col min="2817" max="2817" width="11.5703125" style="1077" bestFit="1" customWidth="1"/>
    <col min="2818" max="2818" width="12.5703125" style="1077" customWidth="1"/>
    <col min="2819" max="2819" width="10.28515625" style="1077" customWidth="1"/>
    <col min="2820" max="2820" width="14.7109375" style="1077" customWidth="1"/>
    <col min="2821" max="2821" width="13.28515625" style="1077" bestFit="1" customWidth="1"/>
    <col min="2822" max="2822" width="4.85546875" style="1077" customWidth="1"/>
    <col min="2823" max="2823" width="11.7109375" style="1077" customWidth="1"/>
    <col min="2824" max="2824" width="12" style="1077" customWidth="1"/>
    <col min="2825" max="2825" width="9.7109375" style="1077" customWidth="1"/>
    <col min="2826" max="2826" width="13.7109375" style="1077" bestFit="1" customWidth="1"/>
    <col min="2827" max="3072" width="8.85546875" style="1077"/>
    <col min="3073" max="3073" width="11.5703125" style="1077" bestFit="1" customWidth="1"/>
    <col min="3074" max="3074" width="12.5703125" style="1077" customWidth="1"/>
    <col min="3075" max="3075" width="10.28515625" style="1077" customWidth="1"/>
    <col min="3076" max="3076" width="14.7109375" style="1077" customWidth="1"/>
    <col min="3077" max="3077" width="13.28515625" style="1077" bestFit="1" customWidth="1"/>
    <col min="3078" max="3078" width="4.85546875" style="1077" customWidth="1"/>
    <col min="3079" max="3079" width="11.7109375" style="1077" customWidth="1"/>
    <col min="3080" max="3080" width="12" style="1077" customWidth="1"/>
    <col min="3081" max="3081" width="9.7109375" style="1077" customWidth="1"/>
    <col min="3082" max="3082" width="13.7109375" style="1077" bestFit="1" customWidth="1"/>
    <col min="3083" max="3328" width="8.85546875" style="1077"/>
    <col min="3329" max="3329" width="11.5703125" style="1077" bestFit="1" customWidth="1"/>
    <col min="3330" max="3330" width="12.5703125" style="1077" customWidth="1"/>
    <col min="3331" max="3331" width="10.28515625" style="1077" customWidth="1"/>
    <col min="3332" max="3332" width="14.7109375" style="1077" customWidth="1"/>
    <col min="3333" max="3333" width="13.28515625" style="1077" bestFit="1" customWidth="1"/>
    <col min="3334" max="3334" width="4.85546875" style="1077" customWidth="1"/>
    <col min="3335" max="3335" width="11.7109375" style="1077" customWidth="1"/>
    <col min="3336" max="3336" width="12" style="1077" customWidth="1"/>
    <col min="3337" max="3337" width="9.7109375" style="1077" customWidth="1"/>
    <col min="3338" max="3338" width="13.7109375" style="1077" bestFit="1" customWidth="1"/>
    <col min="3339" max="3584" width="8.85546875" style="1077"/>
    <col min="3585" max="3585" width="11.5703125" style="1077" bestFit="1" customWidth="1"/>
    <col min="3586" max="3586" width="12.5703125" style="1077" customWidth="1"/>
    <col min="3587" max="3587" width="10.28515625" style="1077" customWidth="1"/>
    <col min="3588" max="3588" width="14.7109375" style="1077" customWidth="1"/>
    <col min="3589" max="3589" width="13.28515625" style="1077" bestFit="1" customWidth="1"/>
    <col min="3590" max="3590" width="4.85546875" style="1077" customWidth="1"/>
    <col min="3591" max="3591" width="11.7109375" style="1077" customWidth="1"/>
    <col min="3592" max="3592" width="12" style="1077" customWidth="1"/>
    <col min="3593" max="3593" width="9.7109375" style="1077" customWidth="1"/>
    <col min="3594" max="3594" width="13.7109375" style="1077" bestFit="1" customWidth="1"/>
    <col min="3595" max="3840" width="8.85546875" style="1077"/>
    <col min="3841" max="3841" width="11.5703125" style="1077" bestFit="1" customWidth="1"/>
    <col min="3842" max="3842" width="12.5703125" style="1077" customWidth="1"/>
    <col min="3843" max="3843" width="10.28515625" style="1077" customWidth="1"/>
    <col min="3844" max="3844" width="14.7109375" style="1077" customWidth="1"/>
    <col min="3845" max="3845" width="13.28515625" style="1077" bestFit="1" customWidth="1"/>
    <col min="3846" max="3846" width="4.85546875" style="1077" customWidth="1"/>
    <col min="3847" max="3847" width="11.7109375" style="1077" customWidth="1"/>
    <col min="3848" max="3848" width="12" style="1077" customWidth="1"/>
    <col min="3849" max="3849" width="9.7109375" style="1077" customWidth="1"/>
    <col min="3850" max="3850" width="13.7109375" style="1077" bestFit="1" customWidth="1"/>
    <col min="3851" max="4096" width="8.85546875" style="1077"/>
    <col min="4097" max="4097" width="11.5703125" style="1077" bestFit="1" customWidth="1"/>
    <col min="4098" max="4098" width="12.5703125" style="1077" customWidth="1"/>
    <col min="4099" max="4099" width="10.28515625" style="1077" customWidth="1"/>
    <col min="4100" max="4100" width="14.7109375" style="1077" customWidth="1"/>
    <col min="4101" max="4101" width="13.28515625" style="1077" bestFit="1" customWidth="1"/>
    <col min="4102" max="4102" width="4.85546875" style="1077" customWidth="1"/>
    <col min="4103" max="4103" width="11.7109375" style="1077" customWidth="1"/>
    <col min="4104" max="4104" width="12" style="1077" customWidth="1"/>
    <col min="4105" max="4105" width="9.7109375" style="1077" customWidth="1"/>
    <col min="4106" max="4106" width="13.7109375" style="1077" bestFit="1" customWidth="1"/>
    <col min="4107" max="4352" width="8.85546875" style="1077"/>
    <col min="4353" max="4353" width="11.5703125" style="1077" bestFit="1" customWidth="1"/>
    <col min="4354" max="4354" width="12.5703125" style="1077" customWidth="1"/>
    <col min="4355" max="4355" width="10.28515625" style="1077" customWidth="1"/>
    <col min="4356" max="4356" width="14.7109375" style="1077" customWidth="1"/>
    <col min="4357" max="4357" width="13.28515625" style="1077" bestFit="1" customWidth="1"/>
    <col min="4358" max="4358" width="4.85546875" style="1077" customWidth="1"/>
    <col min="4359" max="4359" width="11.7109375" style="1077" customWidth="1"/>
    <col min="4360" max="4360" width="12" style="1077" customWidth="1"/>
    <col min="4361" max="4361" width="9.7109375" style="1077" customWidth="1"/>
    <col min="4362" max="4362" width="13.7109375" style="1077" bestFit="1" customWidth="1"/>
    <col min="4363" max="4608" width="8.85546875" style="1077"/>
    <col min="4609" max="4609" width="11.5703125" style="1077" bestFit="1" customWidth="1"/>
    <col min="4610" max="4610" width="12.5703125" style="1077" customWidth="1"/>
    <col min="4611" max="4611" width="10.28515625" style="1077" customWidth="1"/>
    <col min="4612" max="4612" width="14.7109375" style="1077" customWidth="1"/>
    <col min="4613" max="4613" width="13.28515625" style="1077" bestFit="1" customWidth="1"/>
    <col min="4614" max="4614" width="4.85546875" style="1077" customWidth="1"/>
    <col min="4615" max="4615" width="11.7109375" style="1077" customWidth="1"/>
    <col min="4616" max="4616" width="12" style="1077" customWidth="1"/>
    <col min="4617" max="4617" width="9.7109375" style="1077" customWidth="1"/>
    <col min="4618" max="4618" width="13.7109375" style="1077" bestFit="1" customWidth="1"/>
    <col min="4619" max="4864" width="8.85546875" style="1077"/>
    <col min="4865" max="4865" width="11.5703125" style="1077" bestFit="1" customWidth="1"/>
    <col min="4866" max="4866" width="12.5703125" style="1077" customWidth="1"/>
    <col min="4867" max="4867" width="10.28515625" style="1077" customWidth="1"/>
    <col min="4868" max="4868" width="14.7109375" style="1077" customWidth="1"/>
    <col min="4869" max="4869" width="13.28515625" style="1077" bestFit="1" customWidth="1"/>
    <col min="4870" max="4870" width="4.85546875" style="1077" customWidth="1"/>
    <col min="4871" max="4871" width="11.7109375" style="1077" customWidth="1"/>
    <col min="4872" max="4872" width="12" style="1077" customWidth="1"/>
    <col min="4873" max="4873" width="9.7109375" style="1077" customWidth="1"/>
    <col min="4874" max="4874" width="13.7109375" style="1077" bestFit="1" customWidth="1"/>
    <col min="4875" max="5120" width="8.85546875" style="1077"/>
    <col min="5121" max="5121" width="11.5703125" style="1077" bestFit="1" customWidth="1"/>
    <col min="5122" max="5122" width="12.5703125" style="1077" customWidth="1"/>
    <col min="5123" max="5123" width="10.28515625" style="1077" customWidth="1"/>
    <col min="5124" max="5124" width="14.7109375" style="1077" customWidth="1"/>
    <col min="5125" max="5125" width="13.28515625" style="1077" bestFit="1" customWidth="1"/>
    <col min="5126" max="5126" width="4.85546875" style="1077" customWidth="1"/>
    <col min="5127" max="5127" width="11.7109375" style="1077" customWidth="1"/>
    <col min="5128" max="5128" width="12" style="1077" customWidth="1"/>
    <col min="5129" max="5129" width="9.7109375" style="1077" customWidth="1"/>
    <col min="5130" max="5130" width="13.7109375" style="1077" bestFit="1" customWidth="1"/>
    <col min="5131" max="5376" width="8.85546875" style="1077"/>
    <col min="5377" max="5377" width="11.5703125" style="1077" bestFit="1" customWidth="1"/>
    <col min="5378" max="5378" width="12.5703125" style="1077" customWidth="1"/>
    <col min="5379" max="5379" width="10.28515625" style="1077" customWidth="1"/>
    <col min="5380" max="5380" width="14.7109375" style="1077" customWidth="1"/>
    <col min="5381" max="5381" width="13.28515625" style="1077" bestFit="1" customWidth="1"/>
    <col min="5382" max="5382" width="4.85546875" style="1077" customWidth="1"/>
    <col min="5383" max="5383" width="11.7109375" style="1077" customWidth="1"/>
    <col min="5384" max="5384" width="12" style="1077" customWidth="1"/>
    <col min="5385" max="5385" width="9.7109375" style="1077" customWidth="1"/>
    <col min="5386" max="5386" width="13.7109375" style="1077" bestFit="1" customWidth="1"/>
    <col min="5387" max="5632" width="8.85546875" style="1077"/>
    <col min="5633" max="5633" width="11.5703125" style="1077" bestFit="1" customWidth="1"/>
    <col min="5634" max="5634" width="12.5703125" style="1077" customWidth="1"/>
    <col min="5635" max="5635" width="10.28515625" style="1077" customWidth="1"/>
    <col min="5636" max="5636" width="14.7109375" style="1077" customWidth="1"/>
    <col min="5637" max="5637" width="13.28515625" style="1077" bestFit="1" customWidth="1"/>
    <col min="5638" max="5638" width="4.85546875" style="1077" customWidth="1"/>
    <col min="5639" max="5639" width="11.7109375" style="1077" customWidth="1"/>
    <col min="5640" max="5640" width="12" style="1077" customWidth="1"/>
    <col min="5641" max="5641" width="9.7109375" style="1077" customWidth="1"/>
    <col min="5642" max="5642" width="13.7109375" style="1077" bestFit="1" customWidth="1"/>
    <col min="5643" max="5888" width="8.85546875" style="1077"/>
    <col min="5889" max="5889" width="11.5703125" style="1077" bestFit="1" customWidth="1"/>
    <col min="5890" max="5890" width="12.5703125" style="1077" customWidth="1"/>
    <col min="5891" max="5891" width="10.28515625" style="1077" customWidth="1"/>
    <col min="5892" max="5892" width="14.7109375" style="1077" customWidth="1"/>
    <col min="5893" max="5893" width="13.28515625" style="1077" bestFit="1" customWidth="1"/>
    <col min="5894" max="5894" width="4.85546875" style="1077" customWidth="1"/>
    <col min="5895" max="5895" width="11.7109375" style="1077" customWidth="1"/>
    <col min="5896" max="5896" width="12" style="1077" customWidth="1"/>
    <col min="5897" max="5897" width="9.7109375" style="1077" customWidth="1"/>
    <col min="5898" max="5898" width="13.7109375" style="1077" bestFit="1" customWidth="1"/>
    <col min="5899" max="6144" width="8.85546875" style="1077"/>
    <col min="6145" max="6145" width="11.5703125" style="1077" bestFit="1" customWidth="1"/>
    <col min="6146" max="6146" width="12.5703125" style="1077" customWidth="1"/>
    <col min="6147" max="6147" width="10.28515625" style="1077" customWidth="1"/>
    <col min="6148" max="6148" width="14.7109375" style="1077" customWidth="1"/>
    <col min="6149" max="6149" width="13.28515625" style="1077" bestFit="1" customWidth="1"/>
    <col min="6150" max="6150" width="4.85546875" style="1077" customWidth="1"/>
    <col min="6151" max="6151" width="11.7109375" style="1077" customWidth="1"/>
    <col min="6152" max="6152" width="12" style="1077" customWidth="1"/>
    <col min="6153" max="6153" width="9.7109375" style="1077" customWidth="1"/>
    <col min="6154" max="6154" width="13.7109375" style="1077" bestFit="1" customWidth="1"/>
    <col min="6155" max="6400" width="8.85546875" style="1077"/>
    <col min="6401" max="6401" width="11.5703125" style="1077" bestFit="1" customWidth="1"/>
    <col min="6402" max="6402" width="12.5703125" style="1077" customWidth="1"/>
    <col min="6403" max="6403" width="10.28515625" style="1077" customWidth="1"/>
    <col min="6404" max="6404" width="14.7109375" style="1077" customWidth="1"/>
    <col min="6405" max="6405" width="13.28515625" style="1077" bestFit="1" customWidth="1"/>
    <col min="6406" max="6406" width="4.85546875" style="1077" customWidth="1"/>
    <col min="6407" max="6407" width="11.7109375" style="1077" customWidth="1"/>
    <col min="6408" max="6408" width="12" style="1077" customWidth="1"/>
    <col min="6409" max="6409" width="9.7109375" style="1077" customWidth="1"/>
    <col min="6410" max="6410" width="13.7109375" style="1077" bestFit="1" customWidth="1"/>
    <col min="6411" max="6656" width="8.85546875" style="1077"/>
    <col min="6657" max="6657" width="11.5703125" style="1077" bestFit="1" customWidth="1"/>
    <col min="6658" max="6658" width="12.5703125" style="1077" customWidth="1"/>
    <col min="6659" max="6659" width="10.28515625" style="1077" customWidth="1"/>
    <col min="6660" max="6660" width="14.7109375" style="1077" customWidth="1"/>
    <col min="6661" max="6661" width="13.28515625" style="1077" bestFit="1" customWidth="1"/>
    <col min="6662" max="6662" width="4.85546875" style="1077" customWidth="1"/>
    <col min="6663" max="6663" width="11.7109375" style="1077" customWidth="1"/>
    <col min="6664" max="6664" width="12" style="1077" customWidth="1"/>
    <col min="6665" max="6665" width="9.7109375" style="1077" customWidth="1"/>
    <col min="6666" max="6666" width="13.7109375" style="1077" bestFit="1" customWidth="1"/>
    <col min="6667" max="6912" width="8.85546875" style="1077"/>
    <col min="6913" max="6913" width="11.5703125" style="1077" bestFit="1" customWidth="1"/>
    <col min="6914" max="6914" width="12.5703125" style="1077" customWidth="1"/>
    <col min="6915" max="6915" width="10.28515625" style="1077" customWidth="1"/>
    <col min="6916" max="6916" width="14.7109375" style="1077" customWidth="1"/>
    <col min="6917" max="6917" width="13.28515625" style="1077" bestFit="1" customWidth="1"/>
    <col min="6918" max="6918" width="4.85546875" style="1077" customWidth="1"/>
    <col min="6919" max="6919" width="11.7109375" style="1077" customWidth="1"/>
    <col min="6920" max="6920" width="12" style="1077" customWidth="1"/>
    <col min="6921" max="6921" width="9.7109375" style="1077" customWidth="1"/>
    <col min="6922" max="6922" width="13.7109375" style="1077" bestFit="1" customWidth="1"/>
    <col min="6923" max="7168" width="8.85546875" style="1077"/>
    <col min="7169" max="7169" width="11.5703125" style="1077" bestFit="1" customWidth="1"/>
    <col min="7170" max="7170" width="12.5703125" style="1077" customWidth="1"/>
    <col min="7171" max="7171" width="10.28515625" style="1077" customWidth="1"/>
    <col min="7172" max="7172" width="14.7109375" style="1077" customWidth="1"/>
    <col min="7173" max="7173" width="13.28515625" style="1077" bestFit="1" customWidth="1"/>
    <col min="7174" max="7174" width="4.85546875" style="1077" customWidth="1"/>
    <col min="7175" max="7175" width="11.7109375" style="1077" customWidth="1"/>
    <col min="7176" max="7176" width="12" style="1077" customWidth="1"/>
    <col min="7177" max="7177" width="9.7109375" style="1077" customWidth="1"/>
    <col min="7178" max="7178" width="13.7109375" style="1077" bestFit="1" customWidth="1"/>
    <col min="7179" max="7424" width="8.85546875" style="1077"/>
    <col min="7425" max="7425" width="11.5703125" style="1077" bestFit="1" customWidth="1"/>
    <col min="7426" max="7426" width="12.5703125" style="1077" customWidth="1"/>
    <col min="7427" max="7427" width="10.28515625" style="1077" customWidth="1"/>
    <col min="7428" max="7428" width="14.7109375" style="1077" customWidth="1"/>
    <col min="7429" max="7429" width="13.28515625" style="1077" bestFit="1" customWidth="1"/>
    <col min="7430" max="7430" width="4.85546875" style="1077" customWidth="1"/>
    <col min="7431" max="7431" width="11.7109375" style="1077" customWidth="1"/>
    <col min="7432" max="7432" width="12" style="1077" customWidth="1"/>
    <col min="7433" max="7433" width="9.7109375" style="1077" customWidth="1"/>
    <col min="7434" max="7434" width="13.7109375" style="1077" bestFit="1" customWidth="1"/>
    <col min="7435" max="7680" width="8.85546875" style="1077"/>
    <col min="7681" max="7681" width="11.5703125" style="1077" bestFit="1" customWidth="1"/>
    <col min="7682" max="7682" width="12.5703125" style="1077" customWidth="1"/>
    <col min="7683" max="7683" width="10.28515625" style="1077" customWidth="1"/>
    <col min="7684" max="7684" width="14.7109375" style="1077" customWidth="1"/>
    <col min="7685" max="7685" width="13.28515625" style="1077" bestFit="1" customWidth="1"/>
    <col min="7686" max="7686" width="4.85546875" style="1077" customWidth="1"/>
    <col min="7687" max="7687" width="11.7109375" style="1077" customWidth="1"/>
    <col min="7688" max="7688" width="12" style="1077" customWidth="1"/>
    <col min="7689" max="7689" width="9.7109375" style="1077" customWidth="1"/>
    <col min="7690" max="7690" width="13.7109375" style="1077" bestFit="1" customWidth="1"/>
    <col min="7691" max="7936" width="8.85546875" style="1077"/>
    <col min="7937" max="7937" width="11.5703125" style="1077" bestFit="1" customWidth="1"/>
    <col min="7938" max="7938" width="12.5703125" style="1077" customWidth="1"/>
    <col min="7939" max="7939" width="10.28515625" style="1077" customWidth="1"/>
    <col min="7940" max="7940" width="14.7109375" style="1077" customWidth="1"/>
    <col min="7941" max="7941" width="13.28515625" style="1077" bestFit="1" customWidth="1"/>
    <col min="7942" max="7942" width="4.85546875" style="1077" customWidth="1"/>
    <col min="7943" max="7943" width="11.7109375" style="1077" customWidth="1"/>
    <col min="7944" max="7944" width="12" style="1077" customWidth="1"/>
    <col min="7945" max="7945" width="9.7109375" style="1077" customWidth="1"/>
    <col min="7946" max="7946" width="13.7109375" style="1077" bestFit="1" customWidth="1"/>
    <col min="7947" max="8192" width="8.85546875" style="1077"/>
    <col min="8193" max="8193" width="11.5703125" style="1077" bestFit="1" customWidth="1"/>
    <col min="8194" max="8194" width="12.5703125" style="1077" customWidth="1"/>
    <col min="8195" max="8195" width="10.28515625" style="1077" customWidth="1"/>
    <col min="8196" max="8196" width="14.7109375" style="1077" customWidth="1"/>
    <col min="8197" max="8197" width="13.28515625" style="1077" bestFit="1" customWidth="1"/>
    <col min="8198" max="8198" width="4.85546875" style="1077" customWidth="1"/>
    <col min="8199" max="8199" width="11.7109375" style="1077" customWidth="1"/>
    <col min="8200" max="8200" width="12" style="1077" customWidth="1"/>
    <col min="8201" max="8201" width="9.7109375" style="1077" customWidth="1"/>
    <col min="8202" max="8202" width="13.7109375" style="1077" bestFit="1" customWidth="1"/>
    <col min="8203" max="8448" width="8.85546875" style="1077"/>
    <col min="8449" max="8449" width="11.5703125" style="1077" bestFit="1" customWidth="1"/>
    <col min="8450" max="8450" width="12.5703125" style="1077" customWidth="1"/>
    <col min="8451" max="8451" width="10.28515625" style="1077" customWidth="1"/>
    <col min="8452" max="8452" width="14.7109375" style="1077" customWidth="1"/>
    <col min="8453" max="8453" width="13.28515625" style="1077" bestFit="1" customWidth="1"/>
    <col min="8454" max="8454" width="4.85546875" style="1077" customWidth="1"/>
    <col min="8455" max="8455" width="11.7109375" style="1077" customWidth="1"/>
    <col min="8456" max="8456" width="12" style="1077" customWidth="1"/>
    <col min="8457" max="8457" width="9.7109375" style="1077" customWidth="1"/>
    <col min="8458" max="8458" width="13.7109375" style="1077" bestFit="1" customWidth="1"/>
    <col min="8459" max="8704" width="8.85546875" style="1077"/>
    <col min="8705" max="8705" width="11.5703125" style="1077" bestFit="1" customWidth="1"/>
    <col min="8706" max="8706" width="12.5703125" style="1077" customWidth="1"/>
    <col min="8707" max="8707" width="10.28515625" style="1077" customWidth="1"/>
    <col min="8708" max="8708" width="14.7109375" style="1077" customWidth="1"/>
    <col min="8709" max="8709" width="13.28515625" style="1077" bestFit="1" customWidth="1"/>
    <col min="8710" max="8710" width="4.85546875" style="1077" customWidth="1"/>
    <col min="8711" max="8711" width="11.7109375" style="1077" customWidth="1"/>
    <col min="8712" max="8712" width="12" style="1077" customWidth="1"/>
    <col min="8713" max="8713" width="9.7109375" style="1077" customWidth="1"/>
    <col min="8714" max="8714" width="13.7109375" style="1077" bestFit="1" customWidth="1"/>
    <col min="8715" max="8960" width="8.85546875" style="1077"/>
    <col min="8961" max="8961" width="11.5703125" style="1077" bestFit="1" customWidth="1"/>
    <col min="8962" max="8962" width="12.5703125" style="1077" customWidth="1"/>
    <col min="8963" max="8963" width="10.28515625" style="1077" customWidth="1"/>
    <col min="8964" max="8964" width="14.7109375" style="1077" customWidth="1"/>
    <col min="8965" max="8965" width="13.28515625" style="1077" bestFit="1" customWidth="1"/>
    <col min="8966" max="8966" width="4.85546875" style="1077" customWidth="1"/>
    <col min="8967" max="8967" width="11.7109375" style="1077" customWidth="1"/>
    <col min="8968" max="8968" width="12" style="1077" customWidth="1"/>
    <col min="8969" max="8969" width="9.7109375" style="1077" customWidth="1"/>
    <col min="8970" max="8970" width="13.7109375" style="1077" bestFit="1" customWidth="1"/>
    <col min="8971" max="9216" width="8.85546875" style="1077"/>
    <col min="9217" max="9217" width="11.5703125" style="1077" bestFit="1" customWidth="1"/>
    <col min="9218" max="9218" width="12.5703125" style="1077" customWidth="1"/>
    <col min="9219" max="9219" width="10.28515625" style="1077" customWidth="1"/>
    <col min="9220" max="9220" width="14.7109375" style="1077" customWidth="1"/>
    <col min="9221" max="9221" width="13.28515625" style="1077" bestFit="1" customWidth="1"/>
    <col min="9222" max="9222" width="4.85546875" style="1077" customWidth="1"/>
    <col min="9223" max="9223" width="11.7109375" style="1077" customWidth="1"/>
    <col min="9224" max="9224" width="12" style="1077" customWidth="1"/>
    <col min="9225" max="9225" width="9.7109375" style="1077" customWidth="1"/>
    <col min="9226" max="9226" width="13.7109375" style="1077" bestFit="1" customWidth="1"/>
    <col min="9227" max="9472" width="8.85546875" style="1077"/>
    <col min="9473" max="9473" width="11.5703125" style="1077" bestFit="1" customWidth="1"/>
    <col min="9474" max="9474" width="12.5703125" style="1077" customWidth="1"/>
    <col min="9475" max="9475" width="10.28515625" style="1077" customWidth="1"/>
    <col min="9476" max="9476" width="14.7109375" style="1077" customWidth="1"/>
    <col min="9477" max="9477" width="13.28515625" style="1077" bestFit="1" customWidth="1"/>
    <col min="9478" max="9478" width="4.85546875" style="1077" customWidth="1"/>
    <col min="9479" max="9479" width="11.7109375" style="1077" customWidth="1"/>
    <col min="9480" max="9480" width="12" style="1077" customWidth="1"/>
    <col min="9481" max="9481" width="9.7109375" style="1077" customWidth="1"/>
    <col min="9482" max="9482" width="13.7109375" style="1077" bestFit="1" customWidth="1"/>
    <col min="9483" max="9728" width="8.85546875" style="1077"/>
    <col min="9729" max="9729" width="11.5703125" style="1077" bestFit="1" customWidth="1"/>
    <col min="9730" max="9730" width="12.5703125" style="1077" customWidth="1"/>
    <col min="9731" max="9731" width="10.28515625" style="1077" customWidth="1"/>
    <col min="9732" max="9732" width="14.7109375" style="1077" customWidth="1"/>
    <col min="9733" max="9733" width="13.28515625" style="1077" bestFit="1" customWidth="1"/>
    <col min="9734" max="9734" width="4.85546875" style="1077" customWidth="1"/>
    <col min="9735" max="9735" width="11.7109375" style="1077" customWidth="1"/>
    <col min="9736" max="9736" width="12" style="1077" customWidth="1"/>
    <col min="9737" max="9737" width="9.7109375" style="1077" customWidth="1"/>
    <col min="9738" max="9738" width="13.7109375" style="1077" bestFit="1" customWidth="1"/>
    <col min="9739" max="9984" width="8.85546875" style="1077"/>
    <col min="9985" max="9985" width="11.5703125" style="1077" bestFit="1" customWidth="1"/>
    <col min="9986" max="9986" width="12.5703125" style="1077" customWidth="1"/>
    <col min="9987" max="9987" width="10.28515625" style="1077" customWidth="1"/>
    <col min="9988" max="9988" width="14.7109375" style="1077" customWidth="1"/>
    <col min="9989" max="9989" width="13.28515625" style="1077" bestFit="1" customWidth="1"/>
    <col min="9990" max="9990" width="4.85546875" style="1077" customWidth="1"/>
    <col min="9991" max="9991" width="11.7109375" style="1077" customWidth="1"/>
    <col min="9992" max="9992" width="12" style="1077" customWidth="1"/>
    <col min="9993" max="9993" width="9.7109375" style="1077" customWidth="1"/>
    <col min="9994" max="9994" width="13.7109375" style="1077" bestFit="1" customWidth="1"/>
    <col min="9995" max="10240" width="8.85546875" style="1077"/>
    <col min="10241" max="10241" width="11.5703125" style="1077" bestFit="1" customWidth="1"/>
    <col min="10242" max="10242" width="12.5703125" style="1077" customWidth="1"/>
    <col min="10243" max="10243" width="10.28515625" style="1077" customWidth="1"/>
    <col min="10244" max="10244" width="14.7109375" style="1077" customWidth="1"/>
    <col min="10245" max="10245" width="13.28515625" style="1077" bestFit="1" customWidth="1"/>
    <col min="10246" max="10246" width="4.85546875" style="1077" customWidth="1"/>
    <col min="10247" max="10247" width="11.7109375" style="1077" customWidth="1"/>
    <col min="10248" max="10248" width="12" style="1077" customWidth="1"/>
    <col min="10249" max="10249" width="9.7109375" style="1077" customWidth="1"/>
    <col min="10250" max="10250" width="13.7109375" style="1077" bestFit="1" customWidth="1"/>
    <col min="10251" max="10496" width="8.85546875" style="1077"/>
    <col min="10497" max="10497" width="11.5703125" style="1077" bestFit="1" customWidth="1"/>
    <col min="10498" max="10498" width="12.5703125" style="1077" customWidth="1"/>
    <col min="10499" max="10499" width="10.28515625" style="1077" customWidth="1"/>
    <col min="10500" max="10500" width="14.7109375" style="1077" customWidth="1"/>
    <col min="10501" max="10501" width="13.28515625" style="1077" bestFit="1" customWidth="1"/>
    <col min="10502" max="10502" width="4.85546875" style="1077" customWidth="1"/>
    <col min="10503" max="10503" width="11.7109375" style="1077" customWidth="1"/>
    <col min="10504" max="10504" width="12" style="1077" customWidth="1"/>
    <col min="10505" max="10505" width="9.7109375" style="1077" customWidth="1"/>
    <col min="10506" max="10506" width="13.7109375" style="1077" bestFit="1" customWidth="1"/>
    <col min="10507" max="10752" width="8.85546875" style="1077"/>
    <col min="10753" max="10753" width="11.5703125" style="1077" bestFit="1" customWidth="1"/>
    <col min="10754" max="10754" width="12.5703125" style="1077" customWidth="1"/>
    <col min="10755" max="10755" width="10.28515625" style="1077" customWidth="1"/>
    <col min="10756" max="10756" width="14.7109375" style="1077" customWidth="1"/>
    <col min="10757" max="10757" width="13.28515625" style="1077" bestFit="1" customWidth="1"/>
    <col min="10758" max="10758" width="4.85546875" style="1077" customWidth="1"/>
    <col min="10759" max="10759" width="11.7109375" style="1077" customWidth="1"/>
    <col min="10760" max="10760" width="12" style="1077" customWidth="1"/>
    <col min="10761" max="10761" width="9.7109375" style="1077" customWidth="1"/>
    <col min="10762" max="10762" width="13.7109375" style="1077" bestFit="1" customWidth="1"/>
    <col min="10763" max="11008" width="8.85546875" style="1077"/>
    <col min="11009" max="11009" width="11.5703125" style="1077" bestFit="1" customWidth="1"/>
    <col min="11010" max="11010" width="12.5703125" style="1077" customWidth="1"/>
    <col min="11011" max="11011" width="10.28515625" style="1077" customWidth="1"/>
    <col min="11012" max="11012" width="14.7109375" style="1077" customWidth="1"/>
    <col min="11013" max="11013" width="13.28515625" style="1077" bestFit="1" customWidth="1"/>
    <col min="11014" max="11014" width="4.85546875" style="1077" customWidth="1"/>
    <col min="11015" max="11015" width="11.7109375" style="1077" customWidth="1"/>
    <col min="11016" max="11016" width="12" style="1077" customWidth="1"/>
    <col min="11017" max="11017" width="9.7109375" style="1077" customWidth="1"/>
    <col min="11018" max="11018" width="13.7109375" style="1077" bestFit="1" customWidth="1"/>
    <col min="11019" max="11264" width="8.85546875" style="1077"/>
    <col min="11265" max="11265" width="11.5703125" style="1077" bestFit="1" customWidth="1"/>
    <col min="11266" max="11266" width="12.5703125" style="1077" customWidth="1"/>
    <col min="11267" max="11267" width="10.28515625" style="1077" customWidth="1"/>
    <col min="11268" max="11268" width="14.7109375" style="1077" customWidth="1"/>
    <col min="11269" max="11269" width="13.28515625" style="1077" bestFit="1" customWidth="1"/>
    <col min="11270" max="11270" width="4.85546875" style="1077" customWidth="1"/>
    <col min="11271" max="11271" width="11.7109375" style="1077" customWidth="1"/>
    <col min="11272" max="11272" width="12" style="1077" customWidth="1"/>
    <col min="11273" max="11273" width="9.7109375" style="1077" customWidth="1"/>
    <col min="11274" max="11274" width="13.7109375" style="1077" bestFit="1" customWidth="1"/>
    <col min="11275" max="11520" width="8.85546875" style="1077"/>
    <col min="11521" max="11521" width="11.5703125" style="1077" bestFit="1" customWidth="1"/>
    <col min="11522" max="11522" width="12.5703125" style="1077" customWidth="1"/>
    <col min="11523" max="11523" width="10.28515625" style="1077" customWidth="1"/>
    <col min="11524" max="11524" width="14.7109375" style="1077" customWidth="1"/>
    <col min="11525" max="11525" width="13.28515625" style="1077" bestFit="1" customWidth="1"/>
    <col min="11526" max="11526" width="4.85546875" style="1077" customWidth="1"/>
    <col min="11527" max="11527" width="11.7109375" style="1077" customWidth="1"/>
    <col min="11528" max="11528" width="12" style="1077" customWidth="1"/>
    <col min="11529" max="11529" width="9.7109375" style="1077" customWidth="1"/>
    <col min="11530" max="11530" width="13.7109375" style="1077" bestFit="1" customWidth="1"/>
    <col min="11531" max="11776" width="8.85546875" style="1077"/>
    <col min="11777" max="11777" width="11.5703125" style="1077" bestFit="1" customWidth="1"/>
    <col min="11778" max="11778" width="12.5703125" style="1077" customWidth="1"/>
    <col min="11779" max="11779" width="10.28515625" style="1077" customWidth="1"/>
    <col min="11780" max="11780" width="14.7109375" style="1077" customWidth="1"/>
    <col min="11781" max="11781" width="13.28515625" style="1077" bestFit="1" customWidth="1"/>
    <col min="11782" max="11782" width="4.85546875" style="1077" customWidth="1"/>
    <col min="11783" max="11783" width="11.7109375" style="1077" customWidth="1"/>
    <col min="11784" max="11784" width="12" style="1077" customWidth="1"/>
    <col min="11785" max="11785" width="9.7109375" style="1077" customWidth="1"/>
    <col min="11786" max="11786" width="13.7109375" style="1077" bestFit="1" customWidth="1"/>
    <col min="11787" max="12032" width="8.85546875" style="1077"/>
    <col min="12033" max="12033" width="11.5703125" style="1077" bestFit="1" customWidth="1"/>
    <col min="12034" max="12034" width="12.5703125" style="1077" customWidth="1"/>
    <col min="12035" max="12035" width="10.28515625" style="1077" customWidth="1"/>
    <col min="12036" max="12036" width="14.7109375" style="1077" customWidth="1"/>
    <col min="12037" max="12037" width="13.28515625" style="1077" bestFit="1" customWidth="1"/>
    <col min="12038" max="12038" width="4.85546875" style="1077" customWidth="1"/>
    <col min="12039" max="12039" width="11.7109375" style="1077" customWidth="1"/>
    <col min="12040" max="12040" width="12" style="1077" customWidth="1"/>
    <col min="12041" max="12041" width="9.7109375" style="1077" customWidth="1"/>
    <col min="12042" max="12042" width="13.7109375" style="1077" bestFit="1" customWidth="1"/>
    <col min="12043" max="12288" width="8.85546875" style="1077"/>
    <col min="12289" max="12289" width="11.5703125" style="1077" bestFit="1" customWidth="1"/>
    <col min="12290" max="12290" width="12.5703125" style="1077" customWidth="1"/>
    <col min="12291" max="12291" width="10.28515625" style="1077" customWidth="1"/>
    <col min="12292" max="12292" width="14.7109375" style="1077" customWidth="1"/>
    <col min="12293" max="12293" width="13.28515625" style="1077" bestFit="1" customWidth="1"/>
    <col min="12294" max="12294" width="4.85546875" style="1077" customWidth="1"/>
    <col min="12295" max="12295" width="11.7109375" style="1077" customWidth="1"/>
    <col min="12296" max="12296" width="12" style="1077" customWidth="1"/>
    <col min="12297" max="12297" width="9.7109375" style="1077" customWidth="1"/>
    <col min="12298" max="12298" width="13.7109375" style="1077" bestFit="1" customWidth="1"/>
    <col min="12299" max="12544" width="8.85546875" style="1077"/>
    <col min="12545" max="12545" width="11.5703125" style="1077" bestFit="1" customWidth="1"/>
    <col min="12546" max="12546" width="12.5703125" style="1077" customWidth="1"/>
    <col min="12547" max="12547" width="10.28515625" style="1077" customWidth="1"/>
    <col min="12548" max="12548" width="14.7109375" style="1077" customWidth="1"/>
    <col min="12549" max="12549" width="13.28515625" style="1077" bestFit="1" customWidth="1"/>
    <col min="12550" max="12550" width="4.85546875" style="1077" customWidth="1"/>
    <col min="12551" max="12551" width="11.7109375" style="1077" customWidth="1"/>
    <col min="12552" max="12552" width="12" style="1077" customWidth="1"/>
    <col min="12553" max="12553" width="9.7109375" style="1077" customWidth="1"/>
    <col min="12554" max="12554" width="13.7109375" style="1077" bestFit="1" customWidth="1"/>
    <col min="12555" max="12800" width="8.85546875" style="1077"/>
    <col min="12801" max="12801" width="11.5703125" style="1077" bestFit="1" customWidth="1"/>
    <col min="12802" max="12802" width="12.5703125" style="1077" customWidth="1"/>
    <col min="12803" max="12803" width="10.28515625" style="1077" customWidth="1"/>
    <col min="12804" max="12804" width="14.7109375" style="1077" customWidth="1"/>
    <col min="12805" max="12805" width="13.28515625" style="1077" bestFit="1" customWidth="1"/>
    <col min="12806" max="12806" width="4.85546875" style="1077" customWidth="1"/>
    <col min="12807" max="12807" width="11.7109375" style="1077" customWidth="1"/>
    <col min="12808" max="12808" width="12" style="1077" customWidth="1"/>
    <col min="12809" max="12809" width="9.7109375" style="1077" customWidth="1"/>
    <col min="12810" max="12810" width="13.7109375" style="1077" bestFit="1" customWidth="1"/>
    <col min="12811" max="13056" width="8.85546875" style="1077"/>
    <col min="13057" max="13057" width="11.5703125" style="1077" bestFit="1" customWidth="1"/>
    <col min="13058" max="13058" width="12.5703125" style="1077" customWidth="1"/>
    <col min="13059" max="13059" width="10.28515625" style="1077" customWidth="1"/>
    <col min="13060" max="13060" width="14.7109375" style="1077" customWidth="1"/>
    <col min="13061" max="13061" width="13.28515625" style="1077" bestFit="1" customWidth="1"/>
    <col min="13062" max="13062" width="4.85546875" style="1077" customWidth="1"/>
    <col min="13063" max="13063" width="11.7109375" style="1077" customWidth="1"/>
    <col min="13064" max="13064" width="12" style="1077" customWidth="1"/>
    <col min="13065" max="13065" width="9.7109375" style="1077" customWidth="1"/>
    <col min="13066" max="13066" width="13.7109375" style="1077" bestFit="1" customWidth="1"/>
    <col min="13067" max="13312" width="8.85546875" style="1077"/>
    <col min="13313" max="13313" width="11.5703125" style="1077" bestFit="1" customWidth="1"/>
    <col min="13314" max="13314" width="12.5703125" style="1077" customWidth="1"/>
    <col min="13315" max="13315" width="10.28515625" style="1077" customWidth="1"/>
    <col min="13316" max="13316" width="14.7109375" style="1077" customWidth="1"/>
    <col min="13317" max="13317" width="13.28515625" style="1077" bestFit="1" customWidth="1"/>
    <col min="13318" max="13318" width="4.85546875" style="1077" customWidth="1"/>
    <col min="13319" max="13319" width="11.7109375" style="1077" customWidth="1"/>
    <col min="13320" max="13320" width="12" style="1077" customWidth="1"/>
    <col min="13321" max="13321" width="9.7109375" style="1077" customWidth="1"/>
    <col min="13322" max="13322" width="13.7109375" style="1077" bestFit="1" customWidth="1"/>
    <col min="13323" max="13568" width="8.85546875" style="1077"/>
    <col min="13569" max="13569" width="11.5703125" style="1077" bestFit="1" customWidth="1"/>
    <col min="13570" max="13570" width="12.5703125" style="1077" customWidth="1"/>
    <col min="13571" max="13571" width="10.28515625" style="1077" customWidth="1"/>
    <col min="13572" max="13572" width="14.7109375" style="1077" customWidth="1"/>
    <col min="13573" max="13573" width="13.28515625" style="1077" bestFit="1" customWidth="1"/>
    <col min="13574" max="13574" width="4.85546875" style="1077" customWidth="1"/>
    <col min="13575" max="13575" width="11.7109375" style="1077" customWidth="1"/>
    <col min="13576" max="13576" width="12" style="1077" customWidth="1"/>
    <col min="13577" max="13577" width="9.7109375" style="1077" customWidth="1"/>
    <col min="13578" max="13578" width="13.7109375" style="1077" bestFit="1" customWidth="1"/>
    <col min="13579" max="13824" width="8.85546875" style="1077"/>
    <col min="13825" max="13825" width="11.5703125" style="1077" bestFit="1" customWidth="1"/>
    <col min="13826" max="13826" width="12.5703125" style="1077" customWidth="1"/>
    <col min="13827" max="13827" width="10.28515625" style="1077" customWidth="1"/>
    <col min="13828" max="13828" width="14.7109375" style="1077" customWidth="1"/>
    <col min="13829" max="13829" width="13.28515625" style="1077" bestFit="1" customWidth="1"/>
    <col min="13830" max="13830" width="4.85546875" style="1077" customWidth="1"/>
    <col min="13831" max="13831" width="11.7109375" style="1077" customWidth="1"/>
    <col min="13832" max="13832" width="12" style="1077" customWidth="1"/>
    <col min="13833" max="13833" width="9.7109375" style="1077" customWidth="1"/>
    <col min="13834" max="13834" width="13.7109375" style="1077" bestFit="1" customWidth="1"/>
    <col min="13835" max="14080" width="8.85546875" style="1077"/>
    <col min="14081" max="14081" width="11.5703125" style="1077" bestFit="1" customWidth="1"/>
    <col min="14082" max="14082" width="12.5703125" style="1077" customWidth="1"/>
    <col min="14083" max="14083" width="10.28515625" style="1077" customWidth="1"/>
    <col min="14084" max="14084" width="14.7109375" style="1077" customWidth="1"/>
    <col min="14085" max="14085" width="13.28515625" style="1077" bestFit="1" customWidth="1"/>
    <col min="14086" max="14086" width="4.85546875" style="1077" customWidth="1"/>
    <col min="14087" max="14087" width="11.7109375" style="1077" customWidth="1"/>
    <col min="14088" max="14088" width="12" style="1077" customWidth="1"/>
    <col min="14089" max="14089" width="9.7109375" style="1077" customWidth="1"/>
    <col min="14090" max="14090" width="13.7109375" style="1077" bestFit="1" customWidth="1"/>
    <col min="14091" max="14336" width="8.85546875" style="1077"/>
    <col min="14337" max="14337" width="11.5703125" style="1077" bestFit="1" customWidth="1"/>
    <col min="14338" max="14338" width="12.5703125" style="1077" customWidth="1"/>
    <col min="14339" max="14339" width="10.28515625" style="1077" customWidth="1"/>
    <col min="14340" max="14340" width="14.7109375" style="1077" customWidth="1"/>
    <col min="14341" max="14341" width="13.28515625" style="1077" bestFit="1" customWidth="1"/>
    <col min="14342" max="14342" width="4.85546875" style="1077" customWidth="1"/>
    <col min="14343" max="14343" width="11.7109375" style="1077" customWidth="1"/>
    <col min="14344" max="14344" width="12" style="1077" customWidth="1"/>
    <col min="14345" max="14345" width="9.7109375" style="1077" customWidth="1"/>
    <col min="14346" max="14346" width="13.7109375" style="1077" bestFit="1" customWidth="1"/>
    <col min="14347" max="14592" width="8.85546875" style="1077"/>
    <col min="14593" max="14593" width="11.5703125" style="1077" bestFit="1" customWidth="1"/>
    <col min="14594" max="14594" width="12.5703125" style="1077" customWidth="1"/>
    <col min="14595" max="14595" width="10.28515625" style="1077" customWidth="1"/>
    <col min="14596" max="14596" width="14.7109375" style="1077" customWidth="1"/>
    <col min="14597" max="14597" width="13.28515625" style="1077" bestFit="1" customWidth="1"/>
    <col min="14598" max="14598" width="4.85546875" style="1077" customWidth="1"/>
    <col min="14599" max="14599" width="11.7109375" style="1077" customWidth="1"/>
    <col min="14600" max="14600" width="12" style="1077" customWidth="1"/>
    <col min="14601" max="14601" width="9.7109375" style="1077" customWidth="1"/>
    <col min="14602" max="14602" width="13.7109375" style="1077" bestFit="1" customWidth="1"/>
    <col min="14603" max="14848" width="8.85546875" style="1077"/>
    <col min="14849" max="14849" width="11.5703125" style="1077" bestFit="1" customWidth="1"/>
    <col min="14850" max="14850" width="12.5703125" style="1077" customWidth="1"/>
    <col min="14851" max="14851" width="10.28515625" style="1077" customWidth="1"/>
    <col min="14852" max="14852" width="14.7109375" style="1077" customWidth="1"/>
    <col min="14853" max="14853" width="13.28515625" style="1077" bestFit="1" customWidth="1"/>
    <col min="14854" max="14854" width="4.85546875" style="1077" customWidth="1"/>
    <col min="14855" max="14855" width="11.7109375" style="1077" customWidth="1"/>
    <col min="14856" max="14856" width="12" style="1077" customWidth="1"/>
    <col min="14857" max="14857" width="9.7109375" style="1077" customWidth="1"/>
    <col min="14858" max="14858" width="13.7109375" style="1077" bestFit="1" customWidth="1"/>
    <col min="14859" max="15104" width="8.85546875" style="1077"/>
    <col min="15105" max="15105" width="11.5703125" style="1077" bestFit="1" customWidth="1"/>
    <col min="15106" max="15106" width="12.5703125" style="1077" customWidth="1"/>
    <col min="15107" max="15107" width="10.28515625" style="1077" customWidth="1"/>
    <col min="15108" max="15108" width="14.7109375" style="1077" customWidth="1"/>
    <col min="15109" max="15109" width="13.28515625" style="1077" bestFit="1" customWidth="1"/>
    <col min="15110" max="15110" width="4.85546875" style="1077" customWidth="1"/>
    <col min="15111" max="15111" width="11.7109375" style="1077" customWidth="1"/>
    <col min="15112" max="15112" width="12" style="1077" customWidth="1"/>
    <col min="15113" max="15113" width="9.7109375" style="1077" customWidth="1"/>
    <col min="15114" max="15114" width="13.7109375" style="1077" bestFit="1" customWidth="1"/>
    <col min="15115" max="15360" width="8.85546875" style="1077"/>
    <col min="15361" max="15361" width="11.5703125" style="1077" bestFit="1" customWidth="1"/>
    <col min="15362" max="15362" width="12.5703125" style="1077" customWidth="1"/>
    <col min="15363" max="15363" width="10.28515625" style="1077" customWidth="1"/>
    <col min="15364" max="15364" width="14.7109375" style="1077" customWidth="1"/>
    <col min="15365" max="15365" width="13.28515625" style="1077" bestFit="1" customWidth="1"/>
    <col min="15366" max="15366" width="4.85546875" style="1077" customWidth="1"/>
    <col min="15367" max="15367" width="11.7109375" style="1077" customWidth="1"/>
    <col min="15368" max="15368" width="12" style="1077" customWidth="1"/>
    <col min="15369" max="15369" width="9.7109375" style="1077" customWidth="1"/>
    <col min="15370" max="15370" width="13.7109375" style="1077" bestFit="1" customWidth="1"/>
    <col min="15371" max="15616" width="8.85546875" style="1077"/>
    <col min="15617" max="15617" width="11.5703125" style="1077" bestFit="1" customWidth="1"/>
    <col min="15618" max="15618" width="12.5703125" style="1077" customWidth="1"/>
    <col min="15619" max="15619" width="10.28515625" style="1077" customWidth="1"/>
    <col min="15620" max="15620" width="14.7109375" style="1077" customWidth="1"/>
    <col min="15621" max="15621" width="13.28515625" style="1077" bestFit="1" customWidth="1"/>
    <col min="15622" max="15622" width="4.85546875" style="1077" customWidth="1"/>
    <col min="15623" max="15623" width="11.7109375" style="1077" customWidth="1"/>
    <col min="15624" max="15624" width="12" style="1077" customWidth="1"/>
    <col min="15625" max="15625" width="9.7109375" style="1077" customWidth="1"/>
    <col min="15626" max="15626" width="13.7109375" style="1077" bestFit="1" customWidth="1"/>
    <col min="15627" max="15872" width="8.85546875" style="1077"/>
    <col min="15873" max="15873" width="11.5703125" style="1077" bestFit="1" customWidth="1"/>
    <col min="15874" max="15874" width="12.5703125" style="1077" customWidth="1"/>
    <col min="15875" max="15875" width="10.28515625" style="1077" customWidth="1"/>
    <col min="15876" max="15876" width="14.7109375" style="1077" customWidth="1"/>
    <col min="15877" max="15877" width="13.28515625" style="1077" bestFit="1" customWidth="1"/>
    <col min="15878" max="15878" width="4.85546875" style="1077" customWidth="1"/>
    <col min="15879" max="15879" width="11.7109375" style="1077" customWidth="1"/>
    <col min="15880" max="15880" width="12" style="1077" customWidth="1"/>
    <col min="15881" max="15881" width="9.7109375" style="1077" customWidth="1"/>
    <col min="15882" max="15882" width="13.7109375" style="1077" bestFit="1" customWidth="1"/>
    <col min="15883" max="16128" width="8.85546875" style="1077"/>
    <col min="16129" max="16129" width="11.5703125" style="1077" bestFit="1" customWidth="1"/>
    <col min="16130" max="16130" width="12.5703125" style="1077" customWidth="1"/>
    <col min="16131" max="16131" width="10.28515625" style="1077" customWidth="1"/>
    <col min="16132" max="16132" width="14.7109375" style="1077" customWidth="1"/>
    <col min="16133" max="16133" width="13.28515625" style="1077" bestFit="1" customWidth="1"/>
    <col min="16134" max="16134" width="4.85546875" style="1077" customWidth="1"/>
    <col min="16135" max="16135" width="11.7109375" style="1077" customWidth="1"/>
    <col min="16136" max="16136" width="12" style="1077" customWidth="1"/>
    <col min="16137" max="16137" width="9.7109375" style="1077" customWidth="1"/>
    <col min="16138" max="16138" width="13.7109375" style="1077" bestFit="1" customWidth="1"/>
    <col min="16139" max="16384" width="8.85546875" style="1077"/>
  </cols>
  <sheetData>
    <row r="1" spans="1:11" ht="23.25">
      <c r="A1" s="1921" t="s">
        <v>3512</v>
      </c>
      <c r="B1" s="1921"/>
      <c r="C1" s="1921"/>
      <c r="D1" s="1921"/>
      <c r="E1" s="1921"/>
      <c r="F1" s="1921"/>
      <c r="G1" s="1921"/>
      <c r="H1" s="1921"/>
      <c r="I1" s="1921"/>
      <c r="J1" s="1921"/>
      <c r="K1" s="1921"/>
    </row>
    <row r="2" spans="1:11" ht="15">
      <c r="A2" s="1078" t="str">
        <f>Overview!E8</f>
        <v>2015-026</v>
      </c>
      <c r="B2" s="1078" t="str">
        <f>Overview!C8</f>
        <v>Arbor Trace Apartments Phase II</v>
      </c>
      <c r="C2" s="1079"/>
    </row>
    <row r="3" spans="1:11" ht="12.6" customHeight="1">
      <c r="A3" s="1079"/>
      <c r="B3" s="1079"/>
      <c r="C3" s="1079"/>
    </row>
    <row r="4" spans="1:11" ht="18">
      <c r="A4" s="1080" t="s">
        <v>4343</v>
      </c>
      <c r="B4" s="1079"/>
      <c r="C4" s="1079"/>
    </row>
    <row r="5" spans="1:11" s="1032" customFormat="1" ht="17.25" customHeight="1">
      <c r="C5" s="1924" t="s">
        <v>4326</v>
      </c>
      <c r="D5" s="1925"/>
      <c r="E5" s="1926"/>
      <c r="F5" s="696"/>
      <c r="G5" s="1924" t="s">
        <v>4327</v>
      </c>
      <c r="H5" s="1925"/>
      <c r="I5" s="1926"/>
      <c r="J5" s="1077"/>
      <c r="K5" s="1081" t="s">
        <v>4332</v>
      </c>
    </row>
    <row r="6" spans="1:11" s="1083" customFormat="1" ht="15" customHeight="1">
      <c r="A6" s="1082" t="s">
        <v>2885</v>
      </c>
      <c r="C6" s="1084" t="s">
        <v>4322</v>
      </c>
      <c r="D6" s="1084" t="s">
        <v>3513</v>
      </c>
      <c r="E6" s="1084" t="s">
        <v>2088</v>
      </c>
      <c r="G6" s="1084" t="s">
        <v>4323</v>
      </c>
      <c r="H6" s="1084" t="s">
        <v>3513</v>
      </c>
      <c r="I6" s="1084" t="s">
        <v>2088</v>
      </c>
      <c r="K6" s="1085" t="s">
        <v>3516</v>
      </c>
    </row>
    <row r="7" spans="1:11" s="696" customFormat="1" ht="13.5" customHeight="1">
      <c r="A7" s="696" t="s">
        <v>3514</v>
      </c>
      <c r="C7" s="1086">
        <f>'DCA Underwriting Assumptions'!$J$45</f>
        <v>110481</v>
      </c>
      <c r="D7" s="1087">
        <f>'Part VI-Revenues &amp; Expenses'!$H$62</f>
        <v>0</v>
      </c>
      <c r="E7" s="1088">
        <f>C7*D7</f>
        <v>0</v>
      </c>
      <c r="G7" s="1086">
        <f>'DCA Underwriting Assumptions'!$J$45</f>
        <v>110481</v>
      </c>
      <c r="H7" s="1087">
        <f>'Part VI-Revenues &amp; Expenses'!$H$62</f>
        <v>0</v>
      </c>
      <c r="I7" s="1088">
        <f>G7*H7</f>
        <v>0</v>
      </c>
      <c r="K7" s="1089">
        <f>'Part I-Project Information'!$O$165</f>
        <v>0</v>
      </c>
    </row>
    <row r="8" spans="1:11" s="696" customFormat="1" ht="13.5" customHeight="1">
      <c r="A8" s="696" t="s">
        <v>2883</v>
      </c>
      <c r="C8" s="1086">
        <f>'DCA Underwriting Assumptions'!$K$45</f>
        <v>126647</v>
      </c>
      <c r="D8" s="1087">
        <f>'Part VI-Revenues &amp; Expenses'!$I$62</f>
        <v>4</v>
      </c>
      <c r="E8" s="1088">
        <f>C8*D8</f>
        <v>506588</v>
      </c>
      <c r="G8" s="1086">
        <f>'DCA Underwriting Assumptions'!$K$45</f>
        <v>126647</v>
      </c>
      <c r="H8" s="1087">
        <f>'Part VI-Revenues &amp; Expenses'!$I$62</f>
        <v>4</v>
      </c>
      <c r="I8" s="1088">
        <f>G8*H8</f>
        <v>506588</v>
      </c>
      <c r="K8" s="1085" t="s">
        <v>4324</v>
      </c>
    </row>
    <row r="9" spans="1:11" s="696" customFormat="1" ht="13.5" customHeight="1">
      <c r="A9" s="696" t="s">
        <v>2884</v>
      </c>
      <c r="C9" s="1086">
        <f>'DCA Underwriting Assumptions'!$L$45</f>
        <v>154003</v>
      </c>
      <c r="D9" s="1087">
        <f>'Part VI-Revenues &amp; Expenses'!$J$62</f>
        <v>30</v>
      </c>
      <c r="E9" s="1088">
        <f>C9*D9</f>
        <v>4620090</v>
      </c>
      <c r="G9" s="1086">
        <f>'DCA Underwriting Assumptions'!$L$45</f>
        <v>154003</v>
      </c>
      <c r="H9" s="1087">
        <f>'Part VI-Revenues &amp; Expenses'!$J$62</f>
        <v>30</v>
      </c>
      <c r="I9" s="1088">
        <f>G9*H9</f>
        <v>4620090</v>
      </c>
      <c r="K9" s="1089">
        <f>'Part IV-Uses of Funds'!$G$130</f>
        <v>6245106</v>
      </c>
    </row>
    <row r="10" spans="1:11" s="696" customFormat="1" ht="13.5" customHeight="1">
      <c r="A10" s="696" t="s">
        <v>2887</v>
      </c>
      <c r="C10" s="1086">
        <f>'DCA Underwriting Assumptions'!$M$45</f>
        <v>199229</v>
      </c>
      <c r="D10" s="1087">
        <f>'Part VI-Revenues &amp; Expenses'!$K$62</f>
        <v>8</v>
      </c>
      <c r="E10" s="1088">
        <f>C10*D10</f>
        <v>1593832</v>
      </c>
      <c r="G10" s="1086">
        <f>'DCA Underwriting Assumptions'!$M$45</f>
        <v>199229</v>
      </c>
      <c r="H10" s="1087">
        <f>'Part VI-Revenues &amp; Expenses'!$K$62</f>
        <v>8</v>
      </c>
      <c r="I10" s="1088">
        <f>G10*H10</f>
        <v>1593832</v>
      </c>
      <c r="K10" s="1085" t="s">
        <v>4325</v>
      </c>
    </row>
    <row r="11" spans="1:11" s="696" customFormat="1" ht="13.5" customHeight="1">
      <c r="A11" s="1090" t="s">
        <v>4321</v>
      </c>
      <c r="C11" s="1091">
        <f>'DCA Underwriting Assumptions'!$N$45</f>
        <v>199229</v>
      </c>
      <c r="D11" s="1092">
        <f>'Part VI-Revenues &amp; Expenses'!$L$62</f>
        <v>0</v>
      </c>
      <c r="E11" s="1093">
        <f>C11*D11</f>
        <v>0</v>
      </c>
      <c r="G11" s="1091">
        <f>'DCA Underwriting Assumptions'!$N$45</f>
        <v>199229</v>
      </c>
      <c r="H11" s="1092">
        <f>'Part VI-Revenues &amp; Expenses'!$L$62</f>
        <v>0</v>
      </c>
      <c r="I11" s="1093">
        <f>G11*H11</f>
        <v>0</v>
      </c>
      <c r="K11" s="1927" t="s">
        <v>4333</v>
      </c>
    </row>
    <row r="12" spans="1:11" ht="13.5" customHeight="1" thickBot="1">
      <c r="A12" s="1094" t="s">
        <v>4287</v>
      </c>
      <c r="D12" s="1095">
        <f>SUM(D7:D11)</f>
        <v>42</v>
      </c>
      <c r="E12" s="1096"/>
      <c r="G12" s="1094" t="s">
        <v>1880</v>
      </c>
      <c r="H12" s="1095">
        <f>SUM(H7:H11)</f>
        <v>42</v>
      </c>
      <c r="I12" s="1096"/>
      <c r="K12" s="1928"/>
    </row>
    <row r="13" spans="1:11" s="696" customFormat="1" ht="13.5" customHeight="1" thickBot="1">
      <c r="A13" s="1094" t="s">
        <v>3515</v>
      </c>
      <c r="B13" s="1097"/>
      <c r="E13" s="1098">
        <f>SUM(E7:E11)</f>
        <v>6720510</v>
      </c>
      <c r="G13" s="1094" t="s">
        <v>3769</v>
      </c>
      <c r="H13" s="1097"/>
      <c r="I13" s="1099">
        <f>SUM(I7:I11)</f>
        <v>6720510</v>
      </c>
      <c r="K13" s="1089">
        <f>'Part VIII-Threshold Criteria'!$P$60</f>
        <v>7317720</v>
      </c>
    </row>
    <row r="14" spans="1:11" ht="11.25" customHeight="1">
      <c r="G14" s="1100" t="s">
        <v>4329</v>
      </c>
    </row>
    <row r="15" spans="1:11" s="696" customFormat="1" ht="13.5" customHeight="1"/>
    <row r="16" spans="1:11" ht="16.5" customHeight="1">
      <c r="A16" s="1080" t="s">
        <v>4344</v>
      </c>
    </row>
    <row r="17" spans="1:11" ht="6" customHeight="1"/>
    <row r="18" spans="1:11" s="696" customFormat="1" ht="13.5" customHeight="1">
      <c r="A18" s="696" t="s">
        <v>4331</v>
      </c>
      <c r="E18" s="1101" t="s">
        <v>3767</v>
      </c>
      <c r="K18" s="1102">
        <f>Overview!D13</f>
        <v>42</v>
      </c>
    </row>
    <row r="19" spans="1:11" s="696" customFormat="1" ht="13.5" customHeight="1">
      <c r="A19" s="696" t="s">
        <v>3517</v>
      </c>
      <c r="K19" s="923">
        <f>Overview!C13</f>
        <v>42</v>
      </c>
    </row>
    <row r="20" spans="1:11" ht="3" customHeight="1">
      <c r="A20" s="1103"/>
    </row>
    <row r="21" spans="1:11" s="696" customFormat="1" ht="13.5" customHeight="1">
      <c r="A21" s="696" t="s">
        <v>3518</v>
      </c>
      <c r="E21" s="1101" t="s">
        <v>4330</v>
      </c>
      <c r="K21" s="1104">
        <f>K18/K19</f>
        <v>1</v>
      </c>
    </row>
    <row r="22" spans="1:11" ht="9" customHeight="1"/>
    <row r="23" spans="1:11" s="696" customFormat="1" ht="13.5" customHeight="1">
      <c r="A23" s="696" t="s">
        <v>4286</v>
      </c>
      <c r="C23" s="1105"/>
      <c r="E23" s="1101" t="s">
        <v>3521</v>
      </c>
      <c r="K23" s="923">
        <f>K9</f>
        <v>6245106</v>
      </c>
    </row>
    <row r="24" spans="1:11" s="696" customFormat="1" ht="13.5" customHeight="1">
      <c r="A24" s="1106" t="s">
        <v>1847</v>
      </c>
      <c r="K24" s="1089">
        <f>'Part IV-Uses of Funds'!$G$120</f>
        <v>92455</v>
      </c>
    </row>
    <row r="25" spans="1:11" s="696" customFormat="1" ht="13.5" customHeight="1">
      <c r="A25" s="1106" t="s">
        <v>3522</v>
      </c>
      <c r="K25" s="1107">
        <v>0</v>
      </c>
    </row>
    <row r="26" spans="1:11" s="696" customFormat="1" ht="13.5" customHeight="1">
      <c r="A26" s="1106" t="s">
        <v>3522</v>
      </c>
      <c r="K26" s="1107">
        <v>0</v>
      </c>
    </row>
    <row r="27" spans="1:11" ht="3" customHeight="1">
      <c r="A27" s="1108"/>
      <c r="K27" s="1109">
        <v>0</v>
      </c>
    </row>
    <row r="28" spans="1:11" s="1097" customFormat="1" ht="13.5" customHeight="1">
      <c r="A28" s="1097" t="s">
        <v>3523</v>
      </c>
      <c r="K28" s="1110">
        <f>K23-SUM(K24:K27)</f>
        <v>6152651</v>
      </c>
    </row>
    <row r="29" spans="1:11" ht="9" customHeight="1">
      <c r="A29" s="1103"/>
      <c r="K29" s="1111"/>
    </row>
    <row r="30" spans="1:11" s="696" customFormat="1" ht="15" customHeight="1">
      <c r="A30" s="1097" t="s">
        <v>3524</v>
      </c>
      <c r="E30" s="1101" t="s">
        <v>4338</v>
      </c>
      <c r="F30" s="1112"/>
      <c r="G30" s="1112"/>
      <c r="H30" s="1112"/>
      <c r="I30" s="1112"/>
      <c r="K30" s="1113">
        <f>K21*K28</f>
        <v>6152651</v>
      </c>
    </row>
    <row r="31" spans="1:11" ht="27.75" customHeight="1">
      <c r="K31" s="1111"/>
    </row>
    <row r="32" spans="1:11" s="696" customFormat="1" ht="16.5" customHeight="1">
      <c r="A32" s="1114" t="s">
        <v>4345</v>
      </c>
      <c r="B32" s="1097"/>
      <c r="C32" s="1097"/>
      <c r="D32" s="1097"/>
      <c r="E32" s="1101"/>
    </row>
    <row r="33" spans="1:11" ht="6" customHeight="1" thickBot="1"/>
    <row r="34" spans="1:11" s="696" customFormat="1" ht="24" customHeight="1" thickBot="1">
      <c r="A34" s="1115" t="s">
        <v>4341</v>
      </c>
      <c r="B34" s="1097"/>
      <c r="C34" s="1097"/>
      <c r="D34" s="1097"/>
      <c r="E34" s="1101" t="s">
        <v>4339</v>
      </c>
      <c r="K34" s="1116">
        <f>MIN(E13,K30)</f>
        <v>6152651</v>
      </c>
    </row>
    <row r="35" spans="1:11" ht="6" customHeight="1"/>
    <row r="36" spans="1:11" s="696" customFormat="1" ht="15" customHeight="1">
      <c r="A36" s="1097" t="s">
        <v>4342</v>
      </c>
      <c r="E36" s="1101" t="s">
        <v>4340</v>
      </c>
      <c r="K36" s="1117">
        <f>Overview!C25</f>
        <v>1329420</v>
      </c>
    </row>
    <row r="37" spans="1:11" s="696" customFormat="1" ht="9" customHeight="1" thickBot="1">
      <c r="E37" s="1118"/>
      <c r="F37" s="1118"/>
      <c r="G37" s="1118"/>
      <c r="H37" s="1118"/>
      <c r="K37" s="1119"/>
    </row>
    <row r="38" spans="1:11" s="696" customFormat="1" ht="15.75" customHeight="1">
      <c r="A38" s="1929" t="s">
        <v>4336</v>
      </c>
      <c r="B38" s="1929"/>
      <c r="C38" s="1929"/>
      <c r="D38" s="1932" t="s">
        <v>3519</v>
      </c>
      <c r="E38" s="1932"/>
      <c r="F38" s="1932" t="s">
        <v>3520</v>
      </c>
      <c r="G38" s="1932"/>
      <c r="H38" s="1932"/>
      <c r="I38" s="1120" t="s">
        <v>3156</v>
      </c>
      <c r="K38" s="1922">
        <f>ROUND((D39/F39)*I39,0)</f>
        <v>9</v>
      </c>
    </row>
    <row r="39" spans="1:11" s="696" customFormat="1" ht="15.75" customHeight="1" thickBot="1">
      <c r="A39" s="1929"/>
      <c r="B39" s="1929"/>
      <c r="C39" s="1929"/>
      <c r="D39" s="1931">
        <f>K36</f>
        <v>1329420</v>
      </c>
      <c r="E39" s="1931"/>
      <c r="F39" s="1930">
        <f>K28</f>
        <v>6152651</v>
      </c>
      <c r="G39" s="1930"/>
      <c r="H39" s="1930"/>
      <c r="I39" s="1121">
        <f>K19</f>
        <v>42</v>
      </c>
      <c r="K39" s="1923"/>
    </row>
    <row r="40" spans="1:11" ht="12.75" customHeight="1">
      <c r="D40" s="1122" t="s">
        <v>4337</v>
      </c>
      <c r="H40" s="1122"/>
      <c r="I40" s="1122"/>
      <c r="K40" s="1122"/>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3" t="str">
        <f>CONCATENATE(Overview!E8,"  ",Overview!C8)</f>
        <v>2015-026  Arbor Trace Apartments Phase II</v>
      </c>
      <c r="B1" s="1933"/>
      <c r="C1" s="1933"/>
      <c r="D1" s="1933"/>
      <c r="E1" s="1933"/>
      <c r="F1" s="1933"/>
      <c r="G1" s="1933"/>
      <c r="H1" s="1933"/>
    </row>
    <row r="3" spans="1:13" ht="12" customHeight="1">
      <c r="A3" s="1934" t="s">
        <v>4290</v>
      </c>
      <c r="B3" s="1934"/>
      <c r="C3" s="1934"/>
      <c r="D3" s="1934"/>
      <c r="E3" s="1934"/>
      <c r="F3" s="1934"/>
      <c r="G3" s="1934"/>
      <c r="H3" s="1934"/>
      <c r="I3" s="680"/>
      <c r="J3" s="653" t="s">
        <v>3525</v>
      </c>
      <c r="K3" s="653"/>
      <c r="L3" s="653"/>
      <c r="M3" s="653"/>
    </row>
    <row r="5" spans="1:13" ht="12" customHeight="1">
      <c r="A5" s="651">
        <v>1</v>
      </c>
      <c r="C5" s="651" t="s">
        <v>3526</v>
      </c>
      <c r="E5" s="681" t="str">
        <f>Overview!H9</f>
        <v>Arbor Trace II Lake Park, LP</v>
      </c>
    </row>
    <row r="6" spans="1:13" ht="3" customHeight="1">
      <c r="H6" s="932"/>
    </row>
    <row r="7" spans="1:13" ht="12" customHeight="1">
      <c r="A7" s="651">
        <v>2</v>
      </c>
      <c r="C7" s="651" t="s">
        <v>3527</v>
      </c>
      <c r="E7" s="681" t="str">
        <f>'Part II-Development Team'!H6</f>
        <v>3548 North Crossing Circle</v>
      </c>
    </row>
    <row r="8" spans="1:13" ht="12" customHeight="1">
      <c r="E8" s="681" t="str">
        <f>+'Part II-Development Team'!H7&amp;","&amp;" "&amp;'Part II-Development Team'!H8&amp;" "&amp;LEFT('Part II-Development Team'!J8,5)</f>
        <v>Valdosta, GA 31602</v>
      </c>
    </row>
    <row r="9" spans="1:13" ht="12" customHeight="1">
      <c r="C9" s="651" t="s">
        <v>3528</v>
      </c>
      <c r="E9" s="1935"/>
      <c r="F9" s="1935"/>
    </row>
    <row r="10" spans="1:13" ht="12" customHeight="1">
      <c r="C10" s="651" t="s">
        <v>3529</v>
      </c>
      <c r="E10" s="681" t="str">
        <f>'Part II-Development Team'!Q5</f>
        <v>David A. Brown</v>
      </c>
    </row>
    <row r="11" spans="1:13" ht="12" customHeight="1">
      <c r="C11" s="651" t="s">
        <v>3530</v>
      </c>
      <c r="E11" s="681" t="str">
        <f>'Part II-Development Team'!O9</f>
        <v>dbrown@invmgt.com</v>
      </c>
    </row>
    <row r="12" spans="1:13" ht="12" customHeight="1">
      <c r="C12" s="651" t="s">
        <v>3531</v>
      </c>
      <c r="E12" s="690">
        <f>'Part II-Development Team'!H9</f>
        <v>2292479956</v>
      </c>
    </row>
    <row r="13" spans="1:13" ht="12" customHeight="1">
      <c r="C13" s="651" t="s">
        <v>3532</v>
      </c>
      <c r="E13" s="690">
        <f>'Part II-Development Team'!L9</f>
        <v>2292451173</v>
      </c>
    </row>
    <row r="14" spans="1:13" ht="3" customHeight="1"/>
    <row r="15" spans="1:13" ht="12" customHeight="1">
      <c r="A15" s="651">
        <v>3</v>
      </c>
      <c r="C15" s="651" t="s">
        <v>3533</v>
      </c>
      <c r="E15" s="681" t="str">
        <f>Overview!C8</f>
        <v>Arbor Trace Apartments Phase II</v>
      </c>
    </row>
    <row r="16" spans="1:13" ht="12" customHeight="1">
      <c r="C16" s="651" t="s">
        <v>3534</v>
      </c>
      <c r="E16" s="681" t="str">
        <f>'Part I-Project Information'!$F$25</f>
        <v>4700 Rolling Pine Drive</v>
      </c>
    </row>
    <row r="17" spans="1:8" ht="12" customHeight="1">
      <c r="E17" s="681" t="str">
        <f>+'Part I-Project Information'!$F$28&amp;","&amp;" "&amp;'Part I-Project Information'!$J$29&amp;" "&amp;LEFT('Part I-Project Information'!$J$28,5)</f>
        <v>Lake Park, Lowndes 31636</v>
      </c>
    </row>
    <row r="18" spans="1:8" ht="3" customHeight="1"/>
    <row r="19" spans="1:8" ht="12" customHeight="1">
      <c r="A19" s="651">
        <v>4</v>
      </c>
      <c r="C19" s="651" t="s">
        <v>3535</v>
      </c>
      <c r="E19" s="681" t="str">
        <f>'Part II-Development Team'!H92</f>
        <v>Investors Management Company of Valdosta, Inc.</v>
      </c>
    </row>
    <row r="20" spans="1:8" ht="12" customHeight="1">
      <c r="C20" s="651" t="s">
        <v>3536</v>
      </c>
      <c r="E20" s="681" t="str">
        <f>'Part II-Development Team'!H93</f>
        <v>3548 North Crossing Circle</v>
      </c>
    </row>
    <row r="21" spans="1:8" ht="12" customHeight="1">
      <c r="E21" s="681" t="str">
        <f>+'Part II-Development Team'!H94&amp;","&amp;" "&amp;'Part II-Development Team'!H95&amp;" "&amp;LEFT('Part II-Development Team'!J95,5)</f>
        <v>Valdosta, GA 31602</v>
      </c>
    </row>
    <row r="22" spans="1:8" ht="12" customHeight="1">
      <c r="C22" s="651" t="s">
        <v>3531</v>
      </c>
      <c r="E22" s="690">
        <f>'Part II-Development Team'!H96</f>
        <v>2292479956</v>
      </c>
    </row>
    <row r="23" spans="1:8" ht="12" customHeight="1">
      <c r="C23" s="651" t="s">
        <v>3532</v>
      </c>
      <c r="E23" s="690">
        <f>'Part II-Development Team'!L96</f>
        <v>2292451173</v>
      </c>
    </row>
    <row r="24" spans="1:8" ht="12" customHeight="1">
      <c r="C24" s="651" t="s">
        <v>1887</v>
      </c>
      <c r="E24" s="690" t="str">
        <f>'Part II-Development Team'!O96</f>
        <v>bwatson@invmgt.com</v>
      </c>
    </row>
    <row r="25" spans="1:8" ht="3" customHeight="1">
      <c r="E25" s="681"/>
    </row>
    <row r="26" spans="1:8" ht="12" customHeight="1">
      <c r="A26" s="651">
        <v>5</v>
      </c>
      <c r="C26" s="651" t="s">
        <v>3537</v>
      </c>
      <c r="E26" s="681" t="str">
        <f>Overview!$H$7</f>
        <v>Acquisition/Rehabilitation</v>
      </c>
    </row>
    <row r="27" spans="1:8" ht="12" customHeight="1">
      <c r="E27" s="681" t="s">
        <v>1858</v>
      </c>
    </row>
    <row r="28" spans="1:8" ht="12" customHeight="1">
      <c r="C28" s="651" t="s">
        <v>4288</v>
      </c>
      <c r="E28" s="651" t="str">
        <f>Overview!$C$9</f>
        <v>&lt;&lt;Select&gt;&gt;</v>
      </c>
    </row>
    <row r="29" spans="1:8" ht="3" customHeight="1">
      <c r="H29" s="652"/>
    </row>
    <row r="30" spans="1:8" ht="12" customHeight="1">
      <c r="A30" s="651">
        <v>6</v>
      </c>
      <c r="C30" s="651" t="s">
        <v>3538</v>
      </c>
      <c r="E30" s="651" t="s">
        <v>2528</v>
      </c>
      <c r="F30" s="682">
        <f>'Part III-Sources of Funds'!L18</f>
        <v>0</v>
      </c>
      <c r="G30" s="651" t="s">
        <v>3539</v>
      </c>
    </row>
    <row r="31" spans="1:8" ht="12" customHeight="1">
      <c r="F31" s="682" t="s">
        <v>3540</v>
      </c>
      <c r="G31" s="651" t="s">
        <v>3541</v>
      </c>
    </row>
    <row r="32" spans="1:8" ht="3" customHeight="1">
      <c r="F32" s="658"/>
    </row>
    <row r="33" spans="1:7" ht="12" customHeight="1">
      <c r="A33" s="651">
        <v>7</v>
      </c>
      <c r="C33" s="651" t="s">
        <v>3542</v>
      </c>
      <c r="F33" s="684">
        <v>0</v>
      </c>
    </row>
    <row r="34" spans="1:7" ht="3" customHeight="1">
      <c r="F34" s="658"/>
    </row>
    <row r="35" spans="1:7" ht="12" customHeight="1">
      <c r="A35" s="651">
        <v>8</v>
      </c>
      <c r="C35" s="651" t="s">
        <v>3543</v>
      </c>
      <c r="E35" s="651" t="s">
        <v>2528</v>
      </c>
      <c r="F35" s="683">
        <v>0.01</v>
      </c>
    </row>
    <row r="36" spans="1:7" ht="3" customHeight="1">
      <c r="F36" s="684"/>
    </row>
    <row r="37" spans="1:7" ht="12" customHeight="1">
      <c r="A37" s="651">
        <v>9</v>
      </c>
      <c r="C37" s="651" t="s">
        <v>3544</v>
      </c>
      <c r="F37" s="685">
        <v>24</v>
      </c>
      <c r="G37" s="651" t="s">
        <v>3545</v>
      </c>
    </row>
    <row r="38" spans="1:7" ht="3" customHeight="1">
      <c r="F38" s="684"/>
    </row>
    <row r="39" spans="1:7" ht="12" customHeight="1">
      <c r="A39" s="651">
        <v>10</v>
      </c>
      <c r="C39" s="651" t="s">
        <v>3546</v>
      </c>
      <c r="E39" s="651" t="s">
        <v>2528</v>
      </c>
      <c r="F39" s="658">
        <f>'Part III-Sources of Funds'!L36*12</f>
        <v>360</v>
      </c>
      <c r="G39" s="651" t="s">
        <v>3545</v>
      </c>
    </row>
    <row r="40" spans="1:7" ht="3" customHeight="1">
      <c r="F40" s="658"/>
    </row>
    <row r="41" spans="1:7" ht="12" customHeight="1">
      <c r="A41" s="651">
        <v>11</v>
      </c>
      <c r="C41" s="651" t="s">
        <v>3547</v>
      </c>
      <c r="F41" s="691">
        <v>24</v>
      </c>
      <c r="G41" s="651" t="s">
        <v>3545</v>
      </c>
    </row>
    <row r="42" spans="1:7" ht="3" customHeight="1"/>
    <row r="43" spans="1:7" ht="12" customHeight="1">
      <c r="A43" s="651">
        <v>12</v>
      </c>
      <c r="C43" s="651" t="s">
        <v>3548</v>
      </c>
      <c r="F43" s="693" t="s">
        <v>3549</v>
      </c>
    </row>
    <row r="44" spans="1:7" ht="3" customHeight="1"/>
    <row r="45" spans="1:7" ht="12" customHeight="1">
      <c r="A45" s="651">
        <v>13</v>
      </c>
      <c r="C45" s="651" t="s">
        <v>3550</v>
      </c>
      <c r="E45" s="651" t="s">
        <v>2528</v>
      </c>
      <c r="F45" s="681" t="s">
        <v>3551</v>
      </c>
    </row>
    <row r="46" spans="1:7" ht="3" customHeight="1">
      <c r="F46" s="932"/>
    </row>
    <row r="47" spans="1:7" ht="12" customHeight="1">
      <c r="A47" s="651">
        <v>14</v>
      </c>
      <c r="C47" s="651" t="s">
        <v>3552</v>
      </c>
      <c r="E47" s="681" t="str">
        <f>'Part II-Development Team'!H14</f>
        <v>Arbor Trace II Lake Park Partners, LLC</v>
      </c>
    </row>
    <row r="48" spans="1:7" ht="3" customHeight="1">
      <c r="E48" s="681"/>
    </row>
    <row r="49" spans="1:7" ht="12" customHeight="1">
      <c r="A49" s="651">
        <v>15</v>
      </c>
      <c r="C49" s="651" t="s">
        <v>3553</v>
      </c>
      <c r="E49" s="681" t="str">
        <f>'Part II-Development Team'!Q98</f>
        <v>Thompson Kurrie, Jr</v>
      </c>
    </row>
    <row r="50" spans="1:7" ht="12" customHeight="1">
      <c r="C50" s="651" t="s">
        <v>3554</v>
      </c>
      <c r="E50" s="681" t="str">
        <f>'Part II-Development Team'!O102</f>
        <v>tom.kurrie@colemantalley.com</v>
      </c>
      <c r="F50" s="658"/>
    </row>
    <row r="51" spans="1:7" ht="3" customHeight="1">
      <c r="F51" s="658"/>
    </row>
    <row r="52" spans="1:7" ht="12" customHeight="1">
      <c r="A52" s="651">
        <v>16</v>
      </c>
      <c r="C52" s="651" t="s">
        <v>3555</v>
      </c>
      <c r="F52" s="658">
        <f>'Part VI-Revenues &amp; Expenses'!$M$62</f>
        <v>42</v>
      </c>
    </row>
    <row r="53" spans="1:7" ht="3" customHeight="1">
      <c r="F53" s="658"/>
    </row>
    <row r="54" spans="1:7" ht="12" customHeight="1">
      <c r="A54" s="686">
        <v>17</v>
      </c>
      <c r="B54" s="686"/>
      <c r="C54" s="686" t="s">
        <v>3556</v>
      </c>
      <c r="D54" s="686"/>
      <c r="E54" s="686"/>
      <c r="F54" s="917">
        <f>'Subsidy Layering WS'!D12</f>
        <v>42</v>
      </c>
      <c r="G54" s="686"/>
    </row>
    <row r="55" spans="1:7" ht="3" customHeight="1">
      <c r="F55" s="658"/>
    </row>
    <row r="56" spans="1:7" ht="12" customHeight="1">
      <c r="A56" s="651">
        <v>18</v>
      </c>
      <c r="C56" s="651" t="s">
        <v>3557</v>
      </c>
      <c r="E56" s="651" t="s">
        <v>2636</v>
      </c>
      <c r="F56" s="658">
        <f>'Part VI-Revenues &amp; Expenses'!$M$61</f>
        <v>0</v>
      </c>
    </row>
    <row r="57" spans="1:7" ht="3" customHeight="1">
      <c r="F57" s="658"/>
    </row>
    <row r="58" spans="1:7" ht="12" customHeight="1">
      <c r="A58" s="651">
        <v>19</v>
      </c>
      <c r="C58" s="651" t="s">
        <v>3558</v>
      </c>
      <c r="F58" s="692"/>
      <c r="G58" s="651" t="s">
        <v>4291</v>
      </c>
    </row>
    <row r="59" spans="1:7" ht="3" customHeight="1">
      <c r="F59" s="658"/>
    </row>
    <row r="60" spans="1:7" ht="12" customHeight="1">
      <c r="A60" s="651">
        <v>20</v>
      </c>
      <c r="C60" s="651" t="s">
        <v>3559</v>
      </c>
      <c r="F60" s="687">
        <f>'Part VII-Pro Forma'!$K$65</f>
        <v>785886.95311177569</v>
      </c>
      <c r="G60" s="686">
        <v>300</v>
      </c>
    </row>
    <row r="61" spans="1:7" ht="3" customHeight="1"/>
    <row r="62" spans="1:7" ht="12" customHeight="1">
      <c r="A62" s="651">
        <v>21</v>
      </c>
      <c r="C62" s="651" t="s">
        <v>4309</v>
      </c>
      <c r="E62" s="653" t="s">
        <v>4292</v>
      </c>
      <c r="F62" s="918" t="s">
        <v>4293</v>
      </c>
      <c r="G62" s="653" t="s">
        <v>3560</v>
      </c>
    </row>
    <row r="63" spans="1:7" ht="12" customHeight="1">
      <c r="E63" s="653" t="s">
        <v>4292</v>
      </c>
      <c r="F63" s="918" t="s">
        <v>4293</v>
      </c>
      <c r="G63" s="653"/>
    </row>
    <row r="64" spans="1:7" ht="3" customHeight="1"/>
    <row r="65" spans="1:6" ht="12" customHeight="1">
      <c r="A65" s="651">
        <v>22</v>
      </c>
      <c r="C65" s="651" t="s">
        <v>3561</v>
      </c>
      <c r="E65" s="681" t="str">
        <f>Overview!H9</f>
        <v>Arbor Trace II Lake Park, LP</v>
      </c>
    </row>
    <row r="66" spans="1:6" ht="3" customHeight="1"/>
    <row r="67" spans="1:6" ht="12" customHeight="1">
      <c r="A67" s="651">
        <v>23</v>
      </c>
      <c r="C67" s="651" t="s">
        <v>3562</v>
      </c>
      <c r="F67" s="658" t="s">
        <v>3563</v>
      </c>
    </row>
    <row r="68" spans="1:6" ht="3" customHeight="1"/>
    <row r="69" spans="1:6" ht="12" customHeight="1">
      <c r="A69" s="651">
        <v>24</v>
      </c>
      <c r="C69" s="651" t="s">
        <v>3564</v>
      </c>
      <c r="E69" s="651" t="s">
        <v>2528</v>
      </c>
      <c r="F69" s="658">
        <v>20</v>
      </c>
    </row>
    <row r="70" spans="1:6" ht="3" customHeight="1"/>
    <row r="71" spans="1:6" ht="12" customHeight="1">
      <c r="A71" s="651">
        <v>25</v>
      </c>
      <c r="C71" s="651" t="s">
        <v>3565</v>
      </c>
      <c r="F71" s="688">
        <f>'Part IV-Uses of Funds'!$G$120</f>
        <v>92455</v>
      </c>
    </row>
    <row r="72" spans="1:6" ht="3" customHeight="1">
      <c r="F72" s="688"/>
    </row>
    <row r="73" spans="1:6" ht="12" customHeight="1">
      <c r="A73" s="651">
        <v>26</v>
      </c>
      <c r="C73" s="651" t="s">
        <v>3566</v>
      </c>
      <c r="F73" s="688">
        <f>'Part IV-Uses of Funds'!$G$121</f>
        <v>79000</v>
      </c>
    </row>
    <row r="74" spans="1:6" ht="3" customHeight="1">
      <c r="F74" s="688"/>
    </row>
    <row r="75" spans="1:6" ht="12" customHeight="1">
      <c r="A75" s="651">
        <v>27</v>
      </c>
      <c r="C75" s="651" t="s">
        <v>3567</v>
      </c>
      <c r="F75" s="689">
        <f>'Part IV-Uses of Funds'!$G$119</f>
        <v>36764</v>
      </c>
    </row>
    <row r="76" spans="1:6" ht="3" customHeight="1">
      <c r="F76" s="688"/>
    </row>
    <row r="77" spans="1:6" ht="12" customHeight="1">
      <c r="A77" s="651">
        <v>28</v>
      </c>
      <c r="C77" s="651" t="s">
        <v>3568</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7" customWidth="1"/>
    <col min="2" max="2" width="11" style="1077" customWidth="1"/>
    <col min="3" max="3" width="31.140625" style="1077" customWidth="1"/>
    <col min="4" max="4" width="14" style="1077" customWidth="1"/>
    <col min="5" max="5" width="13" style="1077" customWidth="1"/>
    <col min="6" max="6" width="10.85546875" style="1077" customWidth="1"/>
    <col min="7" max="8" width="9.7109375" style="1077" customWidth="1"/>
    <col min="9" max="10" width="2.28515625" style="1077" customWidth="1"/>
    <col min="11" max="16384" width="9.140625" style="1077"/>
  </cols>
  <sheetData>
    <row r="1" spans="1:10" ht="15">
      <c r="A1" s="1936" t="s">
        <v>3772</v>
      </c>
      <c r="B1" s="1936"/>
      <c r="C1" s="1936"/>
      <c r="D1" s="1936"/>
      <c r="E1" s="1936"/>
      <c r="F1" s="1936"/>
      <c r="G1" s="1936"/>
      <c r="H1" s="1936"/>
      <c r="I1" s="1936"/>
      <c r="J1" s="1936"/>
    </row>
    <row r="2" spans="1:10" ht="15">
      <c r="A2" s="1936" t="str">
        <f>Overview!E8&amp;"  "&amp;Overview!C8</f>
        <v>2015-026  Arbor Trace Apartments Phase II</v>
      </c>
      <c r="B2" s="1936"/>
      <c r="C2" s="1936"/>
      <c r="D2" s="1936"/>
      <c r="E2" s="1936"/>
      <c r="F2" s="1936"/>
      <c r="G2" s="1936"/>
      <c r="H2" s="1936"/>
      <c r="I2" s="1936"/>
      <c r="J2" s="1936"/>
    </row>
    <row r="3" spans="1:10" ht="6" customHeight="1"/>
    <row r="4" spans="1:10" ht="12" customHeight="1">
      <c r="A4" s="1123" t="s">
        <v>3569</v>
      </c>
    </row>
    <row r="5" spans="1:10" ht="12" customHeight="1">
      <c r="A5" s="1077" t="s">
        <v>3570</v>
      </c>
      <c r="C5" s="1124" t="str">
        <f>'Subsidy Layering Memo'!D6</f>
        <v>(Underwriter)</v>
      </c>
      <c r="F5" s="1939" t="s">
        <v>3525</v>
      </c>
      <c r="G5" s="1939"/>
      <c r="H5" s="1939"/>
      <c r="I5" s="1124"/>
    </row>
    <row r="6" spans="1:10" ht="6" customHeight="1">
      <c r="C6" s="1010"/>
      <c r="D6" s="1124"/>
      <c r="I6" s="1124"/>
    </row>
    <row r="7" spans="1:10" ht="12" customHeight="1">
      <c r="A7" s="1123" t="s">
        <v>3571</v>
      </c>
      <c r="C7" s="1010"/>
      <c r="D7" s="1124"/>
      <c r="I7" s="1124"/>
    </row>
    <row r="8" spans="1:10" ht="12" customHeight="1">
      <c r="A8" s="1077" t="s">
        <v>3572</v>
      </c>
      <c r="C8" s="1124" t="str">
        <f>Overview!$H$9</f>
        <v>Arbor Trace II Lake Park, LP</v>
      </c>
      <c r="I8" s="1124"/>
    </row>
    <row r="9" spans="1:10" ht="3" customHeight="1">
      <c r="C9" s="1010"/>
      <c r="D9" s="1124"/>
      <c r="I9" s="1124"/>
    </row>
    <row r="10" spans="1:10" ht="12" customHeight="1">
      <c r="A10" s="1077" t="s">
        <v>3573</v>
      </c>
      <c r="C10" s="1010" t="s">
        <v>1858</v>
      </c>
      <c r="I10" s="1124"/>
    </row>
    <row r="11" spans="1:10" ht="12" customHeight="1">
      <c r="C11" s="1010" t="s">
        <v>1858</v>
      </c>
      <c r="I11" s="1124"/>
    </row>
    <row r="12" spans="1:10" ht="12" customHeight="1">
      <c r="C12" s="1124" t="s">
        <v>2819</v>
      </c>
      <c r="D12" s="1125" t="s">
        <v>1858</v>
      </c>
      <c r="I12" s="1124"/>
    </row>
    <row r="13" spans="1:10" ht="12" customHeight="1">
      <c r="C13" s="1124" t="s">
        <v>3574</v>
      </c>
      <c r="D13" s="1126"/>
      <c r="I13" s="1124"/>
    </row>
    <row r="14" spans="1:10" ht="3" customHeight="1">
      <c r="G14" s="1010"/>
      <c r="H14" s="1124"/>
      <c r="I14" s="1124"/>
    </row>
    <row r="15" spans="1:10" ht="12" customHeight="1">
      <c r="A15" s="1077" t="s">
        <v>3575</v>
      </c>
      <c r="C15" s="1127" t="str">
        <f>'Part II-Development Team'!$Q$5</f>
        <v>David A. Brown</v>
      </c>
      <c r="G15" s="1010"/>
      <c r="I15" s="1124"/>
    </row>
    <row r="16" spans="1:10" ht="12" customHeight="1">
      <c r="A16" s="1128" t="s">
        <v>2077</v>
      </c>
      <c r="C16" s="1127" t="str">
        <f>'Part II-Development Team'!$Q$6</f>
        <v>Managing Member</v>
      </c>
      <c r="G16" s="1010"/>
      <c r="I16" s="1124"/>
    </row>
    <row r="17" spans="1:9" ht="3" customHeight="1">
      <c r="G17" s="1010"/>
      <c r="H17" s="1124"/>
      <c r="I17" s="1124"/>
    </row>
    <row r="18" spans="1:9" ht="12" customHeight="1">
      <c r="A18" s="1077" t="s">
        <v>3576</v>
      </c>
      <c r="C18" s="1127" t="str">
        <f>'Preview term'!$E$7</f>
        <v>3548 North Crossing Circle</v>
      </c>
      <c r="G18" s="1010"/>
      <c r="I18" s="1124"/>
    </row>
    <row r="19" spans="1:9" ht="12" customHeight="1">
      <c r="C19" s="1127" t="str">
        <f>'Preview term'!$E$8</f>
        <v>Valdosta, GA 31602</v>
      </c>
      <c r="G19" s="1010"/>
      <c r="I19" s="1124"/>
    </row>
    <row r="20" spans="1:9" ht="3" customHeight="1">
      <c r="G20" s="1010"/>
      <c r="H20" s="1124"/>
      <c r="I20" s="1124"/>
    </row>
    <row r="21" spans="1:9" ht="12" customHeight="1">
      <c r="A21" s="1077" t="s">
        <v>3577</v>
      </c>
      <c r="C21" s="1127" t="str">
        <f>'Preview term'!$E$49</f>
        <v>Thompson Kurrie, Jr</v>
      </c>
      <c r="G21" s="1010"/>
      <c r="I21" s="1124"/>
    </row>
    <row r="22" spans="1:9" ht="3" customHeight="1">
      <c r="C22" s="1127"/>
      <c r="G22" s="1010"/>
      <c r="I22" s="1124"/>
    </row>
    <row r="23" spans="1:9" ht="12" customHeight="1">
      <c r="A23" s="1077" t="s">
        <v>3578</v>
      </c>
      <c r="C23" s="1127">
        <f>'Part II-Development Team'!$H$102</f>
        <v>2292427562</v>
      </c>
      <c r="G23" s="1010"/>
      <c r="I23" s="1124"/>
    </row>
    <row r="24" spans="1:9" ht="3" customHeight="1">
      <c r="C24" s="1127"/>
      <c r="G24" s="1010"/>
      <c r="I24" s="1124"/>
    </row>
    <row r="25" spans="1:9" ht="12" customHeight="1">
      <c r="A25" s="1077" t="s">
        <v>3579</v>
      </c>
      <c r="C25" s="919" t="str">
        <f>'Preview term'!$E$50</f>
        <v>tom.kurrie@colemantalley.com</v>
      </c>
      <c r="G25" s="1010"/>
    </row>
    <row r="26" spans="1:9" ht="6" customHeight="1">
      <c r="G26" s="1010"/>
      <c r="H26" s="1124"/>
      <c r="I26" s="1124"/>
    </row>
    <row r="27" spans="1:9" ht="12" customHeight="1">
      <c r="A27" s="1123" t="s">
        <v>3580</v>
      </c>
      <c r="G27" s="1010"/>
      <c r="H27" s="1124"/>
      <c r="I27" s="1124"/>
    </row>
    <row r="28" spans="1:9" ht="12" customHeight="1">
      <c r="A28" s="1077" t="s">
        <v>3581</v>
      </c>
      <c r="C28" s="1127" t="str">
        <f>Overview!$C$8</f>
        <v>Arbor Trace Apartments Phase II</v>
      </c>
      <c r="I28" s="1124"/>
    </row>
    <row r="29" spans="1:9" ht="3" customHeight="1">
      <c r="C29" s="1127"/>
      <c r="I29" s="1124"/>
    </row>
    <row r="30" spans="1:9" ht="12" customHeight="1">
      <c r="A30" s="1077" t="s">
        <v>3582</v>
      </c>
      <c r="C30" s="1127" t="str">
        <f>'Preview term'!E16</f>
        <v>4700 Rolling Pine Drive</v>
      </c>
      <c r="I30" s="1124"/>
    </row>
    <row r="31" spans="1:9">
      <c r="C31" s="1124" t="str">
        <f>'Preview term'!E17</f>
        <v>Lake Park, Lowndes 31636</v>
      </c>
      <c r="I31" s="1124"/>
    </row>
    <row r="32" spans="1:9" ht="3" customHeight="1">
      <c r="C32" s="1010"/>
      <c r="D32" s="1010"/>
      <c r="I32" s="1010"/>
    </row>
    <row r="33" spans="1:10" ht="12" customHeight="1">
      <c r="A33" s="1077" t="s">
        <v>3583</v>
      </c>
      <c r="C33" s="1010" t="s">
        <v>3584</v>
      </c>
      <c r="D33" s="1129">
        <f>'Preview term'!F54</f>
        <v>42</v>
      </c>
      <c r="I33" s="1010"/>
    </row>
    <row r="34" spans="1:10" ht="12" customHeight="1">
      <c r="C34" s="1010" t="s">
        <v>3585</v>
      </c>
      <c r="D34" s="1130">
        <f>'Part VI-Revenues &amp; Expenses'!$M$59+'Part VI-Revenues &amp; Expenses'!$M$61</f>
        <v>0</v>
      </c>
      <c r="I34" s="1010"/>
    </row>
    <row r="35" spans="1:10" ht="12" customHeight="1">
      <c r="C35" s="1010" t="s">
        <v>3586</v>
      </c>
      <c r="D35" s="1131">
        <f>SUM(D33:D34)</f>
        <v>42</v>
      </c>
      <c r="I35" s="1010"/>
    </row>
    <row r="36" spans="1:10" ht="3" customHeight="1">
      <c r="C36" s="1010"/>
      <c r="D36" s="1010"/>
      <c r="I36" s="1010"/>
    </row>
    <row r="37" spans="1:10" ht="12" customHeight="1">
      <c r="A37" s="1077" t="s">
        <v>3587</v>
      </c>
      <c r="C37" s="1010" t="s">
        <v>3421</v>
      </c>
      <c r="D37" s="1132"/>
      <c r="I37" s="1010"/>
    </row>
    <row r="38" spans="1:10" ht="12" customHeight="1">
      <c r="C38" s="1010" t="s">
        <v>3424</v>
      </c>
      <c r="D38" s="1133"/>
      <c r="I38" s="1010"/>
    </row>
    <row r="39" spans="1:10" ht="12" customHeight="1">
      <c r="C39" s="1010" t="s">
        <v>3588</v>
      </c>
      <c r="D39" s="1134">
        <f>'Part VI-Revenues &amp; Expenses'!$M$61</f>
        <v>0</v>
      </c>
      <c r="I39" s="1010"/>
    </row>
    <row r="40" spans="1:10" ht="3" customHeight="1">
      <c r="G40" s="1135"/>
      <c r="H40" s="1010"/>
      <c r="I40" s="1010"/>
    </row>
    <row r="41" spans="1:10" ht="25.5" customHeight="1">
      <c r="A41" s="1136" t="s">
        <v>3589</v>
      </c>
      <c r="C41" s="1942"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Equipped Playground, Covered Pavilion with Picnic/barbecue Facilities, , </v>
      </c>
      <c r="D41" s="1942"/>
      <c r="E41" s="1942"/>
      <c r="F41" s="1942"/>
      <c r="G41" s="1942"/>
      <c r="H41" s="1942"/>
      <c r="I41" s="1942"/>
      <c r="J41" s="1942"/>
    </row>
    <row r="42" spans="1:10" ht="3" customHeight="1">
      <c r="G42" s="1010"/>
      <c r="H42" s="1010"/>
      <c r="I42" s="1010"/>
    </row>
    <row r="43" spans="1:10" ht="25.5" customHeight="1">
      <c r="A43" s="1136" t="s">
        <v>3590</v>
      </c>
      <c r="C43" s="1943" t="s">
        <v>4294</v>
      </c>
      <c r="D43" s="1943"/>
      <c r="E43" s="1943"/>
      <c r="F43" s="1943"/>
      <c r="G43" s="1943"/>
      <c r="H43" s="1943"/>
      <c r="I43" s="1943"/>
      <c r="J43" s="1943"/>
    </row>
    <row r="44" spans="1:10" ht="3" customHeight="1">
      <c r="C44" s="694"/>
      <c r="D44" s="694"/>
      <c r="E44" s="694"/>
      <c r="F44" s="694"/>
      <c r="G44" s="694"/>
      <c r="H44" s="695"/>
      <c r="I44" s="696"/>
      <c r="J44" s="695"/>
    </row>
    <row r="45" spans="1:10" ht="12" customHeight="1">
      <c r="A45" s="1077" t="s">
        <v>3591</v>
      </c>
      <c r="C45" s="920" t="str">
        <f>'Part I-Project Information'!$J$29</f>
        <v>Lowndes</v>
      </c>
      <c r="D45" s="694"/>
      <c r="F45" s="695"/>
      <c r="I45" s="696"/>
      <c r="J45" s="695"/>
    </row>
    <row r="46" spans="1:10" ht="3" customHeight="1">
      <c r="C46" s="694"/>
      <c r="D46" s="694"/>
      <c r="E46" s="694"/>
      <c r="F46" s="695"/>
      <c r="I46" s="696"/>
      <c r="J46" s="695"/>
    </row>
    <row r="47" spans="1:10" ht="12" customHeight="1">
      <c r="A47" s="1077" t="s">
        <v>3592</v>
      </c>
      <c r="C47" s="1010" t="str">
        <f>IF(Overview!C14="Family", "No",IF(Overview!C14="Elderly", "Yes - Age 62 election (Elderly)",IF(Overview!C14="HFOP", "Yes - Age 55 election (HFOP)",IF(Overview!C14="Other", "Other:  "&amp;'Part I-Project Information'!$N$67,'Part I-Project Information'!$H$67))))</f>
        <v>No</v>
      </c>
      <c r="I47" s="696"/>
      <c r="J47" s="695"/>
    </row>
    <row r="48" spans="1:10" ht="3" customHeight="1">
      <c r="C48" s="1010"/>
      <c r="D48" s="1137"/>
      <c r="I48" s="1010"/>
    </row>
    <row r="49" spans="1:10" ht="12" customHeight="1">
      <c r="A49" s="1077" t="s">
        <v>3593</v>
      </c>
      <c r="C49" s="1010" t="s">
        <v>3594</v>
      </c>
      <c r="D49" s="1138">
        <v>2</v>
      </c>
      <c r="I49" s="1139"/>
      <c r="J49" s="1139"/>
    </row>
    <row r="50" spans="1:10" ht="3" customHeight="1">
      <c r="D50" s="1139"/>
      <c r="E50" s="1139"/>
      <c r="F50" s="1139"/>
      <c r="G50" s="1140"/>
      <c r="H50" s="1010"/>
      <c r="I50" s="1139"/>
      <c r="J50" s="1139"/>
    </row>
    <row r="51" spans="1:10" ht="12" customHeight="1">
      <c r="B51" s="1077" t="s">
        <v>3595</v>
      </c>
      <c r="C51" s="1943" t="s">
        <v>601</v>
      </c>
      <c r="D51" s="1943"/>
      <c r="E51" s="1943"/>
      <c r="F51" s="1943"/>
      <c r="G51" s="1943"/>
      <c r="H51" s="1943"/>
      <c r="I51" s="1943"/>
      <c r="J51" s="1943"/>
    </row>
    <row r="52" spans="1:10" ht="12" customHeight="1">
      <c r="C52" s="1944" t="s">
        <v>1898</v>
      </c>
      <c r="D52" s="1944"/>
      <c r="E52" s="1944"/>
      <c r="F52" s="1944"/>
      <c r="G52" s="1944"/>
      <c r="H52" s="1944"/>
      <c r="I52" s="1944"/>
      <c r="J52" s="1944"/>
    </row>
    <row r="53" spans="1:10" ht="3" customHeight="1">
      <c r="D53" s="1139"/>
      <c r="E53" s="1139"/>
      <c r="F53" s="1139"/>
      <c r="G53" s="1140"/>
      <c r="H53" s="1010"/>
      <c r="I53" s="1139"/>
      <c r="J53" s="1139"/>
    </row>
    <row r="54" spans="1:10" ht="25.5" customHeight="1">
      <c r="A54" s="1136" t="s">
        <v>3596</v>
      </c>
      <c r="B54" s="1136"/>
      <c r="C54" s="1141" t="s">
        <v>3597</v>
      </c>
      <c r="D54" s="1141" t="s">
        <v>4295</v>
      </c>
      <c r="E54" s="1945"/>
      <c r="F54" s="1945"/>
      <c r="G54" s="1945"/>
      <c r="H54" s="1945"/>
      <c r="I54" s="1945"/>
      <c r="J54" s="1945"/>
    </row>
    <row r="55" spans="1:10" ht="12" customHeight="1">
      <c r="A55" s="1136"/>
      <c r="B55" s="1136"/>
      <c r="C55" s="1136"/>
      <c r="D55" s="1141" t="s">
        <v>4296</v>
      </c>
      <c r="E55" s="1946"/>
      <c r="F55" s="1946"/>
      <c r="G55" s="1946"/>
      <c r="H55" s="1946"/>
      <c r="I55" s="1946"/>
      <c r="J55" s="1946"/>
    </row>
    <row r="56" spans="1:10" ht="12" customHeight="1">
      <c r="A56" s="1123" t="s">
        <v>3598</v>
      </c>
      <c r="G56" s="1010"/>
      <c r="H56" s="1010"/>
      <c r="I56" s="1010"/>
    </row>
    <row r="57" spans="1:10" ht="18" customHeight="1">
      <c r="A57" s="1077" t="s">
        <v>3599</v>
      </c>
      <c r="C57" s="1125" t="str">
        <f>Overview!C10</f>
        <v>Arbor Trace II Lake Park Partners, LLC</v>
      </c>
      <c r="G57" s="1010"/>
      <c r="I57" s="1010"/>
    </row>
    <row r="58" spans="1:10" ht="3" customHeight="1">
      <c r="C58" s="1125"/>
      <c r="G58" s="1010"/>
      <c r="I58" s="1010"/>
    </row>
    <row r="59" spans="1:10" ht="12" customHeight="1">
      <c r="A59" s="1077" t="s">
        <v>3600</v>
      </c>
      <c r="C59" s="1125" t="str">
        <f>Overview!C11</f>
        <v/>
      </c>
      <c r="G59" s="1010"/>
      <c r="I59" s="1010"/>
    </row>
    <row r="60" spans="1:10" ht="3" customHeight="1">
      <c r="C60" s="1125"/>
      <c r="G60" s="1010"/>
      <c r="I60" s="1010"/>
    </row>
    <row r="61" spans="1:10" ht="12" customHeight="1">
      <c r="A61" s="1077" t="s">
        <v>3601</v>
      </c>
      <c r="C61" s="1125" t="s">
        <v>3138</v>
      </c>
      <c r="G61" s="1010"/>
      <c r="I61" s="1010"/>
    </row>
    <row r="62" spans="1:10" ht="6" customHeight="1">
      <c r="G62" s="1010"/>
      <c r="H62" s="1010"/>
      <c r="I62" s="1010"/>
    </row>
    <row r="63" spans="1:10" ht="12" customHeight="1">
      <c r="A63" s="1123" t="s">
        <v>3602</v>
      </c>
      <c r="G63" s="1010"/>
      <c r="H63" s="1010"/>
      <c r="I63" s="1010"/>
    </row>
    <row r="64" spans="1:10" ht="12" customHeight="1">
      <c r="A64" s="1077" t="s">
        <v>3603</v>
      </c>
      <c r="C64" s="1077" t="s">
        <v>3604</v>
      </c>
      <c r="D64" s="1142">
        <f>'Preview term'!F30</f>
        <v>0</v>
      </c>
      <c r="G64" s="1010"/>
      <c r="I64" s="1010"/>
    </row>
    <row r="65" spans="1:10" ht="3" customHeight="1">
      <c r="D65" s="1143"/>
      <c r="G65" s="1010"/>
      <c r="H65" s="1144"/>
      <c r="I65" s="1010"/>
    </row>
    <row r="66" spans="1:10" ht="12" customHeight="1">
      <c r="A66" s="1077" t="s">
        <v>3605</v>
      </c>
      <c r="C66" s="1077" t="s">
        <v>3607</v>
      </c>
      <c r="D66" s="1125" t="s">
        <v>3606</v>
      </c>
      <c r="G66" s="1010"/>
      <c r="I66" s="1010"/>
    </row>
    <row r="67" spans="1:10" ht="3" customHeight="1">
      <c r="D67" s="1143"/>
      <c r="G67" s="1010"/>
      <c r="H67" s="1010"/>
      <c r="I67" s="1010"/>
    </row>
    <row r="68" spans="1:10" ht="12" customHeight="1">
      <c r="A68" s="1077" t="s">
        <v>3608</v>
      </c>
      <c r="C68" s="1010" t="s">
        <v>1858</v>
      </c>
      <c r="D68" s="1143"/>
      <c r="I68" s="1010"/>
    </row>
    <row r="69" spans="1:10" ht="12" customHeight="1">
      <c r="C69" s="1077" t="s">
        <v>3609</v>
      </c>
      <c r="D69" s="1126"/>
      <c r="I69" s="1010"/>
    </row>
    <row r="70" spans="1:10" ht="12" customHeight="1">
      <c r="C70" s="1077" t="s">
        <v>3574</v>
      </c>
      <c r="D70" s="1126"/>
      <c r="I70" s="1010"/>
    </row>
    <row r="71" spans="1:10" ht="3" customHeight="1">
      <c r="D71" s="1143"/>
      <c r="E71" s="1010"/>
      <c r="F71" s="1010"/>
      <c r="I71" s="1010"/>
    </row>
    <row r="72" spans="1:10" ht="12" customHeight="1">
      <c r="A72" s="1077" t="s">
        <v>3610</v>
      </c>
      <c r="C72" s="1077" t="s">
        <v>2528</v>
      </c>
      <c r="D72" s="1125" t="s">
        <v>1858</v>
      </c>
      <c r="I72" s="1010"/>
    </row>
    <row r="73" spans="1:10" ht="3" customHeight="1">
      <c r="D73" s="1010"/>
      <c r="E73" s="1010"/>
      <c r="I73" s="1010"/>
    </row>
    <row r="74" spans="1:10" ht="12" customHeight="1">
      <c r="A74" s="1077" t="s">
        <v>3611</v>
      </c>
      <c r="C74" s="1010" t="s">
        <v>1858</v>
      </c>
      <c r="I74" s="1010"/>
    </row>
    <row r="75" spans="1:10" ht="3" customHeight="1">
      <c r="C75" s="1143"/>
      <c r="G75" s="1145"/>
      <c r="H75" s="1010"/>
      <c r="I75" s="1010"/>
    </row>
    <row r="76" spans="1:10" ht="12" customHeight="1">
      <c r="A76" s="1077" t="s">
        <v>3612</v>
      </c>
      <c r="C76" s="1143" t="s">
        <v>3613</v>
      </c>
      <c r="D76" s="1146">
        <v>0</v>
      </c>
      <c r="J76" s="1010"/>
    </row>
    <row r="77" spans="1:10" ht="12" customHeight="1">
      <c r="C77" s="1147" t="s">
        <v>3784</v>
      </c>
      <c r="D77" s="1148">
        <v>0.01</v>
      </c>
      <c r="J77" s="1010"/>
    </row>
    <row r="78" spans="1:10" ht="3" customHeight="1">
      <c r="C78" s="1143"/>
      <c r="D78" s="1143"/>
      <c r="G78" s="1010"/>
      <c r="H78" s="1010"/>
      <c r="I78" s="1010"/>
    </row>
    <row r="79" spans="1:10" ht="12" customHeight="1">
      <c r="A79" s="1077" t="s">
        <v>3614</v>
      </c>
      <c r="C79" s="1143" t="s">
        <v>4353</v>
      </c>
      <c r="D79" s="1149">
        <v>24</v>
      </c>
      <c r="I79" s="1010"/>
    </row>
    <row r="80" spans="1:10" ht="3" customHeight="1">
      <c r="D80" s="1143"/>
      <c r="E80" s="1010"/>
      <c r="F80" s="1010"/>
      <c r="I80" s="1010"/>
    </row>
    <row r="81" spans="1:9" ht="12" customHeight="1">
      <c r="A81" s="1077" t="s">
        <v>3615</v>
      </c>
      <c r="C81" s="1077" t="s">
        <v>2528</v>
      </c>
      <c r="D81" s="1150">
        <f>'Preview term'!F39</f>
        <v>360</v>
      </c>
      <c r="E81" s="1010" t="s">
        <v>4301</v>
      </c>
      <c r="I81" s="1010"/>
    </row>
    <row r="82" spans="1:9" ht="3" customHeight="1">
      <c r="D82" s="1143"/>
      <c r="G82" s="1010"/>
      <c r="H82" s="1010"/>
      <c r="I82" s="1010"/>
    </row>
    <row r="83" spans="1:9" ht="12" customHeight="1">
      <c r="A83" s="1077" t="s">
        <v>3616</v>
      </c>
      <c r="D83" s="1151">
        <v>0</v>
      </c>
      <c r="E83" s="1152">
        <f>D83*12</f>
        <v>0</v>
      </c>
      <c r="F83" s="1010" t="s">
        <v>4354</v>
      </c>
    </row>
    <row r="84" spans="1:9" ht="3" customHeight="1">
      <c r="D84" s="1125"/>
      <c r="E84" s="1010"/>
      <c r="G84" s="1010"/>
    </row>
    <row r="85" spans="1:9" ht="12" customHeight="1">
      <c r="A85" s="1077" t="s">
        <v>3617</v>
      </c>
      <c r="D85" s="1153" t="s">
        <v>3606</v>
      </c>
      <c r="E85" s="1010" t="s">
        <v>3618</v>
      </c>
      <c r="G85" s="1010"/>
    </row>
    <row r="86" spans="1:9" ht="3" customHeight="1">
      <c r="G86" s="1010"/>
      <c r="H86" s="1010"/>
      <c r="I86" s="1010"/>
    </row>
    <row r="87" spans="1:9" ht="12" customHeight="1">
      <c r="A87" s="1077" t="s">
        <v>3619</v>
      </c>
      <c r="C87" s="1142">
        <f>'Part VII-Pro Forma'!$K$65</f>
        <v>785886.95311177569</v>
      </c>
      <c r="D87" s="1154" t="s">
        <v>4297</v>
      </c>
      <c r="I87" s="1010"/>
    </row>
    <row r="88" spans="1:9" ht="3" customHeight="1">
      <c r="C88" s="1010" t="s">
        <v>1858</v>
      </c>
      <c r="D88" s="1010"/>
      <c r="E88" s="1010"/>
      <c r="I88" s="1010"/>
    </row>
    <row r="89" spans="1:9" ht="12" customHeight="1">
      <c r="A89" s="1077" t="s">
        <v>3620</v>
      </c>
      <c r="B89" s="1155"/>
      <c r="C89" s="1010" t="s">
        <v>3621</v>
      </c>
      <c r="I89" s="1010"/>
    </row>
    <row r="90" spans="1:9" ht="3" customHeight="1">
      <c r="G90" s="1010"/>
      <c r="H90" s="1010"/>
      <c r="I90" s="1010"/>
    </row>
    <row r="91" spans="1:9" ht="12" customHeight="1">
      <c r="A91" s="1077" t="s">
        <v>3622</v>
      </c>
      <c r="C91" s="1143" t="s">
        <v>3623</v>
      </c>
      <c r="D91" s="1125" t="s">
        <v>3549</v>
      </c>
      <c r="I91" s="1010"/>
    </row>
    <row r="92" spans="1:9" ht="12" customHeight="1">
      <c r="C92" s="1143" t="s">
        <v>3624</v>
      </c>
      <c r="D92" s="1125" t="s">
        <v>3606</v>
      </c>
      <c r="I92" s="1010"/>
    </row>
    <row r="93" spans="1:9" ht="3" customHeight="1">
      <c r="G93" s="1010"/>
      <c r="H93" s="1010"/>
      <c r="I93" s="1010"/>
    </row>
    <row r="94" spans="1:9" ht="12" customHeight="1">
      <c r="A94" s="1077" t="s">
        <v>3625</v>
      </c>
      <c r="C94" s="1143" t="s">
        <v>3613</v>
      </c>
      <c r="D94" s="1010" t="s">
        <v>3626</v>
      </c>
      <c r="E94" s="1143">
        <f>'Part III-Sources of Funds'!H18</f>
        <v>0</v>
      </c>
      <c r="I94" s="1010"/>
    </row>
    <row r="95" spans="1:9" ht="12" customHeight="1">
      <c r="C95" s="1143"/>
      <c r="D95" s="1010"/>
      <c r="E95" s="1143" t="s">
        <v>1884</v>
      </c>
      <c r="F95" s="1950"/>
      <c r="G95" s="1950"/>
      <c r="H95" s="1950"/>
      <c r="I95" s="1010"/>
    </row>
    <row r="96" spans="1:9" ht="12" customHeight="1">
      <c r="C96" s="1143"/>
      <c r="D96" s="1010"/>
      <c r="E96" s="1143" t="s">
        <v>2079</v>
      </c>
      <c r="F96" s="1949"/>
      <c r="G96" s="1949"/>
      <c r="H96" s="1949"/>
      <c r="I96" s="1010"/>
    </row>
    <row r="97" spans="1:10" ht="12" customHeight="1">
      <c r="C97" s="1143"/>
      <c r="D97" s="1010"/>
      <c r="E97" s="1143" t="s">
        <v>1887</v>
      </c>
      <c r="F97" s="1948"/>
      <c r="G97" s="1948"/>
      <c r="H97" s="1948"/>
      <c r="I97" s="1010"/>
    </row>
    <row r="98" spans="1:10" ht="12" customHeight="1">
      <c r="B98" s="1128" t="s">
        <v>3627</v>
      </c>
      <c r="C98" s="1147" t="s">
        <v>3784</v>
      </c>
      <c r="D98" s="1010" t="s">
        <v>3626</v>
      </c>
      <c r="E98" s="1143" t="str">
        <f>'Part III-Sources of Funds'!E36</f>
        <v>USDA 515 acquired loan</v>
      </c>
      <c r="I98" s="1010"/>
    </row>
    <row r="99" spans="1:10" ht="12" customHeight="1">
      <c r="C99" s="1143"/>
      <c r="D99" s="1010"/>
      <c r="E99" s="1143" t="s">
        <v>1884</v>
      </c>
      <c r="F99" s="1950"/>
      <c r="G99" s="1950"/>
      <c r="H99" s="1950"/>
      <c r="I99" s="1010"/>
    </row>
    <row r="100" spans="1:10" ht="12" customHeight="1">
      <c r="C100" s="1143"/>
      <c r="D100" s="1010"/>
      <c r="E100" s="1143" t="s">
        <v>2079</v>
      </c>
      <c r="F100" s="1949"/>
      <c r="G100" s="1949"/>
      <c r="H100" s="1949"/>
      <c r="I100" s="1010"/>
    </row>
    <row r="101" spans="1:10" ht="12" customHeight="1">
      <c r="C101" s="1143"/>
      <c r="D101" s="1010"/>
      <c r="E101" s="1143" t="s">
        <v>1887</v>
      </c>
      <c r="F101" s="1948"/>
      <c r="G101" s="1948"/>
      <c r="H101" s="1948"/>
      <c r="I101" s="1010"/>
    </row>
    <row r="102" spans="1:10" ht="3" customHeight="1">
      <c r="D102" s="1156"/>
      <c r="G102" s="1010"/>
      <c r="H102" s="1010"/>
      <c r="I102" s="1010"/>
    </row>
    <row r="103" spans="1:10" ht="12" customHeight="1">
      <c r="A103" s="1077" t="s">
        <v>3628</v>
      </c>
      <c r="D103" s="1157" t="str">
        <f>'Part IX A-Scoring Criteria'!O193</f>
        <v>Yes</v>
      </c>
      <c r="E103" s="1010" t="s">
        <v>3606</v>
      </c>
      <c r="G103" s="1077">
        <f>'Part IX A-Scoring Criteria'!P192</f>
        <v>0</v>
      </c>
      <c r="H103" s="1077" t="s">
        <v>4298</v>
      </c>
      <c r="I103" s="1010"/>
    </row>
    <row r="104" spans="1:10" ht="3" customHeight="1">
      <c r="E104" s="1010"/>
      <c r="F104" s="1010"/>
      <c r="I104" s="1010"/>
    </row>
    <row r="105" spans="1:10" ht="12" customHeight="1">
      <c r="A105" s="1010" t="s">
        <v>3785</v>
      </c>
      <c r="D105" s="1077" t="s">
        <v>3606</v>
      </c>
      <c r="E105" s="1010"/>
      <c r="I105" s="1010"/>
    </row>
    <row r="106" spans="1:10" ht="6" customHeight="1">
      <c r="G106" s="1010"/>
      <c r="H106" s="1010"/>
      <c r="I106" s="1010"/>
    </row>
    <row r="107" spans="1:10" ht="12" customHeight="1">
      <c r="A107" s="1123" t="s">
        <v>3786</v>
      </c>
      <c r="I107" s="1010"/>
    </row>
    <row r="108" spans="1:10" ht="12" customHeight="1">
      <c r="A108" s="1077" t="s">
        <v>3629</v>
      </c>
      <c r="C108" s="1125" t="s">
        <v>1858</v>
      </c>
      <c r="D108" s="1943"/>
      <c r="E108" s="1943"/>
      <c r="F108" s="1943"/>
      <c r="G108" s="1943"/>
      <c r="H108" s="1943"/>
      <c r="I108" s="1943"/>
      <c r="J108" s="1943"/>
    </row>
    <row r="109" spans="1:10" ht="3" customHeight="1">
      <c r="C109" s="1143"/>
      <c r="D109" s="1010"/>
      <c r="I109" s="1010"/>
    </row>
    <row r="110" spans="1:10" ht="12" customHeight="1">
      <c r="A110" s="1077" t="s">
        <v>3630</v>
      </c>
      <c r="C110" s="1125" t="s">
        <v>1858</v>
      </c>
    </row>
    <row r="111" spans="1:10" ht="3" customHeight="1">
      <c r="C111" s="1143"/>
      <c r="E111" s="1010"/>
      <c r="F111" s="1010"/>
      <c r="I111" s="1010"/>
    </row>
    <row r="112" spans="1:10" ht="12" customHeight="1">
      <c r="A112" s="1077" t="s">
        <v>3631</v>
      </c>
      <c r="C112" s="1125" t="s">
        <v>1858</v>
      </c>
      <c r="I112" s="1010"/>
    </row>
    <row r="113" spans="1:9" ht="3" customHeight="1">
      <c r="D113" s="1135"/>
      <c r="I113" s="1010"/>
    </row>
    <row r="114" spans="1:9" ht="12" customHeight="1">
      <c r="A114" s="1077" t="s">
        <v>3632</v>
      </c>
      <c r="D114" s="1150">
        <v>24</v>
      </c>
      <c r="E114" s="1010" t="s">
        <v>3633</v>
      </c>
      <c r="I114" s="1010"/>
    </row>
    <row r="115" spans="1:9" ht="12" customHeight="1">
      <c r="C115" s="1125" t="s">
        <v>4300</v>
      </c>
      <c r="I115" s="1010"/>
    </row>
    <row r="116" spans="1:9" ht="12" customHeight="1">
      <c r="C116" s="1125" t="s">
        <v>4299</v>
      </c>
      <c r="G116" s="1010"/>
      <c r="I116" s="1010"/>
    </row>
    <row r="117" spans="1:9" ht="3" customHeight="1">
      <c r="G117" s="1010"/>
      <c r="H117" s="1010"/>
      <c r="I117" s="1010"/>
    </row>
    <row r="118" spans="1:9" ht="12" customHeight="1">
      <c r="A118" s="1077" t="s">
        <v>3634</v>
      </c>
      <c r="D118" s="1158">
        <v>0</v>
      </c>
      <c r="E118" s="1159" t="s">
        <v>3635</v>
      </c>
      <c r="I118" s="1010"/>
    </row>
    <row r="119" spans="1:9" ht="3" customHeight="1">
      <c r="D119" s="1143"/>
      <c r="E119" s="1010"/>
      <c r="F119" s="1010"/>
      <c r="I119" s="1010"/>
    </row>
    <row r="120" spans="1:9" ht="12" customHeight="1">
      <c r="A120" s="1077" t="s">
        <v>3636</v>
      </c>
      <c r="C120" s="1010" t="s">
        <v>1858</v>
      </c>
      <c r="D120" s="1160"/>
      <c r="I120" s="1010"/>
    </row>
    <row r="121" spans="1:9" ht="12" customHeight="1">
      <c r="C121" s="1010" t="s">
        <v>3637</v>
      </c>
      <c r="D121" s="1157"/>
      <c r="I121" s="1010"/>
    </row>
    <row r="122" spans="1:9" ht="12" customHeight="1">
      <c r="C122" s="1010" t="s">
        <v>3638</v>
      </c>
      <c r="D122" s="1126"/>
      <c r="I122" s="1010"/>
    </row>
    <row r="123" spans="1:9" ht="12" customHeight="1">
      <c r="C123" s="1010" t="s">
        <v>3639</v>
      </c>
      <c r="D123" s="1126"/>
      <c r="I123" s="1010"/>
    </row>
    <row r="124" spans="1:9" ht="3" customHeight="1">
      <c r="E124" s="1010"/>
      <c r="F124" s="1010"/>
      <c r="I124" s="1010"/>
    </row>
    <row r="125" spans="1:9" ht="12" customHeight="1">
      <c r="A125" s="1077" t="s">
        <v>3640</v>
      </c>
      <c r="D125" s="1161" t="s">
        <v>3606</v>
      </c>
      <c r="I125" s="1010"/>
    </row>
    <row r="126" spans="1:9" ht="3" customHeight="1">
      <c r="D126" s="1010"/>
      <c r="I126" s="1010"/>
    </row>
    <row r="127" spans="1:9" ht="12" customHeight="1">
      <c r="A127" s="1077" t="s">
        <v>3641</v>
      </c>
      <c r="D127" s="1010" t="s">
        <v>3606</v>
      </c>
      <c r="I127" s="1010"/>
    </row>
    <row r="128" spans="1:9" ht="3" customHeight="1">
      <c r="G128" s="1010"/>
      <c r="H128" s="1010"/>
      <c r="I128" s="1010"/>
    </row>
    <row r="129" spans="1:10" ht="12" customHeight="1">
      <c r="A129" s="1077" t="s">
        <v>3642</v>
      </c>
      <c r="D129" s="1010" t="s">
        <v>3643</v>
      </c>
      <c r="G129" s="1010"/>
      <c r="I129" s="1010"/>
    </row>
    <row r="130" spans="1:10" ht="7.5" customHeight="1">
      <c r="G130" s="1010"/>
      <c r="H130" s="1010"/>
      <c r="I130" s="1010"/>
    </row>
    <row r="131" spans="1:10" ht="12" customHeight="1">
      <c r="A131" s="1123" t="s">
        <v>3644</v>
      </c>
      <c r="G131" s="1010"/>
      <c r="H131" s="1010"/>
      <c r="I131" s="1010"/>
    </row>
    <row r="132" spans="1:10" ht="12" customHeight="1">
      <c r="A132" s="1077" t="s">
        <v>3645</v>
      </c>
      <c r="C132" s="1125" t="str">
        <f>Overview!H11</f>
        <v>DHM Developer, Inc.</v>
      </c>
      <c r="G132" s="1010"/>
      <c r="I132" s="1010"/>
    </row>
    <row r="133" spans="1:10" ht="12" customHeight="1">
      <c r="C133" s="1125">
        <f>Overview!K11</f>
        <v>0</v>
      </c>
      <c r="G133" s="1010"/>
      <c r="I133" s="1010"/>
    </row>
    <row r="134" spans="1:10" ht="3" customHeight="1">
      <c r="C134" s="1010"/>
      <c r="G134" s="1010"/>
      <c r="I134" s="1010"/>
    </row>
    <row r="135" spans="1:10" ht="12" customHeight="1">
      <c r="A135" s="1077" t="s">
        <v>3646</v>
      </c>
      <c r="C135" s="1162">
        <f>('Part IV-Uses of Funds'!G116-'Part III-Sources of Funds'!I41)/2</f>
        <v>390006.5</v>
      </c>
      <c r="G135" s="1010"/>
      <c r="I135" s="1010"/>
    </row>
    <row r="136" spans="1:10" ht="3" customHeight="1">
      <c r="C136" s="1010"/>
      <c r="G136" s="1010"/>
      <c r="I136" s="1010"/>
    </row>
    <row r="137" spans="1:10" ht="12" customHeight="1">
      <c r="A137" s="1077" t="s">
        <v>3647</v>
      </c>
      <c r="C137" s="1153" t="s">
        <v>3648</v>
      </c>
      <c r="G137" s="1010"/>
      <c r="I137" s="1010"/>
    </row>
    <row r="138" spans="1:10" ht="3" customHeight="1">
      <c r="C138" s="1125"/>
      <c r="G138" s="1010"/>
      <c r="I138" s="1010"/>
    </row>
    <row r="139" spans="1:10" ht="12" customHeight="1">
      <c r="A139" s="1077" t="s">
        <v>3649</v>
      </c>
      <c r="C139" s="1125" t="str">
        <f>'Preview term'!E19</f>
        <v>Investors Management Company of Valdosta, Inc.</v>
      </c>
      <c r="G139" s="1010"/>
      <c r="I139" s="1010"/>
      <c r="J139" s="1163"/>
    </row>
    <row r="140" spans="1:10" ht="3" customHeight="1">
      <c r="C140" s="1125"/>
      <c r="G140" s="1010"/>
      <c r="I140" s="1010"/>
    </row>
    <row r="141" spans="1:10" ht="12" customHeight="1">
      <c r="A141" s="1077" t="s">
        <v>3650</v>
      </c>
      <c r="C141" s="1127" t="str">
        <f>C8</f>
        <v>Arbor Trace II Lake Park, LP</v>
      </c>
      <c r="G141" s="1010"/>
      <c r="I141" s="1124"/>
      <c r="J141" s="1164"/>
    </row>
    <row r="142" spans="1:10" ht="3" customHeight="1">
      <c r="C142" s="1127"/>
      <c r="G142" s="1010"/>
      <c r="I142" s="1124"/>
      <c r="J142" s="1164"/>
    </row>
    <row r="143" spans="1:10" ht="12" customHeight="1">
      <c r="A143" s="1077" t="s">
        <v>3651</v>
      </c>
      <c r="C143" s="1127" t="str">
        <f>C132</f>
        <v>DHM Developer, Inc.</v>
      </c>
      <c r="G143" s="1010"/>
      <c r="I143" s="1124"/>
      <c r="J143" s="1164"/>
    </row>
    <row r="144" spans="1:10">
      <c r="C144" s="1127" t="str">
        <f>'Part II-Development Team'!$H$55&amp;", "&amp;'Part II-Development Team'!$H$56&amp;", "&amp;'Part II-Development Team'!$H$57&amp;"  "&amp;'Part II-Development Team'!$J$57</f>
        <v>3548 North Crossing Circle, Valdosta, GA  316026408</v>
      </c>
      <c r="G144" s="1010"/>
      <c r="I144" s="1124"/>
      <c r="J144" s="1164"/>
    </row>
    <row r="145" spans="1:10" ht="3" customHeight="1">
      <c r="C145" s="1165"/>
      <c r="G145" s="1010"/>
      <c r="I145" s="1124"/>
      <c r="J145" s="1164"/>
    </row>
    <row r="146" spans="1:10" ht="12" customHeight="1">
      <c r="A146" s="1077" t="s">
        <v>3652</v>
      </c>
      <c r="C146" s="1127" t="str">
        <f>Overview!H10</f>
        <v>Raymond James Tax Credit Funds, Inc.</v>
      </c>
      <c r="G146" s="1010"/>
      <c r="I146" s="1124"/>
      <c r="J146" s="1163"/>
    </row>
    <row r="147" spans="1:10" ht="3" customHeight="1">
      <c r="C147" s="1127"/>
      <c r="G147" s="1010"/>
      <c r="I147" s="1124"/>
      <c r="J147" s="1164"/>
    </row>
    <row r="148" spans="1:10" ht="12" customHeight="1">
      <c r="A148" s="1077" t="s">
        <v>3653</v>
      </c>
      <c r="C148" s="1127" t="str">
        <f>Overview!K10</f>
        <v>Raymond James Tax Credit Funds, Inc.</v>
      </c>
      <c r="G148" s="1010"/>
      <c r="I148" s="1124"/>
      <c r="J148" s="1163"/>
    </row>
    <row r="149" spans="1:10" ht="3" customHeight="1">
      <c r="C149" s="1165"/>
      <c r="G149" s="1010"/>
      <c r="I149" s="1124"/>
      <c r="J149" s="1164"/>
    </row>
    <row r="150" spans="1:10" ht="12" customHeight="1">
      <c r="A150" s="1077" t="s">
        <v>3654</v>
      </c>
      <c r="C150" s="1166" t="s">
        <v>3606</v>
      </c>
      <c r="G150" s="1010"/>
      <c r="I150" s="1010"/>
    </row>
    <row r="151" spans="1:10" ht="3" customHeight="1">
      <c r="C151" s="1166"/>
      <c r="G151" s="1010"/>
      <c r="I151" s="1010"/>
    </row>
    <row r="152" spans="1:10" ht="12" customHeight="1">
      <c r="A152" s="1077" t="s">
        <v>3655</v>
      </c>
      <c r="C152" s="1166" t="s">
        <v>3606</v>
      </c>
      <c r="G152" s="1010"/>
      <c r="I152" s="1010"/>
    </row>
    <row r="153" spans="1:10" ht="7.5" customHeight="1">
      <c r="G153" s="1010"/>
      <c r="H153" s="1010"/>
      <c r="I153" s="1010"/>
    </row>
    <row r="154" spans="1:10" ht="12" customHeight="1">
      <c r="A154" s="1123" t="s">
        <v>3656</v>
      </c>
      <c r="G154" s="1010"/>
      <c r="H154" s="1010"/>
      <c r="I154" s="1010"/>
    </row>
    <row r="155" spans="1:10" ht="3" customHeight="1">
      <c r="D155" s="1010"/>
      <c r="E155" s="1010"/>
      <c r="G155" s="1010"/>
    </row>
    <row r="156" spans="1:10" ht="12" customHeight="1">
      <c r="A156" s="1077" t="s">
        <v>3657</v>
      </c>
      <c r="C156" s="1010" t="s">
        <v>4302</v>
      </c>
      <c r="D156" s="1010"/>
      <c r="G156" s="1010"/>
      <c r="H156" s="1010"/>
      <c r="I156" s="1010"/>
    </row>
    <row r="157" spans="1:10" ht="3" customHeight="1">
      <c r="D157" s="1010"/>
      <c r="E157" s="1010"/>
      <c r="G157" s="1010"/>
    </row>
    <row r="158" spans="1:10" ht="12" customHeight="1">
      <c r="A158" s="1077" t="s">
        <v>3658</v>
      </c>
      <c r="D158" s="1153">
        <v>20</v>
      </c>
      <c r="E158" s="1010" t="s">
        <v>2528</v>
      </c>
    </row>
    <row r="159" spans="1:10" ht="3" customHeight="1">
      <c r="D159" s="1010"/>
      <c r="E159" s="1010"/>
      <c r="G159" s="1010"/>
    </row>
    <row r="160" spans="1:10" ht="12" customHeight="1">
      <c r="A160" s="1077" t="s">
        <v>3659</v>
      </c>
      <c r="C160" s="1010" t="s">
        <v>1858</v>
      </c>
      <c r="D160" s="1010" t="s">
        <v>4355</v>
      </c>
      <c r="G160" s="1010"/>
    </row>
    <row r="161" spans="1:13" ht="3" customHeight="1">
      <c r="G161" s="1010"/>
      <c r="H161" s="1010"/>
      <c r="I161" s="1010"/>
    </row>
    <row r="162" spans="1:13" ht="12" customHeight="1">
      <c r="A162" s="1077" t="s">
        <v>3660</v>
      </c>
      <c r="G162" s="1010"/>
      <c r="H162" s="1010"/>
      <c r="I162" s="1010"/>
    </row>
    <row r="163" spans="1:13" ht="7.5" customHeight="1">
      <c r="G163" s="1010"/>
      <c r="H163" s="1010"/>
      <c r="I163" s="1010"/>
    </row>
    <row r="164" spans="1:13" ht="12" customHeight="1">
      <c r="A164" s="1123" t="s">
        <v>3661</v>
      </c>
      <c r="G164" s="1010"/>
      <c r="H164" s="1010"/>
      <c r="I164" s="1010"/>
    </row>
    <row r="165" spans="1:13" ht="12" customHeight="1">
      <c r="A165" s="1077" t="s">
        <v>3776</v>
      </c>
      <c r="C165" s="1077" t="s">
        <v>3777</v>
      </c>
      <c r="E165" s="1153">
        <f>'Preview term'!F77</f>
        <v>0</v>
      </c>
      <c r="G165" s="1010"/>
      <c r="I165" s="1010"/>
    </row>
    <row r="166" spans="1:13" ht="12" customHeight="1">
      <c r="C166" s="1077" t="s">
        <v>4303</v>
      </c>
      <c r="I166" s="1010"/>
    </row>
    <row r="167" spans="1:13" ht="3" customHeight="1">
      <c r="E167" s="1010"/>
      <c r="G167" s="1010"/>
      <c r="I167" s="1010"/>
    </row>
    <row r="168" spans="1:13" ht="12" customHeight="1">
      <c r="A168" s="1077" t="s">
        <v>3662</v>
      </c>
      <c r="C168" s="1077" t="s">
        <v>3663</v>
      </c>
      <c r="E168" s="1167">
        <f>'Preview term'!F71</f>
        <v>92455</v>
      </c>
      <c r="G168" s="1010"/>
      <c r="I168" s="1010"/>
    </row>
    <row r="169" spans="1:13" ht="12" customHeight="1">
      <c r="C169" s="1077" t="s">
        <v>4303</v>
      </c>
      <c r="I169" s="1010"/>
    </row>
    <row r="170" spans="1:13" ht="12" customHeight="1">
      <c r="C170" s="1077" t="s">
        <v>3664</v>
      </c>
      <c r="E170" s="1125" t="s">
        <v>3138</v>
      </c>
      <c r="G170" s="1010"/>
      <c r="I170" s="1010"/>
    </row>
    <row r="171" spans="1:13" ht="3" customHeight="1">
      <c r="E171" s="1125"/>
      <c r="G171" s="1010"/>
      <c r="I171" s="1010"/>
    </row>
    <row r="172" spans="1:13" ht="12" customHeight="1">
      <c r="A172" s="1077" t="s">
        <v>3778</v>
      </c>
      <c r="C172" s="1077" t="s">
        <v>3779</v>
      </c>
      <c r="E172" s="1167">
        <f>'Preview term'!F73</f>
        <v>79000</v>
      </c>
      <c r="G172" s="1010"/>
      <c r="I172" s="1010"/>
    </row>
    <row r="173" spans="1:13" ht="12" customHeight="1">
      <c r="C173" s="1077" t="s">
        <v>3665</v>
      </c>
      <c r="E173" s="1167">
        <f>'Preview term'!F74</f>
        <v>0</v>
      </c>
      <c r="G173" s="1010"/>
      <c r="I173" s="1124"/>
      <c r="J173" s="1164"/>
      <c r="K173" s="1164"/>
      <c r="L173" s="1164"/>
      <c r="M173" s="1164"/>
    </row>
    <row r="174" spans="1:13" ht="12" customHeight="1">
      <c r="C174" s="1077" t="s">
        <v>3666</v>
      </c>
      <c r="E174" s="1162">
        <f>'Part VI-Revenues &amp; Expenses'!P182</f>
        <v>350</v>
      </c>
      <c r="F174" s="1124" t="s">
        <v>3667</v>
      </c>
      <c r="J174" s="1164"/>
      <c r="K174" s="1164"/>
      <c r="L174" s="1164"/>
      <c r="M174" s="1164"/>
    </row>
    <row r="175" spans="1:13">
      <c r="E175" s="1167">
        <f>E174/12</f>
        <v>29.166666666666668</v>
      </c>
      <c r="F175" s="1010" t="s">
        <v>3510</v>
      </c>
    </row>
    <row r="176" spans="1:13" ht="12" customHeight="1">
      <c r="C176" s="1077" t="s">
        <v>4304</v>
      </c>
      <c r="I176" s="1010"/>
    </row>
    <row r="177" spans="1:10" ht="12" customHeight="1">
      <c r="C177" s="1077" t="s">
        <v>3668</v>
      </c>
      <c r="E177" s="1010" t="s">
        <v>3421</v>
      </c>
      <c r="I177" s="1010"/>
    </row>
    <row r="178" spans="1:10" ht="12" customHeight="1">
      <c r="C178" s="1077" t="s">
        <v>3669</v>
      </c>
      <c r="E178" s="1010" t="s">
        <v>3138</v>
      </c>
      <c r="I178" s="1010"/>
    </row>
    <row r="179" spans="1:10" ht="3" customHeight="1">
      <c r="E179" s="1010"/>
      <c r="F179" s="1010"/>
      <c r="I179" s="1010"/>
    </row>
    <row r="180" spans="1:10" ht="12" customHeight="1">
      <c r="A180" s="1077" t="s">
        <v>3774</v>
      </c>
      <c r="C180" s="1077" t="s">
        <v>3775</v>
      </c>
      <c r="E180" s="1125" t="s">
        <v>1858</v>
      </c>
      <c r="F180" s="1168"/>
      <c r="I180" s="1010"/>
    </row>
    <row r="181" spans="1:10" ht="12" customHeight="1">
      <c r="C181" s="1077" t="s">
        <v>3670</v>
      </c>
      <c r="E181" s="1125" t="s">
        <v>1858</v>
      </c>
      <c r="F181" s="1937"/>
      <c r="G181" s="1937"/>
      <c r="H181" s="1937"/>
      <c r="I181" s="1937"/>
      <c r="J181" s="1937"/>
    </row>
    <row r="182" spans="1:10" ht="12" customHeight="1">
      <c r="C182" s="1077" t="s">
        <v>4305</v>
      </c>
      <c r="E182" s="1010" t="s">
        <v>3606</v>
      </c>
      <c r="I182" s="1010"/>
    </row>
    <row r="183" spans="1:10" ht="12" customHeight="1">
      <c r="C183" s="1077" t="s">
        <v>3671</v>
      </c>
      <c r="E183" s="1010" t="s">
        <v>3138</v>
      </c>
      <c r="I183" s="1010"/>
    </row>
    <row r="184" spans="1:10" ht="3" customHeight="1">
      <c r="G184" s="1010"/>
      <c r="H184" s="1010"/>
      <c r="I184" s="1010"/>
    </row>
    <row r="185" spans="1:10" ht="12" customHeight="1">
      <c r="A185" s="1077" t="s">
        <v>3780</v>
      </c>
      <c r="C185" s="1077" t="s">
        <v>3781</v>
      </c>
      <c r="E185" s="1167">
        <f>'Preview term'!F75</f>
        <v>36764</v>
      </c>
      <c r="G185" s="1010"/>
      <c r="I185" s="1010"/>
    </row>
    <row r="186" spans="1:10" ht="12" customHeight="1">
      <c r="C186" s="1077" t="s">
        <v>4303</v>
      </c>
      <c r="E186" s="1125">
        <f>E169</f>
        <v>0</v>
      </c>
      <c r="G186" s="1010"/>
      <c r="I186" s="1010"/>
    </row>
    <row r="187" spans="1:10" ht="12" customHeight="1">
      <c r="C187" s="1077" t="s">
        <v>3672</v>
      </c>
      <c r="E187" s="1125" t="s">
        <v>3606</v>
      </c>
      <c r="G187" s="1010"/>
      <c r="I187" s="1010"/>
    </row>
    <row r="188" spans="1:10" ht="3" customHeight="1">
      <c r="E188" s="1125"/>
      <c r="G188" s="1010"/>
      <c r="I188" s="1010"/>
    </row>
    <row r="189" spans="1:10" ht="12" customHeight="1">
      <c r="A189" s="1077" t="s">
        <v>3782</v>
      </c>
      <c r="C189" s="1077" t="s">
        <v>3783</v>
      </c>
      <c r="E189" s="1125" t="s">
        <v>3606</v>
      </c>
      <c r="G189" s="1010"/>
      <c r="I189" s="1010"/>
    </row>
    <row r="190" spans="1:10" ht="12" customHeight="1">
      <c r="C190" s="1077" t="s">
        <v>3663</v>
      </c>
      <c r="E190" s="1143"/>
      <c r="G190" s="1010"/>
      <c r="H190" s="1152"/>
      <c r="I190" s="1010"/>
    </row>
    <row r="191" spans="1:10" ht="12" customHeight="1">
      <c r="C191" s="1077" t="s">
        <v>4303</v>
      </c>
      <c r="E191" s="1143"/>
      <c r="I191" s="1125"/>
    </row>
    <row r="192" spans="1:10" ht="12" customHeight="1">
      <c r="C192" s="1077" t="s">
        <v>3664</v>
      </c>
      <c r="E192" s="1143"/>
      <c r="G192" s="1010"/>
      <c r="H192" s="1010"/>
      <c r="I192" s="1010"/>
    </row>
    <row r="193" spans="1:10" ht="9" customHeight="1">
      <c r="G193" s="1010"/>
      <c r="H193" s="1010"/>
      <c r="I193" s="1010"/>
    </row>
    <row r="194" spans="1:10" ht="12" customHeight="1">
      <c r="A194" s="1123" t="s">
        <v>3673</v>
      </c>
      <c r="C194" s="1010" t="s">
        <v>3674</v>
      </c>
      <c r="E194" s="1010"/>
      <c r="I194" s="1010"/>
    </row>
    <row r="195" spans="1:10" ht="9" customHeight="1">
      <c r="E195" s="1010"/>
      <c r="F195" s="1010"/>
      <c r="I195" s="1010"/>
    </row>
    <row r="196" spans="1:10" ht="12" customHeight="1">
      <c r="A196" s="1123" t="s">
        <v>3675</v>
      </c>
      <c r="E196" s="1010"/>
      <c r="F196" s="1010"/>
      <c r="I196" s="1010"/>
    </row>
    <row r="197" spans="1:10" ht="12" customHeight="1">
      <c r="A197" s="1077" t="s">
        <v>3676</v>
      </c>
      <c r="C197" s="1010" t="s">
        <v>1858</v>
      </c>
      <c r="E197" s="1010"/>
      <c r="F197" s="1010"/>
      <c r="I197" s="1010"/>
    </row>
    <row r="198" spans="1:10" ht="3" customHeight="1">
      <c r="G198" s="1010"/>
      <c r="H198" s="1010"/>
      <c r="I198" s="1010"/>
    </row>
    <row r="199" spans="1:10">
      <c r="A199" s="1136" t="s">
        <v>4307</v>
      </c>
      <c r="B199" s="1136"/>
      <c r="C199" s="1136"/>
      <c r="D199" s="1136"/>
      <c r="E199" s="1141" t="s">
        <v>4306</v>
      </c>
      <c r="F199" s="1947"/>
      <c r="G199" s="1947"/>
      <c r="H199" s="1947"/>
      <c r="I199" s="1947"/>
      <c r="J199" s="1947"/>
    </row>
    <row r="200" spans="1:10" ht="9" customHeight="1">
      <c r="G200" s="1010"/>
      <c r="H200" s="1010"/>
      <c r="I200" s="1010"/>
    </row>
    <row r="201" spans="1:10" ht="12" customHeight="1">
      <c r="A201" s="1169" t="s">
        <v>3773</v>
      </c>
      <c r="G201" s="1010"/>
      <c r="H201" s="1010"/>
      <c r="I201" s="1152"/>
    </row>
    <row r="202" spans="1:10" ht="25.5" customHeight="1">
      <c r="A202" s="1938" t="str">
        <f>'Subsidy Layering Memo'!A98</f>
        <v>Include any reserve requirements; explain any reserves far in excess of 6 month ODR, 3 mo lease up, 1 year RR, 6 mo T&amp;I standards.</v>
      </c>
      <c r="B202" s="1938"/>
      <c r="C202" s="1938"/>
      <c r="D202" s="1938"/>
      <c r="E202" s="1938"/>
      <c r="F202" s="1938"/>
      <c r="G202" s="1938"/>
      <c r="H202" s="1938"/>
      <c r="I202" s="1938"/>
      <c r="J202" s="1938"/>
    </row>
    <row r="203" spans="1:10">
      <c r="A203" s="1010"/>
      <c r="G203" s="1010"/>
      <c r="H203" s="1010"/>
      <c r="I203" s="1010"/>
    </row>
    <row r="204" spans="1:10">
      <c r="A204" s="1123" t="s">
        <v>3677</v>
      </c>
      <c r="G204" s="1010"/>
      <c r="H204" s="1010"/>
      <c r="I204" s="1010"/>
    </row>
    <row r="205" spans="1:10" ht="3" customHeight="1">
      <c r="G205" s="1010"/>
      <c r="H205" s="1010"/>
      <c r="I205" s="1010"/>
    </row>
    <row r="206" spans="1:10" ht="76.5" customHeight="1">
      <c r="A206" s="1940" t="s">
        <v>3368</v>
      </c>
      <c r="B206" s="1940"/>
      <c r="C206" s="1940"/>
      <c r="D206" s="1940"/>
      <c r="E206" s="1940"/>
      <c r="F206" s="1940"/>
      <c r="G206" s="1940"/>
      <c r="H206" s="1940"/>
      <c r="I206" s="1940"/>
      <c r="J206" s="1940"/>
    </row>
    <row r="207" spans="1:10">
      <c r="A207" s="1010" t="s">
        <v>3369</v>
      </c>
      <c r="G207" s="1010"/>
      <c r="H207" s="1010"/>
      <c r="I207" s="1010"/>
    </row>
    <row r="208" spans="1:10" ht="38.25" customHeight="1">
      <c r="A208" s="1940" t="str">
        <f>'Subsidy Layering Memo'!A37&amp;".  "&amp;'Subsidy Layering Memo'!A38</f>
        <v xml:space="preserve">.  </v>
      </c>
      <c r="B208" s="1941"/>
      <c r="C208" s="1941"/>
      <c r="D208" s="1941"/>
      <c r="E208" s="1941"/>
      <c r="F208" s="1941"/>
      <c r="G208" s="1941"/>
      <c r="H208" s="1941"/>
      <c r="I208" s="1941"/>
      <c r="J208" s="1941"/>
    </row>
    <row r="209" spans="1:4">
      <c r="A209" s="1125"/>
    </row>
    <row r="210" spans="1:4">
      <c r="A210" s="1125"/>
    </row>
    <row r="211" spans="1:4">
      <c r="A211" s="1010"/>
    </row>
    <row r="215" spans="1:4">
      <c r="D215" s="1077"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7" customWidth="1"/>
    <col min="2" max="2" width="4.28515625" style="1077" customWidth="1"/>
    <col min="3" max="3" width="18.5703125" style="1077" customWidth="1"/>
    <col min="4" max="4" width="2.7109375" style="1077" customWidth="1"/>
    <col min="5" max="5" width="6.5703125" style="1077" customWidth="1"/>
    <col min="6" max="6" width="39.28515625" style="1077" customWidth="1"/>
    <col min="7" max="8" width="8.42578125" style="1077" customWidth="1"/>
    <col min="9" max="16384" width="9.140625" style="1077"/>
  </cols>
  <sheetData>
    <row r="1" spans="1:11">
      <c r="A1" s="1010" t="s">
        <v>3678</v>
      </c>
      <c r="H1" s="1128" t="str">
        <f>Overview!C8</f>
        <v>Arbor Trace Apartments Phase II</v>
      </c>
    </row>
    <row r="2" spans="1:11">
      <c r="A2" s="1010" t="s">
        <v>3679</v>
      </c>
    </row>
    <row r="3" spans="1:11" ht="3" customHeight="1"/>
    <row r="4" spans="1:11" ht="51.75" customHeight="1">
      <c r="A4" s="1941" t="s">
        <v>3790</v>
      </c>
      <c r="B4" s="1941"/>
      <c r="C4" s="1941"/>
      <c r="D4" s="1941"/>
      <c r="E4" s="1941"/>
      <c r="F4" s="1941"/>
      <c r="G4" s="1941"/>
      <c r="H4" s="1941"/>
      <c r="J4" s="1170">
        <f>SUM('Part VII-Pro Forma'!B14:B16)/12</f>
        <v>16031.339999999998</v>
      </c>
      <c r="K4" s="1077" t="s">
        <v>4356</v>
      </c>
    </row>
    <row r="5" spans="1:11" ht="1.5" customHeight="1">
      <c r="C5" s="1171"/>
      <c r="D5" s="1171"/>
      <c r="E5" s="1171"/>
      <c r="F5" s="1171"/>
      <c r="G5" s="1171"/>
      <c r="H5" s="1171"/>
    </row>
    <row r="6" spans="1:11" ht="12.75" customHeight="1">
      <c r="B6" s="1172" t="s">
        <v>2555</v>
      </c>
      <c r="C6" s="1941" t="s">
        <v>3680</v>
      </c>
      <c r="D6" s="1941"/>
      <c r="E6" s="1941"/>
      <c r="F6" s="1941"/>
      <c r="G6" s="1941"/>
      <c r="H6" s="1941"/>
    </row>
    <row r="7" spans="1:11" ht="12.75" customHeight="1">
      <c r="B7" s="1172" t="s">
        <v>2556</v>
      </c>
      <c r="C7" s="1941" t="s">
        <v>3681</v>
      </c>
      <c r="D7" s="1941"/>
      <c r="E7" s="1941"/>
      <c r="F7" s="1941"/>
      <c r="G7" s="1941"/>
      <c r="H7" s="1941"/>
    </row>
    <row r="8" spans="1:11" ht="3" customHeight="1"/>
    <row r="9" spans="1:11">
      <c r="A9" s="1077" t="s">
        <v>3682</v>
      </c>
    </row>
    <row r="10" spans="1:11" ht="1.5" customHeight="1"/>
    <row r="11" spans="1:11" ht="26.25" customHeight="1">
      <c r="A11" s="1173" t="s">
        <v>2080</v>
      </c>
      <c r="B11" s="1956" t="s">
        <v>3787</v>
      </c>
      <c r="C11" s="1956"/>
      <c r="D11" s="1956"/>
      <c r="E11" s="1956"/>
      <c r="F11" s="1956"/>
      <c r="G11" s="1953">
        <f>'Part III-Sources of Funds'!I44+'Part III-Sources of Funds'!I45</f>
        <v>4820057</v>
      </c>
      <c r="H11" s="1953"/>
    </row>
    <row r="12" spans="1:11" ht="1.5" customHeight="1">
      <c r="G12" s="1136"/>
      <c r="H12" s="1136"/>
    </row>
    <row r="13" spans="1:11" ht="26.25" customHeight="1">
      <c r="A13" s="1173" t="s">
        <v>2083</v>
      </c>
      <c r="B13" s="1956" t="s">
        <v>3788</v>
      </c>
      <c r="C13" s="1956"/>
      <c r="D13" s="1956"/>
      <c r="E13" s="1956"/>
      <c r="F13" s="1956"/>
      <c r="G13" s="1955" t="s">
        <v>3606</v>
      </c>
      <c r="H13" s="1955"/>
    </row>
    <row r="14" spans="1:11" ht="12" customHeight="1">
      <c r="A14" s="1173"/>
      <c r="B14" s="1942"/>
      <c r="C14" s="1942"/>
      <c r="D14" s="1942"/>
      <c r="E14" s="1942"/>
      <c r="F14" s="1942"/>
      <c r="G14" s="1942"/>
      <c r="H14" s="1942"/>
    </row>
    <row r="15" spans="1:11" ht="1.5" customHeight="1"/>
    <row r="16" spans="1:11" ht="12" customHeight="1">
      <c r="A16" s="1173" t="s">
        <v>788</v>
      </c>
      <c r="B16" s="1077" t="s">
        <v>3792</v>
      </c>
      <c r="F16" s="1164"/>
      <c r="G16" s="1954" t="s">
        <v>3424</v>
      </c>
      <c r="H16" s="1954"/>
    </row>
    <row r="17" spans="1:8" ht="1.5" customHeight="1">
      <c r="G17" s="1143"/>
    </row>
    <row r="18" spans="1:8" ht="12" customHeight="1">
      <c r="A18" s="1173" t="s">
        <v>2215</v>
      </c>
      <c r="B18" s="1136" t="s">
        <v>3789</v>
      </c>
      <c r="C18" s="1173"/>
      <c r="D18" s="1173"/>
      <c r="E18" s="1173"/>
      <c r="G18" s="1942" t="s">
        <v>3138</v>
      </c>
      <c r="H18" s="1942"/>
    </row>
    <row r="19" spans="1:8" ht="12" customHeight="1">
      <c r="B19" s="1942"/>
      <c r="C19" s="1942"/>
      <c r="D19" s="1942"/>
      <c r="E19" s="1942"/>
      <c r="F19" s="1942"/>
      <c r="G19" s="1942"/>
      <c r="H19" s="1942"/>
    </row>
    <row r="20" spans="1:8" ht="13.5" customHeight="1"/>
    <row r="21" spans="1:8" ht="12" customHeight="1">
      <c r="A21" s="1010" t="s">
        <v>3683</v>
      </c>
    </row>
    <row r="22" spans="1:8" ht="3" customHeight="1"/>
    <row r="23" spans="1:8" ht="26.25" customHeight="1">
      <c r="A23" s="1951" t="s">
        <v>3791</v>
      </c>
      <c r="B23" s="1951"/>
      <c r="C23" s="1951"/>
      <c r="D23" s="1951"/>
      <c r="E23" s="1951"/>
      <c r="F23" s="1951"/>
      <c r="G23" s="1951"/>
      <c r="H23" s="1951"/>
    </row>
    <row r="24" spans="1:8" ht="26.25" customHeight="1">
      <c r="A24" s="1952" t="s">
        <v>3684</v>
      </c>
      <c r="B24" s="1952"/>
      <c r="C24" s="1952"/>
      <c r="D24" s="1952"/>
      <c r="E24" s="1952"/>
      <c r="F24" s="1952"/>
      <c r="G24" s="1952"/>
      <c r="H24" s="1952"/>
    </row>
    <row r="25" spans="1:8" ht="9" customHeight="1">
      <c r="A25" s="1103"/>
    </row>
    <row r="26" spans="1:8">
      <c r="A26" s="1143" t="s">
        <v>3793</v>
      </c>
      <c r="B26" s="1174"/>
      <c r="C26" s="1143" t="s">
        <v>3794</v>
      </c>
      <c r="D26" s="1175" t="s">
        <v>4314</v>
      </c>
    </row>
    <row r="27" spans="1:8" ht="6" customHeight="1"/>
    <row r="28" spans="1:8" ht="12.75" customHeight="1">
      <c r="C28" s="1136" t="s">
        <v>3685</v>
      </c>
      <c r="D28" s="1176" t="s">
        <v>2084</v>
      </c>
      <c r="E28" s="1177"/>
      <c r="F28" s="1941" t="s">
        <v>3686</v>
      </c>
      <c r="G28" s="1941"/>
      <c r="H28" s="1941"/>
    </row>
    <row r="29" spans="1:8" ht="12.75" customHeight="1">
      <c r="C29" s="1178" t="s">
        <v>1418</v>
      </c>
      <c r="D29" s="1176" t="s">
        <v>2086</v>
      </c>
      <c r="E29" s="1941" t="s">
        <v>3798</v>
      </c>
      <c r="F29" s="1941"/>
      <c r="G29" s="1941"/>
      <c r="H29" s="1941"/>
    </row>
    <row r="30" spans="1:8" ht="12.75" customHeight="1">
      <c r="E30" s="1941" t="s">
        <v>4310</v>
      </c>
      <c r="F30" s="1941"/>
      <c r="G30" s="1941"/>
      <c r="H30" s="1941"/>
    </row>
    <row r="31" spans="1:8" ht="12.75" customHeight="1">
      <c r="D31" s="1179" t="s">
        <v>3797</v>
      </c>
      <c r="E31" s="1941" t="s">
        <v>4311</v>
      </c>
      <c r="F31" s="1941"/>
      <c r="G31" s="1941"/>
      <c r="H31" s="1941"/>
    </row>
    <row r="32" spans="1:8" ht="3" customHeight="1">
      <c r="D32" s="1176"/>
      <c r="E32" s="1180"/>
      <c r="F32" s="1180"/>
      <c r="G32" s="1180"/>
      <c r="H32" s="1180"/>
    </row>
    <row r="33" spans="1:11">
      <c r="A33" s="1143" t="s">
        <v>3793</v>
      </c>
      <c r="B33" s="1174"/>
      <c r="C33" s="1143" t="s">
        <v>3795</v>
      </c>
      <c r="D33" s="1175" t="s">
        <v>4315</v>
      </c>
    </row>
    <row r="34" spans="1:11" ht="4.5" customHeight="1"/>
    <row r="35" spans="1:11" ht="12.75" customHeight="1">
      <c r="C35" s="1136" t="s">
        <v>3685</v>
      </c>
      <c r="D35" s="1176" t="s">
        <v>2084</v>
      </c>
      <c r="E35" s="1177"/>
      <c r="F35" s="1941" t="s">
        <v>3686</v>
      </c>
      <c r="G35" s="1941"/>
      <c r="H35" s="1941"/>
    </row>
    <row r="36" spans="1:11" ht="12.75" customHeight="1">
      <c r="C36" s="1178" t="s">
        <v>1418</v>
      </c>
      <c r="D36" s="1176" t="s">
        <v>2086</v>
      </c>
      <c r="E36" s="1941" t="s">
        <v>3799</v>
      </c>
      <c r="F36" s="1941"/>
      <c r="G36" s="1941"/>
      <c r="H36" s="1941"/>
    </row>
    <row r="37" spans="1:11" ht="12.75" customHeight="1">
      <c r="E37" s="1941" t="s">
        <v>4310</v>
      </c>
      <c r="F37" s="1941"/>
      <c r="G37" s="1941"/>
      <c r="H37" s="1941"/>
    </row>
    <row r="38" spans="1:11" ht="12.75" customHeight="1">
      <c r="D38" s="1179" t="s">
        <v>3797</v>
      </c>
      <c r="E38" s="1941" t="s">
        <v>4311</v>
      </c>
      <c r="F38" s="1941"/>
      <c r="G38" s="1941"/>
      <c r="H38" s="1941"/>
    </row>
    <row r="39" spans="1:11" ht="3" customHeight="1">
      <c r="D39" s="1176"/>
      <c r="E39" s="1180"/>
      <c r="F39" s="1180"/>
      <c r="G39" s="1180"/>
      <c r="H39" s="1180"/>
    </row>
    <row r="40" spans="1:11">
      <c r="A40" s="1143" t="s">
        <v>3793</v>
      </c>
      <c r="B40" s="1174"/>
      <c r="C40" s="1143" t="s">
        <v>3796</v>
      </c>
      <c r="D40" s="1175" t="s">
        <v>4316</v>
      </c>
    </row>
    <row r="41" spans="1:11" ht="4.5" customHeight="1"/>
    <row r="42" spans="1:11" ht="12.75" customHeight="1">
      <c r="C42" s="1136" t="s">
        <v>3685</v>
      </c>
      <c r="D42" s="1176" t="s">
        <v>2084</v>
      </c>
      <c r="E42" s="1177"/>
      <c r="F42" s="1941" t="s">
        <v>3686</v>
      </c>
      <c r="G42" s="1941"/>
      <c r="H42" s="1941"/>
      <c r="K42" s="1077" t="s">
        <v>254</v>
      </c>
    </row>
    <row r="43" spans="1:11" ht="12.75" customHeight="1">
      <c r="C43" s="1178" t="s">
        <v>1418</v>
      </c>
      <c r="D43" s="1176" t="s">
        <v>2086</v>
      </c>
      <c r="E43" s="1941" t="s">
        <v>3799</v>
      </c>
      <c r="F43" s="1941"/>
      <c r="G43" s="1941"/>
      <c r="H43" s="1941"/>
    </row>
    <row r="44" spans="1:11" ht="12.75" customHeight="1">
      <c r="E44" s="1941" t="s">
        <v>4310</v>
      </c>
      <c r="F44" s="1941"/>
      <c r="G44" s="1941"/>
      <c r="H44" s="1941"/>
    </row>
    <row r="45" spans="1:11" ht="12.75" customHeight="1">
      <c r="D45" s="1179" t="s">
        <v>3797</v>
      </c>
      <c r="E45" s="1941" t="s">
        <v>4311</v>
      </c>
      <c r="F45" s="1941"/>
      <c r="G45" s="1941"/>
      <c r="H45" s="1941"/>
    </row>
    <row r="46" spans="1:11" ht="9" customHeight="1"/>
    <row r="47" spans="1:11" ht="7.5" customHeight="1">
      <c r="E47" s="1941"/>
      <c r="F47" s="1941"/>
      <c r="G47" s="1941"/>
      <c r="H47" s="1941"/>
    </row>
    <row r="48" spans="1:11">
      <c r="A48" s="1103" t="s">
        <v>3687</v>
      </c>
      <c r="E48" s="1180"/>
      <c r="F48" s="1180"/>
      <c r="G48" s="1180"/>
      <c r="H48" s="1180"/>
    </row>
    <row r="49" spans="1:11" ht="9" customHeight="1"/>
    <row r="50" spans="1:11" ht="26.25" customHeight="1">
      <c r="A50" s="1951" t="s">
        <v>4312</v>
      </c>
      <c r="B50" s="1951"/>
      <c r="C50" s="1951"/>
      <c r="D50" s="1951"/>
      <c r="E50" s="1951"/>
      <c r="F50" s="1951"/>
      <c r="G50" s="1951"/>
      <c r="H50" s="1951"/>
    </row>
    <row r="51" spans="1:11" ht="9" customHeight="1">
      <c r="A51" s="1103"/>
    </row>
    <row r="52" spans="1:11">
      <c r="A52" s="1143" t="s">
        <v>3793</v>
      </c>
      <c r="B52" s="1174"/>
      <c r="C52" s="1143" t="s">
        <v>3794</v>
      </c>
      <c r="D52" s="1175" t="s">
        <v>4313</v>
      </c>
    </row>
    <row r="53" spans="1:11" ht="4.5" customHeight="1"/>
    <row r="54" spans="1:11" ht="12.75" customHeight="1">
      <c r="C54" s="1136" t="s">
        <v>3685</v>
      </c>
      <c r="D54" s="1176" t="s">
        <v>2084</v>
      </c>
      <c r="E54" s="1177"/>
      <c r="F54" s="1941" t="s">
        <v>3686</v>
      </c>
      <c r="G54" s="1941"/>
      <c r="H54" s="1941"/>
    </row>
    <row r="55" spans="1:11" ht="12.75" customHeight="1">
      <c r="C55" s="1178" t="s">
        <v>1418</v>
      </c>
      <c r="D55" s="1176" t="s">
        <v>2086</v>
      </c>
      <c r="E55" s="1941" t="s">
        <v>4319</v>
      </c>
      <c r="F55" s="1941"/>
      <c r="G55" s="1941"/>
      <c r="H55" s="1941"/>
    </row>
    <row r="56" spans="1:11" ht="3" customHeight="1">
      <c r="D56" s="1176"/>
      <c r="E56" s="1180"/>
      <c r="F56" s="1180"/>
      <c r="G56" s="1180"/>
      <c r="H56" s="1180"/>
    </row>
    <row r="57" spans="1:11">
      <c r="A57" s="1143" t="s">
        <v>3793</v>
      </c>
      <c r="B57" s="1174"/>
      <c r="C57" s="1143" t="s">
        <v>3795</v>
      </c>
      <c r="D57" s="1175" t="s">
        <v>4317</v>
      </c>
    </row>
    <row r="58" spans="1:11" ht="4.5" customHeight="1"/>
    <row r="59" spans="1:11">
      <c r="C59" s="1136" t="s">
        <v>3685</v>
      </c>
      <c r="D59" s="1176" t="s">
        <v>2084</v>
      </c>
      <c r="E59" s="1177"/>
      <c r="F59" s="1941" t="s">
        <v>3686</v>
      </c>
      <c r="G59" s="1941"/>
      <c r="H59" s="1941"/>
    </row>
    <row r="60" spans="1:11" ht="12.75" customHeight="1">
      <c r="C60" s="1178" t="s">
        <v>1418</v>
      </c>
      <c r="D60" s="1176" t="s">
        <v>2086</v>
      </c>
      <c r="E60" s="1941" t="s">
        <v>4319</v>
      </c>
      <c r="F60" s="1941"/>
      <c r="G60" s="1941"/>
      <c r="H60" s="1941"/>
    </row>
    <row r="61" spans="1:11" ht="3" customHeight="1">
      <c r="D61" s="1176"/>
      <c r="E61" s="1180"/>
      <c r="F61" s="1180"/>
      <c r="G61" s="1180"/>
      <c r="H61" s="1180"/>
    </row>
    <row r="62" spans="1:11">
      <c r="A62" s="1143" t="s">
        <v>3793</v>
      </c>
      <c r="B62" s="1174"/>
      <c r="C62" s="1143" t="s">
        <v>3796</v>
      </c>
      <c r="D62" s="1175" t="s">
        <v>4318</v>
      </c>
    </row>
    <row r="63" spans="1:11" ht="4.5" customHeight="1"/>
    <row r="64" spans="1:11">
      <c r="C64" s="1136" t="s">
        <v>3685</v>
      </c>
      <c r="D64" s="1176" t="s">
        <v>2084</v>
      </c>
      <c r="E64" s="1177"/>
      <c r="F64" s="1941" t="s">
        <v>3686</v>
      </c>
      <c r="G64" s="1941"/>
      <c r="H64" s="1941"/>
      <c r="K64" s="1077" t="s">
        <v>254</v>
      </c>
    </row>
    <row r="65" spans="3:8" ht="12.75" customHeight="1">
      <c r="C65" s="1178" t="s">
        <v>1418</v>
      </c>
      <c r="D65" s="1176" t="s">
        <v>2086</v>
      </c>
      <c r="E65" s="1941" t="s">
        <v>4319</v>
      </c>
      <c r="F65" s="1941"/>
      <c r="G65" s="1941"/>
      <c r="H65" s="1941"/>
    </row>
    <row r="66" spans="3:8" ht="7.5" customHeight="1">
      <c r="E66" s="1941"/>
      <c r="F66" s="1941"/>
      <c r="G66" s="1941"/>
      <c r="H66" s="1941"/>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86" t="s">
        <v>3688</v>
      </c>
      <c r="C1" s="1987"/>
      <c r="D1" s="1987"/>
      <c r="E1" s="1987"/>
      <c r="F1" s="1987"/>
      <c r="G1" s="1987"/>
      <c r="H1" s="1987"/>
      <c r="I1" s="1988"/>
    </row>
    <row r="2" spans="2:13">
      <c r="B2" s="1989" t="s">
        <v>3689</v>
      </c>
      <c r="C2" s="1990"/>
      <c r="D2" s="1990"/>
      <c r="E2" s="1990" t="s">
        <v>3690</v>
      </c>
      <c r="F2" s="1990"/>
      <c r="G2" s="1990"/>
      <c r="H2" s="1990" t="s">
        <v>647</v>
      </c>
      <c r="I2" s="1991"/>
      <c r="J2" s="653" t="s">
        <v>3525</v>
      </c>
      <c r="K2" s="653"/>
      <c r="L2" s="654"/>
      <c r="M2" s="654"/>
    </row>
    <row r="3" spans="2:13">
      <c r="B3" s="1992" t="str">
        <f>'Closing term sheet'!C8</f>
        <v>Arbor Trace II Lake Park, LP</v>
      </c>
      <c r="C3" s="1993"/>
      <c r="D3" s="1994"/>
      <c r="E3" s="1995"/>
      <c r="F3" s="1996"/>
      <c r="G3" s="1997"/>
      <c r="H3" s="1998" t="str">
        <f>'Preview term'!E15</f>
        <v>Arbor Trace Apartments Phase II</v>
      </c>
      <c r="I3" s="1999"/>
      <c r="K3" s="651"/>
    </row>
    <row r="4" spans="2:13" ht="15" customHeight="1">
      <c r="D4" s="921"/>
      <c r="E4" s="921"/>
      <c r="F4" s="921"/>
      <c r="G4" s="921"/>
      <c r="H4" s="921"/>
      <c r="I4" s="921"/>
      <c r="K4" s="651"/>
    </row>
    <row r="5" spans="2:13">
      <c r="B5" s="1973" t="s">
        <v>3691</v>
      </c>
      <c r="C5" s="1974"/>
      <c r="D5" s="655"/>
      <c r="H5" s="1984">
        <f>'Preview term'!E9</f>
        <v>0</v>
      </c>
      <c r="I5" s="1985"/>
    </row>
    <row r="6" spans="2:13" ht="7.5" customHeight="1">
      <c r="B6" s="707"/>
      <c r="C6" s="655"/>
      <c r="D6" s="655"/>
      <c r="E6" s="655"/>
      <c r="F6" s="655"/>
      <c r="G6" s="655"/>
      <c r="H6" s="655"/>
      <c r="I6" s="708"/>
    </row>
    <row r="7" spans="2:13">
      <c r="B7" s="726" t="s">
        <v>3692</v>
      </c>
      <c r="C7" s="727"/>
      <c r="D7" s="655"/>
      <c r="E7" s="657" t="s">
        <v>3693</v>
      </c>
      <c r="F7" s="655"/>
      <c r="G7" s="655"/>
      <c r="H7" s="655"/>
      <c r="I7" s="729" t="str">
        <f>'Closing term sheet'!D12</f>
        <v>&lt;&lt;Select&gt;&gt;</v>
      </c>
    </row>
    <row r="8" spans="2:13" ht="7.5" customHeight="1">
      <c r="B8" s="707"/>
      <c r="C8" s="655"/>
      <c r="D8" s="655"/>
      <c r="E8" s="655"/>
      <c r="F8" s="655"/>
      <c r="G8" s="655"/>
      <c r="H8" s="655"/>
      <c r="I8" s="708"/>
    </row>
    <row r="9" spans="2:13">
      <c r="B9" s="709" t="s">
        <v>3694</v>
      </c>
      <c r="C9" s="655"/>
      <c r="D9" s="656"/>
      <c r="E9" s="655"/>
      <c r="F9" s="655"/>
      <c r="G9" s="655"/>
      <c r="H9" s="655"/>
      <c r="I9" s="708"/>
    </row>
    <row r="10" spans="2:13">
      <c r="B10" s="709" t="s">
        <v>3695</v>
      </c>
      <c r="C10" s="655"/>
      <c r="D10" s="655"/>
      <c r="E10" s="655"/>
      <c r="F10" s="655"/>
      <c r="G10" s="655"/>
      <c r="H10" s="655"/>
      <c r="I10" s="729" t="s">
        <v>3424</v>
      </c>
    </row>
    <row r="11" spans="2:13">
      <c r="B11" s="707"/>
      <c r="C11" s="728"/>
      <c r="D11" s="655"/>
      <c r="E11" s="657" t="s">
        <v>3696</v>
      </c>
      <c r="F11" s="655"/>
      <c r="G11" s="655"/>
      <c r="H11" s="655"/>
      <c r="I11" s="708"/>
    </row>
    <row r="12" spans="2:13" ht="7.5" customHeight="1">
      <c r="B12" s="709"/>
      <c r="C12" s="655"/>
      <c r="D12" s="655"/>
      <c r="E12" s="655"/>
      <c r="F12" s="656"/>
      <c r="G12" s="655"/>
      <c r="H12" s="655"/>
      <c r="I12" s="708"/>
    </row>
    <row r="13" spans="2:13">
      <c r="B13" s="709" t="s">
        <v>3802</v>
      </c>
      <c r="C13" s="655"/>
      <c r="D13" s="655"/>
      <c r="E13" s="655"/>
      <c r="F13" s="652"/>
      <c r="G13" s="655"/>
      <c r="H13" s="655"/>
      <c r="I13" s="730"/>
    </row>
    <row r="14" spans="2:13">
      <c r="B14" s="710" t="s">
        <v>3801</v>
      </c>
      <c r="C14" s="655"/>
      <c r="D14" s="655"/>
      <c r="E14" s="725" t="s">
        <v>4021</v>
      </c>
      <c r="F14" s="655"/>
      <c r="G14" s="655"/>
      <c r="H14" s="655"/>
      <c r="I14" s="730"/>
    </row>
    <row r="15" spans="2:13" ht="7.5" customHeight="1">
      <c r="B15" s="707"/>
      <c r="C15" s="655"/>
      <c r="D15" s="655"/>
      <c r="E15" s="655"/>
      <c r="F15" s="655"/>
      <c r="G15" s="655"/>
      <c r="H15" s="655"/>
      <c r="I15" s="708"/>
    </row>
    <row r="16" spans="2:13">
      <c r="B16" s="709" t="s">
        <v>3697</v>
      </c>
      <c r="C16" s="655"/>
      <c r="D16" s="655"/>
      <c r="E16" s="655"/>
      <c r="F16" s="655"/>
      <c r="G16" s="655"/>
      <c r="H16" s="655"/>
      <c r="I16" s="729" t="s">
        <v>3424</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3698</v>
      </c>
      <c r="C20" s="655"/>
      <c r="D20" s="699">
        <v>2</v>
      </c>
      <c r="F20" s="655"/>
      <c r="G20" s="652" t="s">
        <v>3699</v>
      </c>
      <c r="H20" s="655"/>
      <c r="I20" s="715">
        <v>2</v>
      </c>
    </row>
    <row r="21" spans="2:9">
      <c r="B21" s="707"/>
      <c r="C21" s="725" t="s">
        <v>3700</v>
      </c>
      <c r="D21" s="661"/>
      <c r="E21" s="661"/>
      <c r="F21" s="661"/>
      <c r="H21" s="661" t="s">
        <v>3701</v>
      </c>
      <c r="I21" s="708"/>
    </row>
    <row r="22" spans="2:9">
      <c r="B22" s="707"/>
      <c r="C22" s="725" t="s">
        <v>3702</v>
      </c>
      <c r="D22" s="661"/>
      <c r="E22" s="661"/>
      <c r="F22" s="661"/>
      <c r="H22" s="661" t="s">
        <v>3703</v>
      </c>
      <c r="I22" s="708"/>
    </row>
    <row r="23" spans="2:9">
      <c r="B23" s="707"/>
      <c r="C23" s="725" t="s">
        <v>3704</v>
      </c>
      <c r="D23" s="661"/>
      <c r="E23" s="661"/>
      <c r="F23" s="661"/>
      <c r="H23" s="661" t="s">
        <v>3705</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3800</v>
      </c>
      <c r="C27" s="655"/>
      <c r="D27" s="700"/>
      <c r="F27" s="732" t="s">
        <v>3706</v>
      </c>
      <c r="H27" s="655"/>
      <c r="I27" s="708"/>
    </row>
    <row r="28" spans="2:9">
      <c r="B28" s="724" t="s">
        <v>3707</v>
      </c>
      <c r="C28" s="661"/>
      <c r="D28" s="661" t="s">
        <v>3708</v>
      </c>
      <c r="E28" s="655"/>
      <c r="F28" s="1975" t="str">
        <f>'Closing term sheet'!C30</f>
        <v>4700 Rolling Pine Drive</v>
      </c>
      <c r="G28" s="1976"/>
      <c r="H28" s="1976"/>
      <c r="I28" s="1977"/>
    </row>
    <row r="29" spans="2:9">
      <c r="B29" s="724" t="s">
        <v>3709</v>
      </c>
      <c r="D29" s="661" t="s">
        <v>3710</v>
      </c>
      <c r="E29" s="655"/>
      <c r="F29" s="1975"/>
      <c r="G29" s="1976"/>
      <c r="H29" s="1976"/>
      <c r="I29" s="1977"/>
    </row>
    <row r="30" spans="2:9">
      <c r="B30" s="724" t="s">
        <v>3711</v>
      </c>
      <c r="D30" s="655"/>
      <c r="E30" s="655"/>
      <c r="F30" s="1975"/>
      <c r="G30" s="1976"/>
      <c r="H30" s="1976"/>
      <c r="I30" s="1977"/>
    </row>
    <row r="31" spans="2:9" ht="7.5" customHeight="1">
      <c r="B31" s="707"/>
      <c r="C31" s="655"/>
      <c r="D31" s="655"/>
      <c r="E31" s="655"/>
      <c r="F31" s="655"/>
      <c r="G31" s="655"/>
      <c r="H31" s="655"/>
      <c r="I31" s="708"/>
    </row>
    <row r="32" spans="2:9">
      <c r="B32" s="722" t="s">
        <v>648</v>
      </c>
      <c r="C32" s="1978" t="str">
        <f>'Part I-Project Information'!F28</f>
        <v>Lake Park</v>
      </c>
      <c r="D32" s="1979"/>
      <c r="E32" s="660" t="s">
        <v>1886</v>
      </c>
      <c r="F32" s="698" t="s">
        <v>889</v>
      </c>
      <c r="G32" s="660" t="s">
        <v>3712</v>
      </c>
      <c r="H32" s="702">
        <f>'Part I-Project Information'!J28</f>
        <v>316364952</v>
      </c>
      <c r="I32" s="708"/>
    </row>
    <row r="33" spans="2:9">
      <c r="B33" s="722" t="s">
        <v>649</v>
      </c>
      <c r="C33" s="1978" t="str">
        <f>'Part I-Project Information'!J29</f>
        <v>Lowndes</v>
      </c>
      <c r="D33" s="1979"/>
      <c r="E33" s="655"/>
      <c r="F33" s="655"/>
      <c r="G33" s="655"/>
      <c r="H33" s="655"/>
      <c r="I33" s="708"/>
    </row>
    <row r="34" spans="2:9">
      <c r="B34" s="723" t="s">
        <v>3713</v>
      </c>
      <c r="C34" s="1980">
        <f>'Subsidy Layering WS'!D12</f>
        <v>42</v>
      </c>
      <c r="D34" s="1981"/>
      <c r="E34" s="655"/>
      <c r="F34" s="657" t="s">
        <v>3714</v>
      </c>
      <c r="G34" s="655"/>
      <c r="H34" s="655"/>
      <c r="I34" s="708"/>
    </row>
    <row r="35" spans="2:9">
      <c r="B35" s="723" t="s">
        <v>4308</v>
      </c>
      <c r="C35" s="1982">
        <f>'Closing term sheet'!D64</f>
        <v>0</v>
      </c>
      <c r="D35" s="1983"/>
      <c r="E35" s="655"/>
      <c r="F35" s="657" t="s">
        <v>3715</v>
      </c>
      <c r="G35" s="655"/>
      <c r="H35" s="655"/>
      <c r="I35" s="708"/>
    </row>
    <row r="36" spans="2:9">
      <c r="B36" s="716" t="s">
        <v>3716</v>
      </c>
      <c r="C36" s="659"/>
      <c r="D36" s="701"/>
      <c r="E36" s="655"/>
      <c r="F36" s="657" t="s">
        <v>3717</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7" t="s">
        <v>3718</v>
      </c>
      <c r="C40" s="1968"/>
      <c r="D40" s="1968"/>
      <c r="E40" s="1968"/>
      <c r="F40" s="1968"/>
      <c r="G40" s="1968"/>
      <c r="H40" s="1968"/>
      <c r="I40" s="1969"/>
    </row>
    <row r="41" spans="2:9" ht="7.5" customHeight="1">
      <c r="B41" s="1963"/>
      <c r="C41" s="1964"/>
      <c r="D41" s="1964"/>
      <c r="E41" s="655"/>
      <c r="F41" s="655"/>
      <c r="G41" s="717"/>
      <c r="H41" s="655"/>
      <c r="I41" s="708"/>
    </row>
    <row r="42" spans="2:9">
      <c r="B42" s="718" t="s">
        <v>3720</v>
      </c>
      <c r="C42" s="655"/>
      <c r="D42" s="703">
        <v>4</v>
      </c>
      <c r="F42" s="655"/>
      <c r="G42" s="1965" t="s">
        <v>3719</v>
      </c>
      <c r="H42" s="1965"/>
      <c r="I42" s="1966"/>
    </row>
    <row r="43" spans="2:9">
      <c r="B43" s="707"/>
      <c r="C43" s="661" t="s">
        <v>3723</v>
      </c>
      <c r="D43" s="661" t="s">
        <v>3724</v>
      </c>
      <c r="F43" s="655"/>
      <c r="G43" s="933" t="s">
        <v>3721</v>
      </c>
      <c r="H43" s="655"/>
      <c r="I43" s="719">
        <f>Overview!C13</f>
        <v>42</v>
      </c>
    </row>
    <row r="44" spans="2:9">
      <c r="B44" s="707"/>
      <c r="C44" s="661" t="s">
        <v>3725</v>
      </c>
      <c r="D44" s="661" t="s">
        <v>3726</v>
      </c>
      <c r="F44" s="655"/>
      <c r="G44" s="720" t="s">
        <v>3722</v>
      </c>
      <c r="H44" s="655"/>
      <c r="I44" s="719">
        <f>C34</f>
        <v>42</v>
      </c>
    </row>
    <row r="45" spans="2:9">
      <c r="B45" s="724"/>
      <c r="C45" s="661" t="s">
        <v>3727</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3728</v>
      </c>
      <c r="C49" s="655"/>
      <c r="D49" s="655"/>
      <c r="E49" s="655"/>
      <c r="F49" s="655"/>
      <c r="G49" s="655"/>
      <c r="H49" s="655"/>
      <c r="I49" s="708"/>
    </row>
    <row r="50" spans="2:9" ht="7.5" customHeight="1">
      <c r="B50" s="707"/>
      <c r="C50" s="655"/>
      <c r="D50" s="655"/>
      <c r="E50" s="655"/>
      <c r="F50" s="655"/>
      <c r="G50" s="655"/>
      <c r="H50" s="655"/>
      <c r="I50" s="708"/>
    </row>
    <row r="51" spans="2:9">
      <c r="B51" s="709" t="s">
        <v>3729</v>
      </c>
      <c r="D51" s="655"/>
      <c r="E51" s="655"/>
      <c r="F51" s="655"/>
      <c r="G51" s="655"/>
      <c r="H51" s="655"/>
      <c r="I51" s="700"/>
    </row>
    <row r="52" spans="2:9" ht="7.5" customHeight="1">
      <c r="B52" s="707"/>
      <c r="C52" s="655"/>
      <c r="D52" s="655"/>
      <c r="E52" s="655"/>
      <c r="F52" s="655"/>
      <c r="G52" s="655"/>
      <c r="H52" s="655"/>
      <c r="I52" s="708"/>
    </row>
    <row r="53" spans="2:9">
      <c r="B53" s="707" t="s">
        <v>3730</v>
      </c>
      <c r="D53" s="655"/>
      <c r="E53" s="655"/>
      <c r="F53" s="655" t="s">
        <v>3803</v>
      </c>
      <c r="G53" s="655"/>
      <c r="H53" s="655"/>
      <c r="I53" s="704"/>
    </row>
    <row r="54" spans="2:9">
      <c r="B54" s="707"/>
      <c r="E54" s="655"/>
      <c r="F54" s="655" t="s">
        <v>3804</v>
      </c>
      <c r="G54" s="655"/>
      <c r="H54" s="655"/>
      <c r="I54" s="704"/>
    </row>
    <row r="55" spans="2:9">
      <c r="B55" s="707"/>
      <c r="E55" s="655"/>
      <c r="F55" s="655" t="s">
        <v>3805</v>
      </c>
      <c r="G55" s="655"/>
      <c r="H55" s="655"/>
      <c r="I55" s="704"/>
    </row>
    <row r="56" spans="2:9">
      <c r="B56" s="707"/>
      <c r="E56" s="655"/>
      <c r="F56" s="652" t="s">
        <v>3806</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7" t="s">
        <v>3731</v>
      </c>
      <c r="C60" s="1968"/>
      <c r="D60" s="1968"/>
      <c r="E60" s="1968"/>
      <c r="F60" s="1968"/>
      <c r="G60" s="1968"/>
      <c r="H60" s="1968"/>
      <c r="I60" s="1969"/>
    </row>
    <row r="61" spans="2:9">
      <c r="B61" s="707"/>
      <c r="C61" s="655"/>
      <c r="D61" s="655"/>
      <c r="E61" s="655"/>
      <c r="F61" s="655"/>
      <c r="G61" s="655"/>
      <c r="H61" s="655"/>
      <c r="I61" s="708"/>
    </row>
    <row r="62" spans="2:9">
      <c r="B62" s="709" t="s">
        <v>3732</v>
      </c>
      <c r="C62" s="655"/>
      <c r="D62" s="655"/>
      <c r="E62" s="655"/>
      <c r="F62" s="655"/>
      <c r="G62" s="655"/>
      <c r="H62" s="655"/>
      <c r="I62" s="708"/>
    </row>
    <row r="63" spans="2:9">
      <c r="B63" s="707"/>
      <c r="C63" s="652" t="s">
        <v>3733</v>
      </c>
      <c r="D63" s="655"/>
      <c r="E63" s="655"/>
      <c r="F63" s="1961">
        <f>'Closing term sheet'!D64</f>
        <v>0</v>
      </c>
      <c r="G63" s="1961"/>
      <c r="H63" s="655"/>
      <c r="I63" s="708"/>
    </row>
    <row r="64" spans="2:9">
      <c r="B64" s="707"/>
      <c r="C64" s="652" t="s">
        <v>3734</v>
      </c>
      <c r="D64" s="655"/>
      <c r="E64" s="655"/>
      <c r="F64" s="1970">
        <f>'Part III-Sources of Funds'!I42+'Part III-Sources of Funds'!I43</f>
        <v>0</v>
      </c>
      <c r="G64" s="1970"/>
      <c r="H64" s="655"/>
      <c r="I64" s="708"/>
    </row>
    <row r="65" spans="2:9">
      <c r="B65" s="707"/>
      <c r="C65" s="652" t="s">
        <v>3735</v>
      </c>
      <c r="D65" s="655"/>
      <c r="E65" s="655"/>
      <c r="F65" s="1971"/>
      <c r="G65" s="1971"/>
      <c r="H65" s="655"/>
      <c r="I65" s="708"/>
    </row>
    <row r="66" spans="2:9">
      <c r="B66" s="707"/>
      <c r="C66" s="661" t="s">
        <v>3736</v>
      </c>
      <c r="D66" s="655"/>
      <c r="E66" s="655"/>
      <c r="F66" s="1970">
        <v>11000</v>
      </c>
      <c r="G66" s="1970"/>
      <c r="H66" s="655"/>
      <c r="I66" s="708"/>
    </row>
    <row r="67" spans="2:9">
      <c r="B67" s="707"/>
      <c r="C67" s="652" t="s">
        <v>3737</v>
      </c>
      <c r="D67" s="655"/>
      <c r="E67" s="655"/>
      <c r="F67" s="1962"/>
      <c r="G67" s="1962"/>
      <c r="H67" s="655"/>
      <c r="I67" s="708"/>
    </row>
    <row r="68" spans="2:9">
      <c r="B68" s="707"/>
      <c r="C68" s="657" t="s">
        <v>3738</v>
      </c>
      <c r="D68" s="655"/>
      <c r="E68" s="655"/>
      <c r="F68" s="1957">
        <f>SUM(F63:G67)</f>
        <v>11000</v>
      </c>
      <c r="G68" s="1957"/>
      <c r="H68" s="655"/>
      <c r="I68" s="708"/>
    </row>
    <row r="69" spans="2:9">
      <c r="B69" s="707"/>
      <c r="C69" s="655"/>
      <c r="D69" s="655"/>
      <c r="E69" s="655"/>
      <c r="F69" s="1972"/>
      <c r="G69" s="1972"/>
      <c r="H69" s="655"/>
      <c r="I69" s="708"/>
    </row>
    <row r="70" spans="2:9">
      <c r="B70" s="709" t="s">
        <v>3739</v>
      </c>
      <c r="C70" s="655"/>
      <c r="D70" s="655"/>
      <c r="E70" s="655"/>
      <c r="F70" s="655"/>
      <c r="G70" s="655"/>
      <c r="H70" s="655"/>
      <c r="I70" s="708"/>
    </row>
    <row r="71" spans="2:9">
      <c r="B71" s="707"/>
      <c r="C71" s="652" t="s">
        <v>3740</v>
      </c>
      <c r="D71" s="655"/>
      <c r="E71" s="655"/>
      <c r="F71" s="1961"/>
      <c r="G71" s="1961"/>
      <c r="H71" s="655"/>
      <c r="I71" s="708"/>
    </row>
    <row r="72" spans="2:9">
      <c r="B72" s="707"/>
      <c r="C72" s="652" t="s">
        <v>3741</v>
      </c>
      <c r="D72" s="655"/>
      <c r="E72" s="655"/>
      <c r="F72" s="1959"/>
      <c r="G72" s="1959"/>
      <c r="H72" s="655"/>
      <c r="I72" s="708"/>
    </row>
    <row r="73" spans="2:9">
      <c r="B73" s="707"/>
      <c r="C73" s="652" t="s">
        <v>3742</v>
      </c>
      <c r="D73" s="655"/>
      <c r="E73" s="655"/>
      <c r="F73" s="1960" t="s">
        <v>3606</v>
      </c>
      <c r="G73" s="1958"/>
      <c r="H73" s="655"/>
      <c r="I73" s="708"/>
    </row>
    <row r="74" spans="2:9">
      <c r="B74" s="707"/>
      <c r="C74" s="657" t="s">
        <v>3743</v>
      </c>
      <c r="D74" s="655"/>
      <c r="E74" s="655"/>
      <c r="F74" s="1957">
        <f>+SUM(F71:G73)</f>
        <v>0</v>
      </c>
      <c r="G74" s="1957"/>
      <c r="H74" s="655"/>
      <c r="I74" s="708"/>
    </row>
    <row r="75" spans="2:9">
      <c r="B75" s="707"/>
      <c r="C75" s="655"/>
      <c r="D75" s="655"/>
      <c r="E75" s="655"/>
      <c r="F75" s="655"/>
      <c r="G75" s="655"/>
      <c r="H75" s="655"/>
      <c r="I75" s="708"/>
    </row>
    <row r="76" spans="2:9">
      <c r="B76" s="709" t="s">
        <v>3744</v>
      </c>
      <c r="C76" s="655"/>
      <c r="D76" s="655"/>
      <c r="E76" s="655"/>
      <c r="F76" s="655"/>
      <c r="G76" s="655"/>
      <c r="H76" s="655"/>
      <c r="I76" s="708"/>
    </row>
    <row r="77" spans="2:9">
      <c r="B77" s="707"/>
      <c r="C77" s="652" t="s">
        <v>3745</v>
      </c>
      <c r="D77" s="655"/>
      <c r="E77" s="655"/>
      <c r="F77" s="1961"/>
      <c r="G77" s="1961"/>
      <c r="H77" s="655"/>
      <c r="I77" s="708"/>
    </row>
    <row r="78" spans="2:9">
      <c r="B78" s="707"/>
      <c r="C78" s="652" t="s">
        <v>3746</v>
      </c>
      <c r="D78" s="655"/>
      <c r="E78" s="655"/>
      <c r="F78" s="1959"/>
      <c r="G78" s="1959"/>
      <c r="H78" s="655"/>
      <c r="I78" s="708"/>
    </row>
    <row r="79" spans="2:9">
      <c r="B79" s="707"/>
      <c r="C79" s="652" t="s">
        <v>3747</v>
      </c>
      <c r="D79" s="655"/>
      <c r="E79" s="655"/>
      <c r="F79" s="1962"/>
      <c r="G79" s="1962"/>
      <c r="H79" s="655"/>
      <c r="I79" s="708"/>
    </row>
    <row r="80" spans="2:9">
      <c r="B80" s="707"/>
      <c r="C80" s="657" t="s">
        <v>3748</v>
      </c>
      <c r="D80" s="655"/>
      <c r="E80" s="655"/>
      <c r="F80" s="1957">
        <f>+SUM(F77:G79)</f>
        <v>0</v>
      </c>
      <c r="G80" s="1957"/>
      <c r="H80" s="655"/>
      <c r="I80" s="708"/>
    </row>
    <row r="81" spans="2:9">
      <c r="B81" s="707"/>
      <c r="C81" s="655"/>
      <c r="D81" s="655"/>
      <c r="E81" s="655"/>
      <c r="F81" s="655"/>
      <c r="G81" s="655"/>
      <c r="H81" s="655"/>
      <c r="I81" s="708"/>
    </row>
    <row r="82" spans="2:9">
      <c r="B82" s="718" t="s">
        <v>3749</v>
      </c>
      <c r="C82" s="652"/>
      <c r="D82" s="655"/>
      <c r="E82" s="655"/>
      <c r="F82" s="1958">
        <f>'Part III-Sources of Funds'!I44+'Part III-Sources of Funds'!I45</f>
        <v>4820057</v>
      </c>
      <c r="G82" s="1958"/>
      <c r="H82" s="655"/>
      <c r="I82" s="708"/>
    </row>
    <row r="83" spans="2:9">
      <c r="B83" s="707"/>
      <c r="C83" s="655"/>
      <c r="D83" s="655"/>
      <c r="E83" s="655"/>
      <c r="F83" s="655"/>
      <c r="G83" s="655"/>
      <c r="H83" s="655"/>
      <c r="I83" s="721" t="s">
        <v>3750</v>
      </c>
    </row>
    <row r="84" spans="2:9">
      <c r="B84" s="709" t="s">
        <v>3751</v>
      </c>
      <c r="C84" s="655"/>
      <c r="D84" s="655"/>
      <c r="E84" s="655"/>
      <c r="F84" s="1958">
        <f>+F82+F80+F74+F68</f>
        <v>4831057</v>
      </c>
      <c r="G84" s="1958"/>
      <c r="H84" s="655"/>
      <c r="I84" s="708"/>
    </row>
    <row r="85" spans="2:9">
      <c r="B85" s="711"/>
      <c r="C85" s="712"/>
      <c r="D85" s="712"/>
      <c r="E85" s="712"/>
      <c r="F85" s="712"/>
      <c r="G85" s="712"/>
      <c r="H85" s="712"/>
      <c r="I85" s="713"/>
    </row>
    <row r="87" spans="2:9">
      <c r="C87" s="662" t="s">
        <v>3421</v>
      </c>
    </row>
    <row r="88" spans="2:9">
      <c r="C88" s="662" t="s">
        <v>3424</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92" customWidth="1"/>
    <col min="2" max="12" width="7.28515625" style="2692" customWidth="1"/>
    <col min="13" max="13" width="8.7109375" style="2692" customWidth="1"/>
    <col min="14" max="15" width="5.85546875" style="2692" customWidth="1"/>
    <col min="16" max="16384" width="8.85546875" style="2692"/>
  </cols>
  <sheetData>
    <row r="1" spans="1:26" ht="19.5">
      <c r="N1" s="2693" t="s">
        <v>1573</v>
      </c>
      <c r="O1" s="2693"/>
      <c r="P1" s="2693"/>
      <c r="Q1" s="2693"/>
      <c r="R1" s="2693"/>
      <c r="S1" s="2693"/>
      <c r="T1" s="2693"/>
      <c r="U1" s="2693"/>
      <c r="V1" s="2693"/>
      <c r="W1" s="2693"/>
      <c r="X1" s="2693"/>
      <c r="Y1" s="2693"/>
      <c r="Z1" s="2693"/>
    </row>
    <row r="3" spans="1:26">
      <c r="N3" s="2694" t="s">
        <v>1574</v>
      </c>
      <c r="O3" s="2694"/>
      <c r="P3" s="2694"/>
      <c r="Q3" s="2694"/>
      <c r="R3" s="2694"/>
      <c r="S3" s="2694"/>
      <c r="T3" s="2694"/>
      <c r="U3" s="2694"/>
      <c r="V3" s="2694"/>
      <c r="W3" s="2694"/>
      <c r="X3" s="2694"/>
      <c r="Y3" s="2694"/>
      <c r="Z3" s="2694"/>
    </row>
    <row r="4" spans="1:26">
      <c r="N4" s="2695" t="s">
        <v>1575</v>
      </c>
      <c r="O4" s="2695"/>
      <c r="P4" s="2695"/>
      <c r="Q4" s="2695"/>
      <c r="R4" s="2695"/>
      <c r="S4" s="2695"/>
      <c r="T4" s="2695"/>
      <c r="U4" s="2695"/>
      <c r="V4" s="2695"/>
      <c r="W4" s="2695"/>
      <c r="X4" s="2695"/>
      <c r="Y4" s="2695"/>
      <c r="Z4" s="2695"/>
    </row>
    <row r="5" spans="1:26">
      <c r="B5" s="2696"/>
      <c r="C5" s="2696"/>
      <c r="D5" s="2696"/>
      <c r="E5" s="2696"/>
      <c r="F5" s="2696"/>
      <c r="G5" s="2696"/>
      <c r="H5" s="2696"/>
      <c r="I5" s="2696"/>
      <c r="J5" s="2696"/>
      <c r="K5" s="2696"/>
      <c r="L5" s="2696"/>
      <c r="M5" s="2696"/>
      <c r="N5" s="2697" t="s">
        <v>739</v>
      </c>
    </row>
    <row r="6" spans="1:26" ht="57" customHeight="1">
      <c r="A6" s="2698" t="s">
        <v>3009</v>
      </c>
      <c r="B6" s="2698"/>
      <c r="C6" s="2698"/>
      <c r="D6" s="2698"/>
      <c r="E6" s="2698"/>
      <c r="F6" s="2698"/>
      <c r="G6" s="2698"/>
      <c r="H6" s="2698"/>
      <c r="I6" s="2698"/>
      <c r="J6" s="2698"/>
      <c r="K6" s="2698"/>
      <c r="L6" s="2698"/>
      <c r="M6" s="2698"/>
    </row>
    <row r="7" spans="1:26" ht="11.45" customHeight="1">
      <c r="A7" s="2696"/>
      <c r="B7" s="2696"/>
      <c r="C7" s="2696"/>
      <c r="D7" s="2696"/>
      <c r="E7" s="2696"/>
      <c r="F7" s="2696"/>
      <c r="G7" s="2696"/>
      <c r="H7" s="2696"/>
      <c r="I7" s="2696"/>
      <c r="J7" s="2696"/>
      <c r="K7" s="2696"/>
      <c r="L7" s="2696"/>
      <c r="M7" s="2696"/>
    </row>
    <row r="8" spans="1:26">
      <c r="A8" s="2696" t="s">
        <v>744</v>
      </c>
      <c r="B8" s="2696"/>
      <c r="C8" s="2696"/>
      <c r="D8" s="2696"/>
      <c r="E8" s="2696"/>
      <c r="F8" s="2696"/>
      <c r="G8" s="2696"/>
      <c r="H8" s="2696"/>
      <c r="I8" s="2696"/>
      <c r="J8" s="2696"/>
      <c r="K8" s="2696"/>
      <c r="L8" s="2696"/>
      <c r="M8" s="2696"/>
    </row>
    <row r="9" spans="1:26" ht="11.45" customHeight="1">
      <c r="A9" s="2696"/>
      <c r="B9" s="2696"/>
      <c r="C9" s="2696"/>
      <c r="D9" s="2696"/>
      <c r="E9" s="2696"/>
      <c r="F9" s="2696"/>
      <c r="G9" s="2696"/>
      <c r="H9" s="2696"/>
      <c r="I9" s="2696"/>
      <c r="J9" s="2696"/>
      <c r="K9" s="2696"/>
      <c r="L9" s="2696"/>
      <c r="M9" s="2696"/>
    </row>
    <row r="10" spans="1:26">
      <c r="A10" s="2699" t="s">
        <v>2002</v>
      </c>
      <c r="B10" s="2699"/>
      <c r="C10" s="2699"/>
      <c r="D10" s="2699"/>
      <c r="E10" s="2699"/>
      <c r="F10" s="2699"/>
      <c r="G10" s="2699"/>
      <c r="H10" s="2699"/>
      <c r="I10" s="2699"/>
      <c r="J10" s="2699"/>
      <c r="K10" s="2699"/>
      <c r="L10" s="2699"/>
      <c r="M10" s="2699"/>
    </row>
    <row r="11" spans="1:26" ht="6.75" customHeight="1">
      <c r="A11" s="2699"/>
      <c r="B11" s="2699"/>
      <c r="C11" s="2699"/>
      <c r="D11" s="2699"/>
      <c r="E11" s="2699"/>
      <c r="F11" s="2699"/>
      <c r="G11" s="2699"/>
      <c r="H11" s="2699"/>
      <c r="I11" s="2699"/>
      <c r="J11" s="2699"/>
      <c r="K11" s="2699"/>
      <c r="L11" s="2699"/>
      <c r="M11" s="2699"/>
    </row>
    <row r="12" spans="1:26" ht="44.25" customHeight="1">
      <c r="A12" s="2700" t="s">
        <v>4239</v>
      </c>
      <c r="B12" s="2700"/>
      <c r="C12" s="2700"/>
      <c r="D12" s="2700"/>
      <c r="E12" s="2700"/>
      <c r="F12" s="2700"/>
      <c r="G12" s="2700"/>
      <c r="H12" s="2700"/>
      <c r="I12" s="2700"/>
      <c r="J12" s="2700"/>
      <c r="K12" s="2700"/>
      <c r="L12" s="2700"/>
      <c r="M12" s="2700"/>
    </row>
    <row r="13" spans="1:26" ht="3" customHeight="1">
      <c r="A13" s="2699"/>
      <c r="B13" s="2699"/>
      <c r="C13" s="2699"/>
      <c r="D13" s="2699"/>
      <c r="E13" s="2699"/>
      <c r="F13" s="2699"/>
      <c r="G13" s="2699"/>
      <c r="H13" s="2699"/>
      <c r="I13" s="2699"/>
      <c r="J13" s="2699"/>
      <c r="K13" s="2699"/>
      <c r="L13" s="2699"/>
      <c r="M13" s="2699"/>
    </row>
    <row r="14" spans="1:26" ht="87.75" customHeight="1">
      <c r="A14" s="2701" t="s">
        <v>1824</v>
      </c>
      <c r="B14" s="2702" t="s">
        <v>4055</v>
      </c>
      <c r="C14" s="2702"/>
      <c r="D14" s="2702"/>
      <c r="E14" s="2702"/>
      <c r="F14" s="2702"/>
      <c r="G14" s="2702"/>
      <c r="H14" s="2702"/>
      <c r="I14" s="2702"/>
      <c r="J14" s="2702"/>
      <c r="K14" s="2702"/>
      <c r="L14" s="2702"/>
      <c r="M14" s="2702"/>
    </row>
    <row r="15" spans="1:26" ht="57" customHeight="1">
      <c r="A15" s="2701" t="s">
        <v>1825</v>
      </c>
      <c r="B15" s="2702" t="s">
        <v>3010</v>
      </c>
      <c r="C15" s="2702"/>
      <c r="D15" s="2702"/>
      <c r="E15" s="2702"/>
      <c r="F15" s="2702"/>
      <c r="G15" s="2702"/>
      <c r="H15" s="2702"/>
      <c r="I15" s="2702"/>
      <c r="J15" s="2702"/>
      <c r="K15" s="2702"/>
      <c r="L15" s="2702"/>
      <c r="M15" s="2702"/>
    </row>
    <row r="16" spans="1:26" ht="117.75" customHeight="1">
      <c r="A16" s="2701" t="s">
        <v>1826</v>
      </c>
      <c r="B16" s="2702" t="s">
        <v>674</v>
      </c>
      <c r="C16" s="2702"/>
      <c r="D16" s="2702"/>
      <c r="E16" s="2702"/>
      <c r="F16" s="2702"/>
      <c r="G16" s="2702"/>
      <c r="H16" s="2702"/>
      <c r="I16" s="2702"/>
      <c r="J16" s="2702"/>
      <c r="K16" s="2702"/>
      <c r="L16" s="2702"/>
      <c r="M16" s="2702"/>
    </row>
    <row r="17" spans="1:13" ht="147.75" customHeight="1">
      <c r="A17" s="2701" t="s">
        <v>2476</v>
      </c>
      <c r="B17" s="2702" t="s">
        <v>4054</v>
      </c>
      <c r="C17" s="2702"/>
      <c r="D17" s="2702"/>
      <c r="E17" s="2702"/>
      <c r="F17" s="2702"/>
      <c r="G17" s="2702"/>
      <c r="H17" s="2702"/>
      <c r="I17" s="2702"/>
      <c r="J17" s="2702"/>
      <c r="K17" s="2702"/>
      <c r="L17" s="2702"/>
      <c r="M17" s="2702"/>
    </row>
    <row r="18" spans="1:13" ht="42" customHeight="1">
      <c r="A18" s="2701" t="s">
        <v>1625</v>
      </c>
      <c r="B18" s="2702" t="s">
        <v>718</v>
      </c>
      <c r="C18" s="2702"/>
      <c r="D18" s="2702"/>
      <c r="E18" s="2702"/>
      <c r="F18" s="2702"/>
      <c r="G18" s="2702"/>
      <c r="H18" s="2702"/>
      <c r="I18" s="2702"/>
      <c r="J18" s="2702"/>
      <c r="K18" s="2702"/>
      <c r="L18" s="2702"/>
      <c r="M18" s="2702"/>
    </row>
    <row r="19" spans="1:13" ht="177" customHeight="1">
      <c r="A19" s="2701" t="s">
        <v>1626</v>
      </c>
      <c r="B19" s="2702" t="s">
        <v>4053</v>
      </c>
      <c r="C19" s="2702"/>
      <c r="D19" s="2702"/>
      <c r="E19" s="2702"/>
      <c r="F19" s="2702"/>
      <c r="G19" s="2702"/>
      <c r="H19" s="2702"/>
      <c r="I19" s="2702"/>
      <c r="J19" s="2702"/>
      <c r="K19" s="2702"/>
      <c r="L19" s="2702"/>
      <c r="M19" s="2702"/>
    </row>
    <row r="20" spans="1:13" ht="74.25" customHeight="1">
      <c r="A20" s="2701" t="s">
        <v>100</v>
      </c>
      <c r="B20" s="2703" t="s">
        <v>4240</v>
      </c>
      <c r="C20" s="2703"/>
      <c r="D20" s="2703"/>
      <c r="E20" s="2703"/>
      <c r="F20" s="2703"/>
      <c r="G20" s="2703"/>
      <c r="H20" s="2703"/>
      <c r="I20" s="2703"/>
      <c r="J20" s="2703"/>
      <c r="K20" s="2703"/>
      <c r="L20" s="2703"/>
      <c r="M20" s="2703"/>
    </row>
    <row r="21" spans="1:13" ht="61.5" customHeight="1">
      <c r="A21" s="2701" t="s">
        <v>534</v>
      </c>
      <c r="B21" s="2702" t="s">
        <v>4059</v>
      </c>
      <c r="C21" s="2702"/>
      <c r="D21" s="2702"/>
      <c r="E21" s="2702"/>
      <c r="F21" s="2702"/>
      <c r="G21" s="2702"/>
      <c r="H21" s="2702"/>
      <c r="I21" s="2702"/>
      <c r="J21" s="2702"/>
      <c r="K21" s="2702"/>
      <c r="L21" s="2702"/>
      <c r="M21" s="2702"/>
    </row>
    <row r="22" spans="1:13" ht="32.450000000000003" customHeight="1">
      <c r="A22" s="2701" t="s">
        <v>535</v>
      </c>
      <c r="B22" s="2702" t="s">
        <v>4241</v>
      </c>
      <c r="C22" s="2702"/>
      <c r="D22" s="2702"/>
      <c r="E22" s="2702"/>
      <c r="F22" s="2702"/>
      <c r="G22" s="2702"/>
      <c r="H22" s="2702"/>
      <c r="I22" s="2702"/>
      <c r="J22" s="2702"/>
      <c r="K22" s="2702"/>
      <c r="L22" s="2702"/>
      <c r="M22" s="2702"/>
    </row>
    <row r="23" spans="1:13" ht="1.5" customHeight="1">
      <c r="A23" s="2699"/>
      <c r="B23" s="2699"/>
      <c r="C23" s="2699"/>
      <c r="D23" s="2699"/>
      <c r="E23" s="2699"/>
      <c r="F23" s="2699"/>
      <c r="G23" s="2699"/>
      <c r="H23" s="2699"/>
      <c r="I23" s="2699"/>
      <c r="J23" s="2699"/>
      <c r="K23" s="2699"/>
      <c r="L23" s="2699"/>
      <c r="M23" s="2699"/>
    </row>
    <row r="24" spans="1:13" ht="13.5" customHeight="1">
      <c r="A24" s="2699" t="s">
        <v>1538</v>
      </c>
      <c r="B24" s="2699"/>
      <c r="C24" s="2699"/>
      <c r="D24" s="2699"/>
      <c r="E24" s="2699"/>
      <c r="F24" s="2699"/>
      <c r="G24" s="2699"/>
      <c r="H24" s="2699"/>
      <c r="I24" s="2699"/>
      <c r="J24" s="2699"/>
      <c r="K24" s="2699"/>
      <c r="L24" s="2699"/>
      <c r="M24" s="2699"/>
    </row>
    <row r="25" spans="1:13" ht="3" customHeight="1">
      <c r="A25" s="2699"/>
      <c r="B25" s="2699"/>
      <c r="C25" s="2699"/>
      <c r="D25" s="2699"/>
      <c r="E25" s="2699"/>
      <c r="F25" s="2699"/>
      <c r="G25" s="2699"/>
      <c r="H25" s="2699"/>
      <c r="I25" s="2699"/>
      <c r="J25" s="2699"/>
      <c r="K25" s="2699"/>
      <c r="L25" s="2699"/>
      <c r="M25" s="2699"/>
    </row>
    <row r="26" spans="1:13" ht="28.5" customHeight="1">
      <c r="A26" s="963" t="s">
        <v>1539</v>
      </c>
      <c r="B26" s="2702" t="s">
        <v>4242</v>
      </c>
      <c r="C26" s="2702"/>
      <c r="D26" s="2702"/>
      <c r="E26" s="2702"/>
      <c r="F26" s="2702"/>
      <c r="G26" s="2702"/>
      <c r="H26" s="2702"/>
      <c r="I26" s="2702"/>
      <c r="J26" s="2702"/>
      <c r="K26" s="2702"/>
      <c r="L26" s="2702"/>
      <c r="M26" s="2702"/>
    </row>
    <row r="27" spans="1:13" ht="32.450000000000003" customHeight="1">
      <c r="A27" s="963" t="s">
        <v>1539</v>
      </c>
      <c r="B27" s="2702" t="s">
        <v>4243</v>
      </c>
      <c r="C27" s="2702"/>
      <c r="D27" s="2702"/>
      <c r="E27" s="2702"/>
      <c r="F27" s="2702"/>
      <c r="G27" s="2702"/>
      <c r="H27" s="2702"/>
      <c r="I27" s="2702"/>
      <c r="J27" s="2702"/>
      <c r="K27" s="2702"/>
      <c r="L27" s="2702"/>
      <c r="M27" s="2702"/>
    </row>
    <row r="28" spans="1:13" ht="72.75" customHeight="1">
      <c r="A28" s="963" t="s">
        <v>1539</v>
      </c>
      <c r="B28" s="2702" t="s">
        <v>3011</v>
      </c>
      <c r="C28" s="2702"/>
      <c r="D28" s="2702"/>
      <c r="E28" s="2702"/>
      <c r="F28" s="2702"/>
      <c r="G28" s="2702"/>
      <c r="H28" s="2702"/>
      <c r="I28" s="2702"/>
      <c r="J28" s="2702"/>
      <c r="K28" s="2702"/>
      <c r="L28" s="2702"/>
      <c r="M28" s="2702"/>
    </row>
    <row r="29" spans="1:13" ht="6" customHeight="1">
      <c r="A29" s="2699"/>
      <c r="B29" s="2699"/>
      <c r="C29" s="2699"/>
      <c r="D29" s="2699"/>
      <c r="E29" s="2699"/>
      <c r="F29" s="2699"/>
      <c r="G29" s="2699"/>
      <c r="H29" s="2699"/>
      <c r="I29" s="2699"/>
      <c r="J29" s="2699"/>
      <c r="K29" s="2699"/>
      <c r="L29" s="2699"/>
      <c r="M29" s="2699"/>
    </row>
    <row r="30" spans="1:13" ht="29.25" customHeight="1">
      <c r="A30" s="2702" t="s">
        <v>989</v>
      </c>
      <c r="B30" s="2702"/>
      <c r="C30" s="2702"/>
      <c r="D30" s="2702"/>
      <c r="E30" s="2702"/>
      <c r="F30" s="2702"/>
      <c r="G30" s="2702"/>
      <c r="H30" s="2702"/>
      <c r="I30" s="2702"/>
      <c r="J30" s="2702"/>
      <c r="K30" s="2702"/>
      <c r="L30" s="2702"/>
      <c r="M30" s="2702"/>
    </row>
    <row r="31" spans="1:13" ht="3" customHeight="1">
      <c r="A31" s="2699"/>
      <c r="B31" s="2699"/>
      <c r="C31" s="2699"/>
      <c r="D31" s="2699"/>
      <c r="E31" s="2699"/>
      <c r="F31" s="2699"/>
      <c r="G31" s="2699"/>
      <c r="H31" s="2699"/>
      <c r="I31" s="2699"/>
      <c r="J31" s="2699"/>
      <c r="K31" s="2699"/>
      <c r="L31" s="2699"/>
      <c r="M31" s="2699"/>
    </row>
    <row r="32" spans="1:13" ht="29.25" customHeight="1">
      <c r="A32" s="2702" t="s">
        <v>3012</v>
      </c>
      <c r="B32" s="2702"/>
      <c r="C32" s="2702"/>
      <c r="D32" s="2702"/>
      <c r="E32" s="2702"/>
      <c r="F32" s="2702"/>
      <c r="G32" s="2702"/>
      <c r="H32" s="2702"/>
      <c r="I32" s="2702"/>
      <c r="J32" s="2702"/>
      <c r="K32" s="2702"/>
      <c r="L32" s="2702"/>
      <c r="M32" s="2702"/>
    </row>
    <row r="33" spans="1:13" ht="3" customHeight="1">
      <c r="A33" s="2699"/>
      <c r="B33" s="2699"/>
      <c r="C33" s="2699"/>
      <c r="D33" s="2699"/>
      <c r="E33" s="2699"/>
      <c r="F33" s="2699"/>
      <c r="G33" s="2699"/>
      <c r="H33" s="2699"/>
      <c r="I33" s="2699"/>
      <c r="J33" s="2699"/>
      <c r="K33" s="2699"/>
      <c r="L33" s="2699"/>
      <c r="M33" s="2699"/>
    </row>
    <row r="34" spans="1:13">
      <c r="A34" s="2699" t="s">
        <v>965</v>
      </c>
      <c r="B34" s="2699"/>
      <c r="C34" s="2699"/>
      <c r="D34" s="2699"/>
      <c r="E34" s="2699"/>
      <c r="F34" s="2699"/>
      <c r="G34" s="2699"/>
      <c r="H34" s="2699"/>
      <c r="I34" s="2699"/>
      <c r="J34" s="2699"/>
      <c r="K34" s="2699"/>
      <c r="L34" s="2699"/>
      <c r="M34" s="2699"/>
    </row>
    <row r="35" spans="1:13" ht="6" customHeight="1">
      <c r="A35" s="2704"/>
      <c r="B35" s="2704"/>
      <c r="C35" s="2704"/>
      <c r="D35" s="2704"/>
      <c r="E35" s="2704"/>
      <c r="F35" s="2704"/>
      <c r="G35" s="2704"/>
      <c r="H35" s="2704"/>
      <c r="I35" s="2704"/>
      <c r="J35" s="2704"/>
      <c r="K35" s="2704"/>
      <c r="L35" s="2704"/>
      <c r="M35" s="2704"/>
    </row>
    <row r="36" spans="1:13">
      <c r="A36" s="2705"/>
      <c r="B36" s="2705"/>
      <c r="C36" s="2705"/>
      <c r="D36" s="2705"/>
      <c r="E36" s="2705"/>
      <c r="F36" s="2705"/>
      <c r="G36" s="2706"/>
      <c r="H36" s="2705"/>
      <c r="I36" s="2705"/>
      <c r="J36" s="2705"/>
      <c r="K36" s="2705"/>
      <c r="L36" s="2705"/>
      <c r="M36" s="2705"/>
    </row>
    <row r="37" spans="1:13" ht="12" customHeight="1">
      <c r="A37" s="2707" t="s">
        <v>966</v>
      </c>
      <c r="B37" s="2707"/>
      <c r="C37" s="2707"/>
      <c r="D37" s="2707"/>
      <c r="E37" s="2707"/>
      <c r="F37" s="2707"/>
      <c r="G37" s="2706"/>
      <c r="H37" s="2707" t="s">
        <v>2077</v>
      </c>
      <c r="I37" s="2707"/>
      <c r="J37" s="2707"/>
      <c r="K37" s="2707"/>
      <c r="L37" s="2707"/>
      <c r="M37" s="2707"/>
    </row>
    <row r="38" spans="1:13" ht="6" customHeight="1">
      <c r="A38" s="2706"/>
      <c r="B38" s="2706"/>
      <c r="C38" s="2706"/>
      <c r="D38" s="2706"/>
      <c r="E38" s="2706"/>
      <c r="F38" s="2706"/>
      <c r="G38" s="2706"/>
      <c r="H38" s="2706"/>
      <c r="I38" s="2706"/>
      <c r="J38" s="2706"/>
      <c r="K38" s="2706"/>
      <c r="L38" s="2706"/>
      <c r="M38" s="2706"/>
    </row>
    <row r="39" spans="1:13">
      <c r="A39" s="2705"/>
      <c r="B39" s="2705"/>
      <c r="C39" s="2705"/>
      <c r="D39" s="2705"/>
      <c r="E39" s="2705"/>
      <c r="F39" s="2705"/>
      <c r="G39" s="2706"/>
      <c r="H39" s="2708"/>
      <c r="I39" s="2708"/>
      <c r="J39" s="2708"/>
      <c r="K39" s="2708"/>
      <c r="L39" s="2708"/>
      <c r="M39" s="2708"/>
    </row>
    <row r="40" spans="1:13" ht="12" customHeight="1">
      <c r="A40" s="2707" t="s">
        <v>967</v>
      </c>
      <c r="B40" s="2707"/>
      <c r="C40" s="2707"/>
      <c r="D40" s="2707"/>
      <c r="E40" s="2707"/>
      <c r="F40" s="2707"/>
      <c r="G40" s="2706"/>
      <c r="H40" s="2707" t="s">
        <v>968</v>
      </c>
      <c r="I40" s="2707"/>
      <c r="J40" s="2707"/>
      <c r="K40" s="2707"/>
      <c r="L40" s="2707"/>
      <c r="M40" s="2707"/>
    </row>
    <row r="41" spans="1:13" ht="12" customHeight="1">
      <c r="A41" s="2709"/>
      <c r="B41" s="2709"/>
      <c r="C41" s="2709"/>
      <c r="D41" s="2709"/>
      <c r="E41" s="2709"/>
      <c r="F41" s="2709"/>
      <c r="G41" s="2706"/>
      <c r="H41" s="2709"/>
      <c r="I41" s="2709"/>
      <c r="J41" s="2709"/>
      <c r="K41" s="2709"/>
      <c r="L41" s="2709"/>
      <c r="M41" s="2709"/>
    </row>
    <row r="42" spans="1:13" ht="11.45" customHeight="1">
      <c r="A42" s="2696"/>
      <c r="B42" s="2696"/>
      <c r="C42" s="2696"/>
      <c r="D42" s="2696"/>
      <c r="E42" s="2696"/>
      <c r="F42" s="2696"/>
      <c r="G42" s="2696"/>
      <c r="H42" s="2710" t="s">
        <v>969</v>
      </c>
      <c r="I42" s="2710"/>
      <c r="J42" s="2710"/>
      <c r="K42" s="2710"/>
      <c r="L42" s="2710"/>
      <c r="M42" s="2710"/>
    </row>
    <row r="43" spans="1:13" ht="11.45" customHeight="1">
      <c r="A43" s="2696"/>
      <c r="B43" s="2696"/>
      <c r="C43" s="2696"/>
      <c r="D43" s="2696"/>
      <c r="E43" s="2696"/>
      <c r="F43" s="2696"/>
      <c r="G43" s="2696"/>
    </row>
    <row r="44" spans="1:13" ht="11.45" customHeight="1">
      <c r="A44" s="2696"/>
      <c r="B44" s="2696"/>
      <c r="C44" s="2696"/>
      <c r="D44" s="2696"/>
      <c r="E44" s="2696"/>
      <c r="F44" s="2696"/>
      <c r="G44" s="2696"/>
      <c r="H44" s="2696"/>
      <c r="I44" s="2696"/>
      <c r="J44" s="2696"/>
      <c r="K44" s="2696"/>
      <c r="L44" s="2696"/>
      <c r="M44" s="2696"/>
    </row>
    <row r="45" spans="1:13" ht="11.45" customHeight="1">
      <c r="A45" s="2696"/>
      <c r="B45" s="2696"/>
      <c r="C45" s="2696"/>
      <c r="D45" s="2696"/>
      <c r="E45" s="2696"/>
      <c r="F45" s="2696"/>
      <c r="G45" s="2696"/>
      <c r="H45" s="2696"/>
      <c r="I45" s="2696"/>
      <c r="J45" s="2696"/>
      <c r="K45" s="2696"/>
      <c r="L45" s="2696"/>
      <c r="M45" s="2696"/>
    </row>
    <row r="46" spans="1:13" ht="11.45" customHeight="1"/>
    <row r="47" spans="1:13" ht="11.45" customHeight="1"/>
    <row r="48" spans="1:13" ht="11.45" customHeight="1"/>
    <row r="49" ht="11.45" customHeight="1"/>
    <row r="50" ht="11.45" customHeight="1"/>
  </sheetData>
  <sheetProtection algorithmName="SHA-512" hashValue="G6lVOw/SEban/fzmrVvvspHf4wb2uVCbswHilN3dGLu2AHjdlSaCwyGEPiT0mXpiaUF7txMpaSjI1abHkMCHEw==" saltValue="c2U0npax3mkbmGo25kS6Wg=="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9" t="s">
        <v>760</v>
      </c>
      <c r="B2" s="2010"/>
      <c r="C2" s="2010"/>
      <c r="D2" s="2010"/>
      <c r="E2" s="2010"/>
      <c r="F2" s="2010"/>
      <c r="G2" s="2010"/>
      <c r="H2" s="2010"/>
      <c r="I2" s="2010"/>
      <c r="J2" s="2010"/>
      <c r="K2" s="2010"/>
      <c r="L2" s="2010"/>
      <c r="M2" s="2010"/>
      <c r="N2" s="2010"/>
      <c r="O2" s="2010"/>
      <c r="P2" s="2010"/>
      <c r="Q2" s="2010"/>
      <c r="R2" s="2011"/>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1813</v>
      </c>
      <c r="B4" s="303"/>
      <c r="C4" s="303"/>
      <c r="D4" s="187"/>
      <c r="E4" s="187"/>
      <c r="F4" s="303" t="s">
        <v>1814</v>
      </c>
      <c r="G4" s="303"/>
      <c r="H4" s="187"/>
      <c r="I4" s="187"/>
      <c r="J4" s="303" t="s">
        <v>1815</v>
      </c>
      <c r="K4" s="303"/>
      <c r="L4" s="303"/>
      <c r="M4" s="303"/>
      <c r="N4" s="303"/>
      <c r="O4" s="303"/>
      <c r="P4" s="187"/>
      <c r="Q4" s="304" t="s">
        <v>1816</v>
      </c>
      <c r="R4" s="305" t="s">
        <v>1817</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1818</v>
      </c>
      <c r="B6" s="189"/>
      <c r="C6" s="189"/>
      <c r="D6" s="187"/>
      <c r="E6" s="187"/>
      <c r="F6" s="189" t="s">
        <v>530</v>
      </c>
      <c r="G6" s="189"/>
      <c r="H6" s="187"/>
      <c r="I6" s="187"/>
      <c r="J6" s="189" t="s">
        <v>1819</v>
      </c>
      <c r="K6" s="189"/>
      <c r="L6" s="189"/>
      <c r="M6" s="189"/>
      <c r="N6" s="189"/>
      <c r="O6" s="189"/>
      <c r="P6" s="187"/>
      <c r="Q6" s="308" t="s">
        <v>1820</v>
      </c>
      <c r="R6" s="308">
        <v>1000000</v>
      </c>
      <c r="S6" s="187"/>
      <c r="U6" s="187"/>
      <c r="V6" s="309"/>
      <c r="W6" s="309"/>
      <c r="X6" s="190"/>
    </row>
    <row r="7" spans="1:26" s="302" customFormat="1" ht="11.45" customHeight="1">
      <c r="A7" s="307"/>
      <c r="B7" s="189"/>
      <c r="C7" s="189"/>
      <c r="D7" s="187"/>
      <c r="E7" s="187"/>
      <c r="F7" s="189"/>
      <c r="G7" s="189"/>
      <c r="H7" s="187"/>
      <c r="I7" s="187"/>
      <c r="J7" s="189" t="s">
        <v>1819</v>
      </c>
      <c r="L7" s="189" t="s">
        <v>3187</v>
      </c>
      <c r="M7" s="189"/>
      <c r="N7" s="189"/>
      <c r="O7" s="189"/>
      <c r="P7" s="187"/>
      <c r="Q7" s="308" t="s">
        <v>1820</v>
      </c>
      <c r="R7" s="308">
        <v>1200000</v>
      </c>
      <c r="S7" s="187"/>
      <c r="T7" s="187"/>
      <c r="U7" s="187"/>
      <c r="V7" s="309"/>
      <c r="W7" s="309"/>
      <c r="X7" s="190"/>
    </row>
    <row r="8" spans="1:26" s="302" customFormat="1" ht="11.45" customHeight="1">
      <c r="A8" s="307"/>
      <c r="B8" s="189"/>
      <c r="C8" s="189"/>
      <c r="D8" s="187"/>
      <c r="E8" s="187"/>
      <c r="F8" s="189"/>
      <c r="G8" s="189"/>
      <c r="H8" s="187"/>
      <c r="I8" s="187"/>
      <c r="J8" s="189" t="s">
        <v>1315</v>
      </c>
      <c r="K8" s="189"/>
      <c r="L8" s="189"/>
      <c r="M8" s="189"/>
      <c r="N8" s="189"/>
      <c r="O8" s="189"/>
      <c r="P8" s="187"/>
      <c r="Q8" s="308" t="s">
        <v>1820</v>
      </c>
      <c r="R8" s="308">
        <v>1800000</v>
      </c>
      <c r="S8" s="187"/>
      <c r="T8" s="187"/>
      <c r="U8" s="187"/>
      <c r="V8" s="309"/>
      <c r="W8" s="309"/>
      <c r="X8" s="190"/>
    </row>
    <row r="9" spans="1:26" s="302" customFormat="1" ht="11.45" customHeight="1">
      <c r="A9" s="189"/>
      <c r="B9" s="189"/>
      <c r="C9" s="189"/>
      <c r="D9" s="187"/>
      <c r="E9" s="187"/>
      <c r="F9" s="189" t="s">
        <v>2528</v>
      </c>
      <c r="G9" s="189"/>
      <c r="H9" s="187"/>
      <c r="I9" s="187"/>
      <c r="J9" s="189" t="s">
        <v>1850</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2497</v>
      </c>
      <c r="K10" s="189"/>
      <c r="L10" s="189"/>
      <c r="M10" s="189"/>
      <c r="N10" s="189"/>
      <c r="O10" s="189"/>
      <c r="P10" s="187"/>
      <c r="Q10" s="308" t="s">
        <v>1820</v>
      </c>
      <c r="R10" s="319">
        <v>0.25</v>
      </c>
      <c r="S10" s="187"/>
      <c r="T10" s="187"/>
      <c r="U10" s="187"/>
      <c r="V10" s="309"/>
      <c r="W10" s="309"/>
      <c r="X10" s="190"/>
    </row>
    <row r="11" spans="1:26" s="302" customFormat="1" ht="11.45" customHeight="1">
      <c r="A11" s="189"/>
      <c r="B11" s="189"/>
      <c r="C11" s="189"/>
      <c r="D11" s="187"/>
      <c r="E11" s="187"/>
      <c r="F11" s="189" t="s">
        <v>4328</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2003" t="s">
        <v>3815</v>
      </c>
      <c r="G12" s="2004"/>
      <c r="H12" s="2004"/>
      <c r="I12" s="2004"/>
      <c r="J12" s="2005"/>
      <c r="K12" s="315"/>
      <c r="L12" s="740" t="s">
        <v>3813</v>
      </c>
      <c r="M12" s="315"/>
      <c r="N12" s="2003" t="s">
        <v>3815</v>
      </c>
      <c r="O12" s="2004"/>
      <c r="P12" s="2004"/>
      <c r="Q12" s="2004"/>
      <c r="R12" s="2005"/>
      <c r="S12" s="328"/>
      <c r="T12" s="187"/>
      <c r="U12" s="187"/>
      <c r="V12" s="311"/>
      <c r="W12" s="311"/>
      <c r="X12" s="311"/>
    </row>
    <row r="13" spans="1:26" s="302" customFormat="1" ht="11.45" customHeight="1">
      <c r="A13" s="189"/>
      <c r="D13" s="741" t="s">
        <v>2740</v>
      </c>
      <c r="E13" s="741" t="s">
        <v>1360</v>
      </c>
      <c r="F13" s="742">
        <v>0</v>
      </c>
      <c r="G13" s="743">
        <v>1</v>
      </c>
      <c r="H13" s="744">
        <v>2</v>
      </c>
      <c r="I13" s="744">
        <v>3</v>
      </c>
      <c r="J13" s="745" t="s">
        <v>3812</v>
      </c>
      <c r="L13" s="741" t="s">
        <v>2740</v>
      </c>
      <c r="M13" s="741" t="s">
        <v>1360</v>
      </c>
      <c r="N13" s="742">
        <v>0</v>
      </c>
      <c r="O13" s="743">
        <v>1</v>
      </c>
      <c r="P13" s="744">
        <v>2</v>
      </c>
      <c r="Q13" s="744">
        <v>3</v>
      </c>
      <c r="R13" s="745" t="s">
        <v>3812</v>
      </c>
      <c r="S13" s="328"/>
      <c r="T13" s="187"/>
      <c r="U13" s="187"/>
      <c r="V13" s="311"/>
      <c r="W13" s="311"/>
      <c r="X13" s="311"/>
    </row>
    <row r="14" spans="1:26" s="302" customFormat="1" ht="11.45" customHeight="1">
      <c r="A14" s="189"/>
      <c r="D14" s="328" t="s">
        <v>1263</v>
      </c>
      <c r="E14" s="328" t="s">
        <v>3814</v>
      </c>
      <c r="F14" s="739">
        <v>131087</v>
      </c>
      <c r="G14" s="739">
        <v>172539</v>
      </c>
      <c r="H14" s="739">
        <v>206934</v>
      </c>
      <c r="I14" s="739">
        <v>249467</v>
      </c>
      <c r="J14" s="739">
        <v>293990</v>
      </c>
      <c r="L14" s="738" t="s">
        <v>1263</v>
      </c>
      <c r="M14" s="738" t="s">
        <v>3814</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1263</v>
      </c>
      <c r="E15" s="328" t="s">
        <v>3811</v>
      </c>
      <c r="F15" s="739">
        <v>110290</v>
      </c>
      <c r="G15" s="739">
        <v>154405</v>
      </c>
      <c r="H15" s="739">
        <v>198521</v>
      </c>
      <c r="I15" s="739">
        <v>264695</v>
      </c>
      <c r="J15" s="739">
        <v>330869</v>
      </c>
      <c r="L15" s="738" t="s">
        <v>1263</v>
      </c>
      <c r="M15" s="738" t="s">
        <v>3811</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1263</v>
      </c>
      <c r="E16" s="328" t="s">
        <v>3809</v>
      </c>
      <c r="F16" s="739">
        <v>123833</v>
      </c>
      <c r="G16" s="739">
        <v>163359</v>
      </c>
      <c r="H16" s="739">
        <v>196393</v>
      </c>
      <c r="I16" s="739">
        <v>237924</v>
      </c>
      <c r="J16" s="739">
        <v>282958</v>
      </c>
      <c r="L16" s="738" t="s">
        <v>1263</v>
      </c>
      <c r="M16" s="738" t="s">
        <v>3809</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1263</v>
      </c>
      <c r="E17" s="328" t="s">
        <v>3810</v>
      </c>
      <c r="F17" s="739">
        <v>103092</v>
      </c>
      <c r="G17" s="739">
        <v>142399</v>
      </c>
      <c r="H17" s="739">
        <v>180596</v>
      </c>
      <c r="I17" s="739">
        <v>235833</v>
      </c>
      <c r="J17" s="739">
        <v>293987</v>
      </c>
      <c r="L17" s="738" t="s">
        <v>1263</v>
      </c>
      <c r="M17" s="738" t="s">
        <v>3810</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1394</v>
      </c>
      <c r="E18" s="328" t="s">
        <v>3814</v>
      </c>
      <c r="F18" s="739">
        <v>119758</v>
      </c>
      <c r="G18" s="739">
        <v>157527</v>
      </c>
      <c r="H18" s="739">
        <v>188778</v>
      </c>
      <c r="I18" s="739">
        <v>227319</v>
      </c>
      <c r="J18" s="739">
        <v>267830</v>
      </c>
      <c r="L18" s="738" t="s">
        <v>1394</v>
      </c>
      <c r="M18" s="738" t="s">
        <v>3814</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1394</v>
      </c>
      <c r="E19" s="328" t="s">
        <v>3811</v>
      </c>
      <c r="F19" s="739">
        <v>100625</v>
      </c>
      <c r="G19" s="739">
        <v>140875</v>
      </c>
      <c r="H19" s="739">
        <v>181125</v>
      </c>
      <c r="I19" s="739">
        <v>241500</v>
      </c>
      <c r="J19" s="739">
        <v>301875</v>
      </c>
      <c r="L19" s="738" t="s">
        <v>1394</v>
      </c>
      <c r="M19" s="738" t="s">
        <v>3811</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1394</v>
      </c>
      <c r="E20" s="328" t="s">
        <v>3809</v>
      </c>
      <c r="F20" s="739">
        <v>113275</v>
      </c>
      <c r="G20" s="739">
        <v>149323</v>
      </c>
      <c r="H20" s="739">
        <v>179359</v>
      </c>
      <c r="I20" s="739">
        <v>217004</v>
      </c>
      <c r="J20" s="739">
        <v>257972</v>
      </c>
      <c r="L20" s="738" t="s">
        <v>1394</v>
      </c>
      <c r="M20" s="738" t="s">
        <v>3809</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1394</v>
      </c>
      <c r="E21" s="328" t="s">
        <v>3810</v>
      </c>
      <c r="F21" s="739">
        <v>94526</v>
      </c>
      <c r="G21" s="739">
        <v>130612</v>
      </c>
      <c r="H21" s="739">
        <v>165707</v>
      </c>
      <c r="I21" s="739">
        <v>216508</v>
      </c>
      <c r="J21" s="739">
        <v>269917</v>
      </c>
      <c r="L21" s="738" t="s">
        <v>1394</v>
      </c>
      <c r="M21" s="738" t="s">
        <v>3810</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3814</v>
      </c>
      <c r="F22" s="739">
        <v>120753</v>
      </c>
      <c r="G22" s="739">
        <v>159013</v>
      </c>
      <c r="H22" s="739">
        <v>190825</v>
      </c>
      <c r="I22" s="739">
        <v>230243</v>
      </c>
      <c r="J22" s="739">
        <v>271379</v>
      </c>
      <c r="L22" s="738" t="s">
        <v>12</v>
      </c>
      <c r="M22" s="738" t="s">
        <v>3814</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3811</v>
      </c>
      <c r="F23" s="739">
        <v>101695</v>
      </c>
      <c r="G23" s="739">
        <v>142373</v>
      </c>
      <c r="H23" s="739">
        <v>183051</v>
      </c>
      <c r="I23" s="739">
        <v>244068</v>
      </c>
      <c r="J23" s="739">
        <v>305085</v>
      </c>
      <c r="L23" s="738" t="s">
        <v>12</v>
      </c>
      <c r="M23" s="738" t="s">
        <v>3811</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3809</v>
      </c>
      <c r="F24" s="739">
        <v>113962</v>
      </c>
      <c r="G24" s="739">
        <v>150419</v>
      </c>
      <c r="H24" s="739">
        <v>180957</v>
      </c>
      <c r="I24" s="739">
        <v>219437</v>
      </c>
      <c r="J24" s="739">
        <v>261052</v>
      </c>
      <c r="L24" s="738" t="s">
        <v>12</v>
      </c>
      <c r="M24" s="738" t="s">
        <v>3809</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3810</v>
      </c>
      <c r="F25" s="739">
        <v>94706</v>
      </c>
      <c r="G25" s="739">
        <v>130782</v>
      </c>
      <c r="H25" s="739">
        <v>165819</v>
      </c>
      <c r="I25" s="739">
        <v>216447</v>
      </c>
      <c r="J25" s="739">
        <v>269807</v>
      </c>
      <c r="L25" s="738" t="s">
        <v>12</v>
      </c>
      <c r="M25" s="738" t="s">
        <v>3810</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1384</v>
      </c>
      <c r="E26" s="328" t="s">
        <v>3814</v>
      </c>
      <c r="F26" s="739">
        <v>120753</v>
      </c>
      <c r="G26" s="739">
        <v>159013</v>
      </c>
      <c r="H26" s="739">
        <v>190825</v>
      </c>
      <c r="I26" s="739">
        <v>230243</v>
      </c>
      <c r="J26" s="739">
        <v>271379</v>
      </c>
      <c r="L26" s="738" t="s">
        <v>1384</v>
      </c>
      <c r="M26" s="738" t="s">
        <v>3814</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1384</v>
      </c>
      <c r="E27" s="328" t="s">
        <v>3811</v>
      </c>
      <c r="F27" s="739">
        <v>101695</v>
      </c>
      <c r="G27" s="739">
        <v>142373</v>
      </c>
      <c r="H27" s="739">
        <v>183051</v>
      </c>
      <c r="I27" s="739">
        <v>244068</v>
      </c>
      <c r="J27" s="739">
        <v>305085</v>
      </c>
      <c r="L27" s="738" t="s">
        <v>1384</v>
      </c>
      <c r="M27" s="738" t="s">
        <v>3811</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1384</v>
      </c>
      <c r="E28" s="328" t="s">
        <v>3809</v>
      </c>
      <c r="F28" s="739">
        <v>113962</v>
      </c>
      <c r="G28" s="739">
        <v>150419</v>
      </c>
      <c r="H28" s="739">
        <v>180957</v>
      </c>
      <c r="I28" s="739">
        <v>219437</v>
      </c>
      <c r="J28" s="739">
        <v>261052</v>
      </c>
      <c r="L28" s="738" t="s">
        <v>1384</v>
      </c>
      <c r="M28" s="738" t="s">
        <v>3809</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1384</v>
      </c>
      <c r="E29" s="328" t="s">
        <v>3810</v>
      </c>
      <c r="F29" s="739">
        <v>94706</v>
      </c>
      <c r="G29" s="739">
        <v>130782</v>
      </c>
      <c r="H29" s="739">
        <v>165819</v>
      </c>
      <c r="I29" s="739">
        <v>216447</v>
      </c>
      <c r="J29" s="739">
        <v>269807</v>
      </c>
      <c r="L29" s="738" t="s">
        <v>1384</v>
      </c>
      <c r="M29" s="738" t="s">
        <v>3810</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2376</v>
      </c>
      <c r="E30" s="328" t="s">
        <v>3814</v>
      </c>
      <c r="F30" s="739">
        <v>128484</v>
      </c>
      <c r="G30" s="739">
        <v>168999</v>
      </c>
      <c r="H30" s="739">
        <v>202517</v>
      </c>
      <c r="I30" s="739">
        <v>243845</v>
      </c>
      <c r="J30" s="739">
        <v>287297</v>
      </c>
      <c r="L30" s="738" t="s">
        <v>2376</v>
      </c>
      <c r="M30" s="738" t="s">
        <v>3814</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2376</v>
      </c>
      <c r="E31" s="328" t="s">
        <v>3811</v>
      </c>
      <c r="F31" s="739">
        <v>107949</v>
      </c>
      <c r="G31" s="739">
        <v>151128</v>
      </c>
      <c r="H31" s="739">
        <v>194307</v>
      </c>
      <c r="I31" s="739">
        <v>259077</v>
      </c>
      <c r="J31" s="739">
        <v>323846</v>
      </c>
      <c r="L31" s="738" t="s">
        <v>2376</v>
      </c>
      <c r="M31" s="738" t="s">
        <v>3811</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2376</v>
      </c>
      <c r="E32" s="328" t="s">
        <v>3809</v>
      </c>
      <c r="F32" s="739">
        <v>121538</v>
      </c>
      <c r="G32" s="739">
        <v>160210</v>
      </c>
      <c r="H32" s="739">
        <v>192424</v>
      </c>
      <c r="I32" s="739">
        <v>232793</v>
      </c>
      <c r="J32" s="739">
        <v>276735</v>
      </c>
      <c r="L32" s="738" t="s">
        <v>2376</v>
      </c>
      <c r="M32" s="738" t="s">
        <v>3809</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2376</v>
      </c>
      <c r="E33" s="328" t="s">
        <v>3810</v>
      </c>
      <c r="F33" s="739">
        <v>101436</v>
      </c>
      <c r="G33" s="739">
        <v>140163</v>
      </c>
      <c r="H33" s="739">
        <v>177827</v>
      </c>
      <c r="I33" s="739">
        <v>232352</v>
      </c>
      <c r="J33" s="739">
        <v>289671</v>
      </c>
      <c r="L33" s="738" t="s">
        <v>2376</v>
      </c>
      <c r="M33" s="738" t="s">
        <v>3810</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1390</v>
      </c>
      <c r="E34" s="328" t="s">
        <v>3814</v>
      </c>
      <c r="F34" s="739">
        <v>121557</v>
      </c>
      <c r="G34" s="739">
        <v>160040</v>
      </c>
      <c r="H34" s="739">
        <v>192011</v>
      </c>
      <c r="I34" s="739">
        <v>231592</v>
      </c>
      <c r="J34" s="739">
        <v>272951</v>
      </c>
      <c r="L34" s="738" t="s">
        <v>1390</v>
      </c>
      <c r="M34" s="738" t="s">
        <v>3814</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1390</v>
      </c>
      <c r="E35" s="328" t="s">
        <v>3811</v>
      </c>
      <c r="F35" s="739">
        <v>102331</v>
      </c>
      <c r="G35" s="739">
        <v>143263</v>
      </c>
      <c r="H35" s="739">
        <v>184195</v>
      </c>
      <c r="I35" s="739">
        <v>245593</v>
      </c>
      <c r="J35" s="739">
        <v>306992</v>
      </c>
      <c r="L35" s="738" t="s">
        <v>1390</v>
      </c>
      <c r="M35" s="738" t="s">
        <v>3811</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1390</v>
      </c>
      <c r="E36" s="328" t="s">
        <v>3809</v>
      </c>
      <c r="F36" s="739">
        <v>114766</v>
      </c>
      <c r="G36" s="739">
        <v>151446</v>
      </c>
      <c r="H36" s="739">
        <v>182143</v>
      </c>
      <c r="I36" s="739">
        <v>220786</v>
      </c>
      <c r="J36" s="739">
        <v>262624</v>
      </c>
      <c r="L36" s="738" t="s">
        <v>1390</v>
      </c>
      <c r="M36" s="738" t="s">
        <v>3809</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1390</v>
      </c>
      <c r="E37" s="328" t="s">
        <v>3810</v>
      </c>
      <c r="F37" s="739">
        <v>95444</v>
      </c>
      <c r="G37" s="739">
        <v>131815</v>
      </c>
      <c r="H37" s="739">
        <v>167147</v>
      </c>
      <c r="I37" s="739">
        <v>218218</v>
      </c>
      <c r="J37" s="739">
        <v>272020</v>
      </c>
      <c r="L37" s="738" t="s">
        <v>1390</v>
      </c>
      <c r="M37" s="738" t="s">
        <v>3810</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1780</v>
      </c>
      <c r="E38" s="328" t="s">
        <v>3814</v>
      </c>
      <c r="F38" s="739">
        <v>113481</v>
      </c>
      <c r="G38" s="739">
        <v>149453</v>
      </c>
      <c r="H38" s="739">
        <v>179377</v>
      </c>
      <c r="I38" s="739">
        <v>216472</v>
      </c>
      <c r="J38" s="739">
        <v>255157</v>
      </c>
      <c r="L38" s="738" t="s">
        <v>1780</v>
      </c>
      <c r="M38" s="738" t="s">
        <v>3814</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1780</v>
      </c>
      <c r="E39" s="328" t="s">
        <v>3811</v>
      </c>
      <c r="F39" s="739">
        <v>95592</v>
      </c>
      <c r="G39" s="739">
        <v>133829</v>
      </c>
      <c r="H39" s="739">
        <v>172066</v>
      </c>
      <c r="I39" s="739">
        <v>229421</v>
      </c>
      <c r="J39" s="739">
        <v>286776</v>
      </c>
      <c r="L39" s="738" t="s">
        <v>1780</v>
      </c>
      <c r="M39" s="738" t="s">
        <v>3811</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1780</v>
      </c>
      <c r="E40" s="328" t="s">
        <v>3809</v>
      </c>
      <c r="F40" s="739">
        <v>107076</v>
      </c>
      <c r="G40" s="739">
        <v>141347</v>
      </c>
      <c r="H40" s="739">
        <v>170070</v>
      </c>
      <c r="I40" s="739">
        <v>206279</v>
      </c>
      <c r="J40" s="739">
        <v>245416</v>
      </c>
      <c r="L40" s="738" t="s">
        <v>1780</v>
      </c>
      <c r="M40" s="738" t="s">
        <v>3809</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1780</v>
      </c>
      <c r="E41" s="328" t="s">
        <v>3810</v>
      </c>
      <c r="F41" s="739">
        <v>88948</v>
      </c>
      <c r="G41" s="739">
        <v>122823</v>
      </c>
      <c r="H41" s="739">
        <v>155719</v>
      </c>
      <c r="I41" s="739">
        <v>203244</v>
      </c>
      <c r="J41" s="739">
        <v>253345</v>
      </c>
      <c r="L41" s="738" t="s">
        <v>1780</v>
      </c>
      <c r="M41" s="738" t="s">
        <v>3810</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4349</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506</v>
      </c>
      <c r="K44" s="312" t="s">
        <v>2560</v>
      </c>
      <c r="L44" s="312" t="s">
        <v>2561</v>
      </c>
      <c r="M44" s="312" t="s">
        <v>2562</v>
      </c>
      <c r="N44" s="312" t="s">
        <v>2563</v>
      </c>
      <c r="O44" s="189"/>
      <c r="P44" s="187"/>
      <c r="Q44" s="313"/>
      <c r="R44" s="313"/>
      <c r="S44" s="310"/>
      <c r="T44" s="310"/>
      <c r="U44" s="187"/>
      <c r="V44" s="311"/>
      <c r="W44" s="311"/>
      <c r="X44" s="311"/>
    </row>
    <row r="45" spans="1:24" s="302" customFormat="1" ht="11.45" customHeight="1">
      <c r="A45" s="189"/>
      <c r="B45" s="189"/>
      <c r="C45" s="189"/>
      <c r="D45" s="187"/>
      <c r="E45" s="187"/>
      <c r="F45" s="189" t="s">
        <v>4335</v>
      </c>
      <c r="G45" s="189"/>
      <c r="H45" s="187"/>
      <c r="I45" s="187"/>
      <c r="J45" s="924">
        <v>110481</v>
      </c>
      <c r="K45" s="924">
        <v>126647</v>
      </c>
      <c r="L45" s="924">
        <v>154003</v>
      </c>
      <c r="M45" s="924">
        <v>199229</v>
      </c>
      <c r="N45" s="924">
        <v>199229</v>
      </c>
      <c r="O45" s="189"/>
      <c r="Q45" s="925">
        <v>1000</v>
      </c>
      <c r="R45" s="925">
        <v>0</v>
      </c>
      <c r="S45" s="328" t="s">
        <v>4334</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1250</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1250</v>
      </c>
      <c r="C48" s="189"/>
      <c r="D48" s="187"/>
      <c r="E48" s="187"/>
      <c r="F48" s="189" t="s">
        <v>1251</v>
      </c>
      <c r="G48" s="189" t="s">
        <v>1263</v>
      </c>
      <c r="H48" s="187"/>
      <c r="I48" s="187"/>
      <c r="J48" s="189" t="s">
        <v>1605</v>
      </c>
      <c r="K48" s="189"/>
      <c r="L48" s="189"/>
      <c r="M48" s="189"/>
      <c r="N48" s="189"/>
      <c r="O48" s="189"/>
      <c r="P48" s="187"/>
      <c r="Q48" s="191">
        <v>4500</v>
      </c>
      <c r="R48" s="316" t="s">
        <v>1820</v>
      </c>
      <c r="S48" s="317"/>
    </row>
    <row r="49" spans="1:21" s="302" customFormat="1" ht="11.45" customHeight="1">
      <c r="A49" s="187"/>
      <c r="B49" s="189"/>
      <c r="C49" s="189"/>
      <c r="D49" s="187"/>
      <c r="E49" s="187"/>
      <c r="F49" s="189"/>
      <c r="G49" s="189" t="s">
        <v>1678</v>
      </c>
      <c r="H49" s="187"/>
      <c r="I49" s="187"/>
      <c r="J49" s="189" t="s">
        <v>1605</v>
      </c>
      <c r="K49" s="189"/>
      <c r="L49" s="189"/>
      <c r="M49" s="189"/>
      <c r="N49" s="189"/>
      <c r="O49" s="189"/>
      <c r="P49" s="187"/>
      <c r="Q49" s="191">
        <v>4000</v>
      </c>
      <c r="R49" s="316" t="s">
        <v>1820</v>
      </c>
      <c r="S49" s="317"/>
    </row>
    <row r="50" spans="1:21" s="302" customFormat="1" ht="11.45" customHeight="1">
      <c r="A50" s="187"/>
      <c r="B50" s="189"/>
      <c r="C50" s="189"/>
      <c r="D50" s="187"/>
      <c r="E50" s="187"/>
      <c r="F50" s="189" t="s">
        <v>2726</v>
      </c>
      <c r="G50" s="189" t="s">
        <v>2740</v>
      </c>
      <c r="H50" s="187"/>
      <c r="I50" s="187"/>
      <c r="J50" s="189" t="s">
        <v>1605</v>
      </c>
      <c r="K50" s="189"/>
      <c r="L50" s="189"/>
      <c r="M50" s="189"/>
      <c r="N50" s="189"/>
      <c r="O50" s="189"/>
      <c r="P50" s="187"/>
      <c r="Q50" s="191">
        <v>3500</v>
      </c>
      <c r="R50" s="316" t="s">
        <v>1820</v>
      </c>
      <c r="S50" s="317"/>
    </row>
    <row r="51" spans="1:21" s="302" customFormat="1" ht="11.45" customHeight="1">
      <c r="A51" s="189"/>
      <c r="B51" s="189"/>
      <c r="C51" s="189"/>
      <c r="D51" s="187"/>
      <c r="E51" s="187"/>
      <c r="G51" s="189" t="s">
        <v>3991</v>
      </c>
      <c r="H51" s="187"/>
      <c r="I51" s="187"/>
      <c r="J51" s="189" t="s">
        <v>1605</v>
      </c>
      <c r="K51" s="189"/>
      <c r="L51" s="189"/>
      <c r="M51" s="189"/>
      <c r="N51" s="189"/>
      <c r="O51" s="189"/>
      <c r="P51" s="187"/>
      <c r="Q51" s="191">
        <v>3000</v>
      </c>
      <c r="R51" s="316" t="s">
        <v>1820</v>
      </c>
      <c r="S51" s="317"/>
    </row>
    <row r="52" spans="1:21" s="302" customFormat="1" ht="11.45" customHeight="1">
      <c r="A52" s="189"/>
      <c r="B52" s="189"/>
      <c r="C52" s="189"/>
      <c r="D52" s="187"/>
      <c r="E52" s="187"/>
      <c r="G52" s="189" t="s">
        <v>3992</v>
      </c>
      <c r="H52" s="187"/>
      <c r="I52" s="187"/>
      <c r="J52" s="189" t="s">
        <v>1605</v>
      </c>
      <c r="K52" s="189"/>
      <c r="L52" s="189"/>
      <c r="M52" s="189"/>
      <c r="N52" s="189"/>
      <c r="O52" s="189"/>
      <c r="P52" s="187"/>
      <c r="Q52" s="191">
        <v>3000</v>
      </c>
      <c r="R52" s="316" t="s">
        <v>1820</v>
      </c>
      <c r="S52" s="317"/>
      <c r="T52" s="317"/>
      <c r="U52" s="317"/>
    </row>
    <row r="53" spans="1:21" s="302" customFormat="1" ht="11.45" customHeight="1">
      <c r="A53" s="189"/>
      <c r="B53" s="189" t="s">
        <v>1252</v>
      </c>
      <c r="C53" s="189"/>
      <c r="D53" s="187"/>
      <c r="E53" s="187"/>
      <c r="F53" s="189" t="s">
        <v>288</v>
      </c>
      <c r="G53" s="189"/>
      <c r="H53" s="187"/>
      <c r="I53" s="187"/>
      <c r="J53" s="189" t="s">
        <v>1605</v>
      </c>
      <c r="K53" s="189"/>
      <c r="L53" s="189"/>
      <c r="M53" s="189"/>
      <c r="N53" s="189"/>
      <c r="O53" s="189"/>
      <c r="P53" s="187"/>
      <c r="Q53" s="318">
        <v>350</v>
      </c>
      <c r="R53" s="316" t="s">
        <v>1820</v>
      </c>
      <c r="S53" s="317"/>
      <c r="T53" s="317"/>
      <c r="U53" s="317"/>
    </row>
    <row r="54" spans="1:21" s="302" customFormat="1" ht="11.45" customHeight="1">
      <c r="A54" s="189"/>
      <c r="B54" s="189"/>
      <c r="C54" s="189"/>
      <c r="D54" s="187"/>
      <c r="E54" s="187"/>
      <c r="F54" s="189" t="s">
        <v>1253</v>
      </c>
      <c r="G54" s="189"/>
      <c r="H54" s="187"/>
      <c r="I54" s="187"/>
      <c r="J54" s="189" t="s">
        <v>1605</v>
      </c>
      <c r="K54" s="189"/>
      <c r="L54" s="189"/>
      <c r="M54" s="189"/>
      <c r="N54" s="189"/>
      <c r="O54" s="189"/>
      <c r="P54" s="187"/>
      <c r="Q54" s="318">
        <v>250</v>
      </c>
      <c r="R54" s="316" t="s">
        <v>1820</v>
      </c>
      <c r="S54" s="317"/>
      <c r="T54" s="317"/>
      <c r="U54" s="317"/>
    </row>
    <row r="55" spans="1:21" s="302" customFormat="1" ht="11.45" customHeight="1">
      <c r="A55" s="189"/>
      <c r="B55" s="189"/>
      <c r="C55" s="189"/>
      <c r="D55" s="189"/>
      <c r="E55" s="187"/>
      <c r="F55" s="189" t="s">
        <v>4007</v>
      </c>
      <c r="G55" s="189"/>
      <c r="H55" s="187"/>
      <c r="I55" s="187"/>
      <c r="J55" s="189" t="s">
        <v>1605</v>
      </c>
      <c r="K55" s="189"/>
      <c r="L55" s="189"/>
      <c r="M55" s="189"/>
      <c r="N55" s="189"/>
      <c r="O55" s="189"/>
      <c r="P55" s="187"/>
      <c r="Q55" s="318">
        <v>420</v>
      </c>
      <c r="R55" s="316" t="s">
        <v>1820</v>
      </c>
      <c r="S55" s="317"/>
      <c r="T55" s="317"/>
      <c r="U55" s="317"/>
    </row>
    <row r="56" spans="1:21" s="302" customFormat="1" ht="11.45" customHeight="1">
      <c r="A56" s="189"/>
      <c r="B56" s="189"/>
      <c r="C56" s="189"/>
      <c r="D56" s="189"/>
      <c r="E56" s="187"/>
      <c r="F56" s="189" t="s">
        <v>380</v>
      </c>
      <c r="G56" s="189"/>
      <c r="H56" s="187"/>
      <c r="I56" s="187"/>
      <c r="J56" s="189" t="s">
        <v>1605</v>
      </c>
      <c r="K56" s="189"/>
      <c r="L56" s="189"/>
      <c r="M56" s="189"/>
      <c r="N56" s="189"/>
      <c r="O56" s="189"/>
      <c r="P56" s="187"/>
      <c r="Q56" s="318">
        <v>420</v>
      </c>
      <c r="R56" s="316" t="s">
        <v>1820</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1254</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1255</v>
      </c>
      <c r="C59" s="189"/>
      <c r="D59" s="189"/>
      <c r="E59" s="187"/>
      <c r="F59" s="192" t="s">
        <v>1256</v>
      </c>
      <c r="G59" s="189"/>
      <c r="H59" s="187"/>
      <c r="I59" s="187"/>
      <c r="J59" s="189" t="s">
        <v>1257</v>
      </c>
      <c r="K59" s="189"/>
      <c r="L59" s="189"/>
      <c r="M59" s="189"/>
      <c r="N59" s="189"/>
      <c r="O59" s="189"/>
      <c r="P59" s="187"/>
      <c r="Q59" s="2000">
        <v>6500</v>
      </c>
      <c r="R59" s="2001"/>
      <c r="S59" s="317"/>
      <c r="T59" s="317"/>
      <c r="U59" s="317"/>
    </row>
    <row r="60" spans="1:21" s="302" customFormat="1" ht="11.45" customHeight="1">
      <c r="A60" s="189"/>
      <c r="B60" s="189"/>
      <c r="C60" s="189"/>
      <c r="D60" s="189"/>
      <c r="E60" s="187"/>
      <c r="F60" s="192" t="s">
        <v>1256</v>
      </c>
      <c r="G60" s="189"/>
      <c r="H60" s="187"/>
      <c r="I60" s="187"/>
      <c r="J60" s="189" t="s">
        <v>1258</v>
      </c>
      <c r="K60" s="189"/>
      <c r="L60" s="189"/>
      <c r="M60" s="189"/>
      <c r="N60" s="189"/>
      <c r="O60" s="189"/>
      <c r="P60" s="187"/>
      <c r="Q60" s="2000">
        <v>5500</v>
      </c>
      <c r="R60" s="2001"/>
      <c r="S60" s="317"/>
      <c r="T60" s="317"/>
      <c r="U60" s="317"/>
    </row>
    <row r="61" spans="1:21" s="302" customFormat="1" ht="11.45" customHeight="1">
      <c r="A61" s="189"/>
      <c r="B61" s="189"/>
      <c r="C61" s="189"/>
      <c r="D61" s="189"/>
      <c r="E61" s="187"/>
      <c r="F61" s="192" t="s">
        <v>4017</v>
      </c>
      <c r="G61" s="189"/>
      <c r="H61" s="187"/>
      <c r="I61" s="187"/>
      <c r="J61" s="189"/>
      <c r="K61" s="189"/>
      <c r="L61" s="189"/>
      <c r="M61" s="189"/>
      <c r="N61" s="189"/>
      <c r="O61" s="189"/>
      <c r="P61" s="187"/>
      <c r="Q61" s="2000">
        <v>5000</v>
      </c>
      <c r="R61" s="2001"/>
      <c r="S61" s="317"/>
      <c r="T61" s="317"/>
      <c r="U61" s="317"/>
    </row>
    <row r="62" spans="1:21" s="302" customFormat="1" ht="11.45" customHeight="1">
      <c r="A62" s="187"/>
      <c r="B62" s="187"/>
      <c r="C62" s="189"/>
      <c r="D62" s="189"/>
      <c r="E62" s="187"/>
      <c r="F62" s="192" t="s">
        <v>4219</v>
      </c>
      <c r="G62" s="189"/>
      <c r="H62" s="187"/>
      <c r="I62" s="187"/>
      <c r="J62" s="189" t="s">
        <v>1257</v>
      </c>
      <c r="K62" s="189"/>
      <c r="L62" s="189"/>
      <c r="M62" s="189"/>
      <c r="N62" s="189"/>
      <c r="O62" s="189"/>
      <c r="P62" s="187"/>
      <c r="Q62" s="2000">
        <v>1000</v>
      </c>
      <c r="R62" s="2001"/>
      <c r="S62" s="317"/>
      <c r="T62" s="317"/>
      <c r="U62" s="317"/>
    </row>
    <row r="63" spans="1:21" s="302" customFormat="1" ht="11.45" customHeight="1">
      <c r="A63" s="189"/>
      <c r="B63" s="189"/>
      <c r="C63" s="189"/>
      <c r="D63" s="189"/>
      <c r="E63" s="187"/>
      <c r="F63" s="192" t="s">
        <v>4219</v>
      </c>
      <c r="G63" s="189"/>
      <c r="H63" s="187"/>
      <c r="I63" s="187"/>
      <c r="J63" s="189" t="s">
        <v>1258</v>
      </c>
      <c r="K63" s="189"/>
      <c r="L63" s="189"/>
      <c r="M63" s="189"/>
      <c r="N63" s="189"/>
      <c r="O63" s="189"/>
      <c r="P63" s="187"/>
      <c r="Q63" s="2000">
        <v>500</v>
      </c>
      <c r="R63" s="2001"/>
      <c r="S63" s="317"/>
      <c r="T63" s="317"/>
      <c r="U63" s="317"/>
    </row>
    <row r="64" spans="1:21" s="302" customFormat="1" ht="11.45" customHeight="1">
      <c r="A64" s="189"/>
      <c r="B64" s="189"/>
      <c r="C64" s="189"/>
      <c r="D64" s="189"/>
      <c r="E64" s="187"/>
      <c r="F64" s="192" t="s">
        <v>799</v>
      </c>
      <c r="G64" s="189"/>
      <c r="H64" s="187"/>
      <c r="I64" s="187"/>
      <c r="J64" s="189" t="s">
        <v>1257</v>
      </c>
      <c r="K64" s="189"/>
      <c r="L64" s="189"/>
      <c r="M64" s="189"/>
      <c r="N64" s="189"/>
      <c r="O64" s="189"/>
      <c r="P64" s="187"/>
      <c r="Q64" s="2000">
        <v>7000</v>
      </c>
      <c r="R64" s="2001"/>
      <c r="S64" s="317"/>
      <c r="T64" s="317"/>
      <c r="U64" s="317"/>
    </row>
    <row r="65" spans="1:21" s="302" customFormat="1" ht="11.45" customHeight="1">
      <c r="A65" s="189"/>
      <c r="B65" s="189"/>
      <c r="C65" s="189"/>
      <c r="D65" s="189"/>
      <c r="E65" s="187"/>
      <c r="F65" s="192" t="s">
        <v>799</v>
      </c>
      <c r="G65" s="189"/>
      <c r="H65" s="187"/>
      <c r="I65" s="187"/>
      <c r="J65" s="189" t="s">
        <v>1258</v>
      </c>
      <c r="K65" s="189"/>
      <c r="L65" s="189"/>
      <c r="M65" s="189"/>
      <c r="N65" s="189"/>
      <c r="O65" s="189"/>
      <c r="P65" s="187"/>
      <c r="Q65" s="2000">
        <v>6000</v>
      </c>
      <c r="R65" s="2001"/>
      <c r="S65" s="317"/>
      <c r="T65" s="317"/>
      <c r="U65" s="317"/>
    </row>
    <row r="66" spans="1:21" s="302" customFormat="1" ht="11.45" customHeight="1">
      <c r="A66" s="189"/>
      <c r="B66" s="189" t="s">
        <v>800</v>
      </c>
      <c r="C66" s="189"/>
      <c r="D66" s="187"/>
      <c r="E66" s="187"/>
      <c r="F66" s="189" t="s">
        <v>288</v>
      </c>
      <c r="G66" s="189"/>
      <c r="H66" s="187"/>
      <c r="I66" s="187"/>
      <c r="J66" s="189" t="s">
        <v>2881</v>
      </c>
      <c r="K66" s="189"/>
      <c r="L66" s="189"/>
      <c r="M66" s="189"/>
      <c r="N66" s="189"/>
      <c r="O66" s="189"/>
      <c r="P66" s="187"/>
      <c r="Q66" s="308">
        <v>25000</v>
      </c>
      <c r="R66" s="316" t="s">
        <v>529</v>
      </c>
      <c r="S66" s="317"/>
      <c r="T66" s="317"/>
      <c r="U66" s="317"/>
    </row>
    <row r="67" spans="1:21" s="302" customFormat="1" ht="11.45" customHeight="1">
      <c r="A67" s="189"/>
      <c r="B67" s="189" t="s">
        <v>2058</v>
      </c>
      <c r="C67" s="189"/>
      <c r="D67" s="187"/>
      <c r="E67" s="187"/>
      <c r="F67" s="189" t="s">
        <v>1253</v>
      </c>
      <c r="G67" s="189"/>
      <c r="H67" s="187"/>
      <c r="I67" s="187"/>
      <c r="J67" s="189" t="s">
        <v>1015</v>
      </c>
      <c r="K67" s="189"/>
      <c r="L67" s="189"/>
      <c r="M67" s="189"/>
      <c r="N67" s="189"/>
      <c r="O67" s="189"/>
      <c r="P67" s="187"/>
      <c r="Q67" s="319" t="s">
        <v>1016</v>
      </c>
      <c r="R67" s="319">
        <v>0.05</v>
      </c>
      <c r="S67" s="317"/>
      <c r="T67" s="317"/>
      <c r="U67" s="317"/>
    </row>
    <row r="68" spans="1:21" s="302" customFormat="1" ht="11.45" customHeight="1">
      <c r="A68" s="189"/>
      <c r="B68" s="189"/>
      <c r="C68" s="189"/>
      <c r="D68" s="187"/>
      <c r="E68" s="187"/>
      <c r="F68" s="189"/>
      <c r="G68" s="189"/>
      <c r="H68" s="187"/>
      <c r="I68" s="187"/>
      <c r="J68" s="189" t="s">
        <v>2130</v>
      </c>
      <c r="K68" s="189"/>
      <c r="L68" s="189"/>
      <c r="M68" s="189"/>
      <c r="N68" s="189"/>
      <c r="O68" s="189"/>
      <c r="P68" s="187"/>
      <c r="Q68" s="319" t="s">
        <v>1016</v>
      </c>
      <c r="R68" s="308">
        <v>500000</v>
      </c>
      <c r="S68" s="317"/>
      <c r="T68" s="317"/>
      <c r="U68" s="317"/>
    </row>
    <row r="69" spans="1:21" s="302" customFormat="1" ht="11.45" customHeight="1">
      <c r="A69" s="189"/>
      <c r="B69" s="189"/>
      <c r="C69" s="189"/>
      <c r="D69" s="187"/>
      <c r="E69" s="187"/>
      <c r="F69" s="189" t="s">
        <v>288</v>
      </c>
      <c r="G69" s="189"/>
      <c r="H69" s="187"/>
      <c r="I69" s="187"/>
      <c r="J69" s="189" t="s">
        <v>1015</v>
      </c>
      <c r="K69" s="189"/>
      <c r="L69" s="189"/>
      <c r="M69" s="189"/>
      <c r="N69" s="189"/>
      <c r="O69" s="189"/>
      <c r="P69" s="187"/>
      <c r="Q69" s="319" t="s">
        <v>1016</v>
      </c>
      <c r="R69" s="319">
        <v>7.0000000000000007E-2</v>
      </c>
      <c r="S69" s="317"/>
      <c r="T69" s="317"/>
      <c r="U69" s="317"/>
    </row>
    <row r="70" spans="1:21" s="302" customFormat="1" ht="11.45" customHeight="1">
      <c r="A70" s="189"/>
      <c r="B70" s="189"/>
      <c r="C70" s="189"/>
      <c r="D70" s="187"/>
      <c r="E70" s="187"/>
      <c r="F70" s="189"/>
      <c r="G70" s="189"/>
      <c r="H70" s="187"/>
      <c r="I70" s="187"/>
      <c r="J70" s="189" t="s">
        <v>2130</v>
      </c>
      <c r="K70" s="189"/>
      <c r="L70" s="189"/>
      <c r="M70" s="189"/>
      <c r="N70" s="189"/>
      <c r="O70" s="189"/>
      <c r="P70" s="187"/>
      <c r="Q70" s="319" t="s">
        <v>1016</v>
      </c>
      <c r="R70" s="308">
        <v>500000</v>
      </c>
      <c r="S70" s="317"/>
      <c r="T70" s="317"/>
      <c r="U70" s="317"/>
    </row>
    <row r="71" spans="1:21" s="302" customFormat="1" ht="11.45" customHeight="1">
      <c r="A71" s="189"/>
      <c r="B71" s="189" t="s">
        <v>2137</v>
      </c>
      <c r="C71" s="189"/>
      <c r="D71" s="187"/>
      <c r="E71" s="187"/>
      <c r="F71" s="189" t="s">
        <v>1820</v>
      </c>
      <c r="G71" s="189"/>
      <c r="H71" s="187"/>
      <c r="I71" s="187"/>
      <c r="J71" s="189" t="s">
        <v>371</v>
      </c>
      <c r="K71" s="189"/>
      <c r="L71" s="189"/>
      <c r="M71" s="189"/>
      <c r="N71" s="189"/>
      <c r="O71" s="189"/>
      <c r="P71" s="187"/>
      <c r="Q71" s="316" t="s">
        <v>1820</v>
      </c>
      <c r="R71" s="319">
        <v>0.06</v>
      </c>
      <c r="S71" s="317"/>
      <c r="T71" s="317"/>
      <c r="U71" s="317"/>
    </row>
    <row r="72" spans="1:21" s="302" customFormat="1" ht="11.45" customHeight="1">
      <c r="A72" s="189"/>
      <c r="B72" s="189" t="s">
        <v>2138</v>
      </c>
      <c r="C72" s="189"/>
      <c r="D72" s="187"/>
      <c r="E72" s="187"/>
      <c r="F72" s="189" t="s">
        <v>1820</v>
      </c>
      <c r="G72" s="189"/>
      <c r="H72" s="187"/>
      <c r="I72" s="187"/>
      <c r="J72" s="189" t="s">
        <v>371</v>
      </c>
      <c r="K72" s="189"/>
      <c r="L72" s="189"/>
      <c r="M72" s="189"/>
      <c r="N72" s="189"/>
      <c r="O72" s="189"/>
      <c r="P72" s="187"/>
      <c r="Q72" s="316" t="s">
        <v>1820</v>
      </c>
      <c r="R72" s="319">
        <v>0.02</v>
      </c>
      <c r="S72" s="317"/>
      <c r="T72" s="317"/>
      <c r="U72" s="317"/>
    </row>
    <row r="73" spans="1:21" s="302" customFormat="1" ht="11.45" customHeight="1">
      <c r="A73" s="189"/>
      <c r="B73" s="189" t="s">
        <v>3131</v>
      </c>
      <c r="C73" s="189"/>
      <c r="D73" s="187"/>
      <c r="E73" s="187"/>
      <c r="F73" s="189" t="s">
        <v>1820</v>
      </c>
      <c r="G73" s="189"/>
      <c r="H73" s="187"/>
      <c r="I73" s="187"/>
      <c r="J73" s="189" t="s">
        <v>371</v>
      </c>
      <c r="K73" s="189"/>
      <c r="L73" s="189"/>
      <c r="M73" s="189"/>
      <c r="N73" s="189"/>
      <c r="O73" s="189"/>
      <c r="P73" s="187"/>
      <c r="Q73" s="316" t="s">
        <v>1820</v>
      </c>
      <c r="R73" s="319">
        <v>0.06</v>
      </c>
      <c r="S73" s="317"/>
      <c r="T73" s="317"/>
      <c r="U73" s="317"/>
    </row>
    <row r="74" spans="1:21" s="302" customFormat="1" ht="11.45" customHeight="1">
      <c r="A74" s="189"/>
      <c r="B74" s="192" t="s">
        <v>991</v>
      </c>
      <c r="C74" s="189"/>
      <c r="D74" s="187"/>
      <c r="E74" s="187"/>
      <c r="F74" s="189" t="s">
        <v>992</v>
      </c>
      <c r="G74" s="189"/>
      <c r="H74" s="187"/>
      <c r="I74" s="187"/>
      <c r="J74" s="189" t="s">
        <v>993</v>
      </c>
      <c r="K74" s="189"/>
      <c r="L74" s="189"/>
      <c r="M74" s="189"/>
      <c r="N74" s="189"/>
      <c r="O74" s="189"/>
      <c r="P74" s="187"/>
      <c r="Q74" s="2002">
        <v>0.08</v>
      </c>
      <c r="R74" s="2002"/>
      <c r="S74" s="317"/>
      <c r="T74" s="317"/>
      <c r="U74" s="317"/>
    </row>
    <row r="75" spans="1:21" s="302" customFormat="1" ht="11.45" customHeight="1">
      <c r="A75" s="189"/>
      <c r="B75" s="192" t="s">
        <v>994</v>
      </c>
      <c r="C75" s="189"/>
      <c r="D75" s="187"/>
      <c r="E75" s="187"/>
      <c r="F75" s="189" t="s">
        <v>992</v>
      </c>
      <c r="G75" s="189"/>
      <c r="H75" s="187"/>
      <c r="I75" s="187"/>
      <c r="J75" s="189" t="s">
        <v>993</v>
      </c>
      <c r="K75" s="189"/>
      <c r="L75" s="189"/>
      <c r="M75" s="189"/>
      <c r="N75" s="189"/>
      <c r="O75" s="189"/>
      <c r="P75" s="187"/>
      <c r="Q75" s="2002">
        <v>0.08</v>
      </c>
      <c r="R75" s="2002"/>
      <c r="S75" s="317"/>
      <c r="T75" s="317"/>
      <c r="U75" s="317"/>
    </row>
    <row r="76" spans="1:21" s="302" customFormat="1" ht="11.45" customHeight="1">
      <c r="A76" s="189"/>
      <c r="B76" s="192" t="s">
        <v>4220</v>
      </c>
      <c r="C76" s="189"/>
      <c r="D76" s="187"/>
      <c r="E76" s="187"/>
      <c r="F76" s="189"/>
      <c r="G76" s="189"/>
      <c r="H76" s="187"/>
      <c r="I76" s="187"/>
      <c r="J76" s="189"/>
      <c r="K76" s="189"/>
      <c r="L76" s="189"/>
      <c r="M76" s="189"/>
      <c r="N76" s="189"/>
      <c r="O76" s="189"/>
      <c r="P76" s="187"/>
      <c r="Q76" s="2000">
        <v>2700</v>
      </c>
      <c r="R76" s="2001"/>
      <c r="S76" s="317"/>
      <c r="T76" s="317"/>
      <c r="U76" s="317"/>
    </row>
    <row r="77" spans="1:21" s="302" customFormat="1" ht="11.45" customHeight="1">
      <c r="A77" s="189"/>
      <c r="B77" s="192" t="s">
        <v>2877</v>
      </c>
      <c r="C77" s="189"/>
      <c r="D77" s="187"/>
      <c r="E77" s="187"/>
      <c r="F77" s="189"/>
      <c r="G77" s="189"/>
      <c r="H77" s="187"/>
      <c r="I77" s="187"/>
      <c r="J77" s="189"/>
      <c r="K77" s="189"/>
      <c r="L77" s="189"/>
      <c r="M77" s="189"/>
      <c r="N77" s="189"/>
      <c r="O77" s="189"/>
      <c r="P77" s="187"/>
      <c r="Q77" s="2000">
        <v>1500</v>
      </c>
      <c r="R77" s="2001"/>
      <c r="S77" s="317"/>
      <c r="T77" s="317"/>
      <c r="U77" s="317"/>
    </row>
    <row r="78" spans="1:21" s="302" customFormat="1" ht="11.45" customHeight="1">
      <c r="A78" s="189"/>
      <c r="B78" s="189" t="s">
        <v>995</v>
      </c>
      <c r="C78" s="189"/>
      <c r="D78" s="187"/>
      <c r="E78" s="187"/>
      <c r="F78" s="189" t="s">
        <v>1688</v>
      </c>
      <c r="G78" s="189"/>
      <c r="H78" s="187"/>
      <c r="I78" s="187"/>
      <c r="J78" s="189" t="s">
        <v>1605</v>
      </c>
      <c r="K78" s="189"/>
      <c r="L78" s="189"/>
      <c r="M78" s="189"/>
      <c r="N78" s="189"/>
      <c r="O78" s="189"/>
      <c r="P78" s="187"/>
      <c r="Q78" s="316">
        <v>800</v>
      </c>
      <c r="R78" s="316" t="s">
        <v>1820</v>
      </c>
      <c r="S78" s="317"/>
      <c r="T78" s="317"/>
      <c r="U78" s="317"/>
    </row>
    <row r="79" spans="1:21" s="302" customFormat="1" ht="11.45" customHeight="1">
      <c r="A79" s="189"/>
      <c r="B79" s="189"/>
      <c r="C79" s="189"/>
      <c r="D79" s="187"/>
      <c r="E79" s="187"/>
      <c r="F79" s="189" t="s">
        <v>2823</v>
      </c>
      <c r="G79" s="189"/>
      <c r="H79" s="187"/>
      <c r="I79" s="187"/>
      <c r="J79" s="189" t="s">
        <v>1605</v>
      </c>
      <c r="K79" s="189"/>
      <c r="L79" s="189"/>
      <c r="M79" s="189"/>
      <c r="N79" s="189"/>
      <c r="O79" s="189"/>
      <c r="P79" s="187"/>
      <c r="Q79" s="316">
        <v>400</v>
      </c>
      <c r="R79" s="316" t="s">
        <v>1820</v>
      </c>
      <c r="S79" s="317"/>
      <c r="T79" s="317"/>
      <c r="U79" s="317"/>
    </row>
    <row r="80" spans="1:21" s="302" customFormat="1" ht="11.45" customHeight="1">
      <c r="A80" s="189"/>
      <c r="B80" s="189"/>
      <c r="C80" s="189"/>
      <c r="D80" s="187"/>
      <c r="E80" s="187"/>
      <c r="F80" s="189" t="s">
        <v>3136</v>
      </c>
      <c r="G80" s="189"/>
      <c r="H80" s="187"/>
      <c r="I80" s="187"/>
      <c r="J80" s="189" t="s">
        <v>2822</v>
      </c>
      <c r="K80" s="189"/>
      <c r="L80" s="189"/>
      <c r="M80" s="189"/>
      <c r="N80" s="189"/>
      <c r="O80" s="189"/>
      <c r="P80" s="187"/>
      <c r="Q80" s="316">
        <v>1500</v>
      </c>
      <c r="R80" s="316" t="s">
        <v>1820</v>
      </c>
      <c r="S80" s="317"/>
      <c r="T80" s="317"/>
      <c r="U80" s="317"/>
    </row>
    <row r="81" spans="1:21" s="302" customFormat="1" ht="11.45" customHeight="1">
      <c r="A81" s="189"/>
      <c r="B81" s="189"/>
      <c r="C81" s="189"/>
      <c r="D81" s="187"/>
      <c r="E81" s="187"/>
      <c r="F81" s="189" t="s">
        <v>2528</v>
      </c>
      <c r="G81" s="189"/>
      <c r="H81" s="187"/>
      <c r="I81" s="187"/>
      <c r="J81" s="189" t="s">
        <v>1605</v>
      </c>
      <c r="K81" s="189"/>
      <c r="L81" s="189"/>
      <c r="M81" s="189"/>
      <c r="N81" s="189"/>
      <c r="O81" s="189"/>
      <c r="P81" s="187"/>
      <c r="Q81" s="316">
        <v>750</v>
      </c>
      <c r="R81" s="316" t="s">
        <v>1820</v>
      </c>
      <c r="S81" s="317"/>
      <c r="T81" s="317"/>
      <c r="U81" s="317"/>
    </row>
    <row r="82" spans="1:21" s="302" customFormat="1" ht="11.45" customHeight="1">
      <c r="A82" s="189"/>
      <c r="B82" s="192"/>
      <c r="C82" s="189"/>
      <c r="D82" s="187"/>
      <c r="E82" s="187"/>
      <c r="F82" s="189" t="s">
        <v>4018</v>
      </c>
      <c r="G82" s="189"/>
      <c r="H82" s="187"/>
      <c r="I82" s="187"/>
      <c r="J82" s="189" t="s">
        <v>4019</v>
      </c>
      <c r="K82" s="189"/>
      <c r="L82" s="189" t="s">
        <v>3135</v>
      </c>
      <c r="M82" s="189"/>
      <c r="N82" s="189"/>
      <c r="O82" s="189"/>
      <c r="P82" s="187"/>
      <c r="Q82" s="2000">
        <v>75</v>
      </c>
      <c r="R82" s="2001"/>
      <c r="S82" s="317"/>
      <c r="T82" s="317"/>
      <c r="U82" s="317"/>
    </row>
    <row r="83" spans="1:21" s="302" customFormat="1" ht="11.45" customHeight="1">
      <c r="A83" s="189"/>
      <c r="B83" s="189" t="s">
        <v>1954</v>
      </c>
      <c r="C83" s="189"/>
      <c r="D83" s="187"/>
      <c r="E83" s="187"/>
      <c r="F83" s="189"/>
      <c r="G83" s="189"/>
      <c r="H83" s="189"/>
      <c r="I83" s="187"/>
      <c r="J83" s="189" t="s">
        <v>1817</v>
      </c>
      <c r="K83" s="189"/>
      <c r="L83" s="189"/>
      <c r="M83" s="189"/>
      <c r="N83" s="189"/>
      <c r="O83" s="189"/>
      <c r="P83" s="187"/>
      <c r="Q83" s="2000">
        <v>1800000</v>
      </c>
      <c r="R83" s="2001"/>
      <c r="S83" s="317"/>
      <c r="T83" s="317"/>
      <c r="U83" s="317"/>
    </row>
    <row r="84" spans="1:21" s="302" customFormat="1" ht="11.45" customHeight="1">
      <c r="A84" s="189"/>
      <c r="B84" s="189"/>
      <c r="C84" s="189"/>
      <c r="D84" s="187"/>
      <c r="E84" s="187"/>
      <c r="F84" s="189"/>
      <c r="G84" s="189"/>
      <c r="H84" s="189"/>
      <c r="I84" s="187"/>
      <c r="J84" s="189" t="s">
        <v>3993</v>
      </c>
      <c r="K84" s="189"/>
      <c r="L84" s="189"/>
      <c r="M84" s="189"/>
      <c r="N84" s="189"/>
      <c r="O84" s="189"/>
      <c r="P84" s="187"/>
      <c r="Q84" s="2000">
        <v>2000000</v>
      </c>
      <c r="R84" s="2001"/>
      <c r="S84" s="317"/>
      <c r="T84" s="317"/>
      <c r="U84" s="317"/>
    </row>
    <row r="85" spans="1:21" s="302" customFormat="1" ht="11.45" customHeight="1">
      <c r="A85" s="189"/>
      <c r="B85" s="189"/>
      <c r="C85" s="189"/>
      <c r="D85" s="187"/>
      <c r="E85" s="187"/>
      <c r="F85" s="189" t="s">
        <v>1799</v>
      </c>
      <c r="G85" s="189"/>
      <c r="H85" s="189" t="s">
        <v>2403</v>
      </c>
      <c r="I85" s="187"/>
      <c r="J85" s="189" t="s">
        <v>1022</v>
      </c>
      <c r="K85" s="189"/>
      <c r="L85" s="189"/>
      <c r="M85" s="189"/>
      <c r="N85" s="189"/>
      <c r="O85" s="189"/>
      <c r="P85" s="187"/>
      <c r="Q85" s="2002">
        <v>0.15</v>
      </c>
      <c r="R85" s="2002"/>
      <c r="S85" s="317"/>
      <c r="T85" s="317"/>
      <c r="U85" s="317"/>
    </row>
    <row r="86" spans="1:21" s="302" customFormat="1" ht="11.45" customHeight="1">
      <c r="A86" s="189"/>
      <c r="B86" s="424"/>
      <c r="C86" s="189"/>
      <c r="D86" s="187"/>
      <c r="E86" s="187"/>
      <c r="F86" s="189"/>
      <c r="G86" s="189"/>
      <c r="H86" s="189" t="s">
        <v>1018</v>
      </c>
      <c r="I86" s="189" t="s">
        <v>1019</v>
      </c>
      <c r="J86" s="189" t="s">
        <v>1021</v>
      </c>
      <c r="K86" s="189"/>
      <c r="L86" s="189"/>
      <c r="M86" s="189"/>
      <c r="N86" s="189"/>
      <c r="O86" s="189"/>
      <c r="P86" s="187"/>
      <c r="Q86" s="2002">
        <v>0.15</v>
      </c>
      <c r="R86" s="2002"/>
      <c r="S86" s="317"/>
      <c r="T86" s="317"/>
      <c r="U86" s="317"/>
    </row>
    <row r="87" spans="1:21" s="302" customFormat="1" ht="11.45" customHeight="1">
      <c r="A87" s="189"/>
      <c r="B87" s="424"/>
      <c r="C87" s="189"/>
      <c r="D87" s="187"/>
      <c r="E87" s="187"/>
      <c r="F87" s="189"/>
      <c r="G87" s="189"/>
      <c r="H87" s="189"/>
      <c r="I87" s="189" t="s">
        <v>1020</v>
      </c>
      <c r="J87" s="189" t="s">
        <v>1023</v>
      </c>
      <c r="K87" s="189"/>
      <c r="L87" s="189"/>
      <c r="M87" s="189"/>
      <c r="N87" s="189"/>
      <c r="O87" s="189"/>
      <c r="P87" s="187"/>
      <c r="Q87" s="2002">
        <v>0.15</v>
      </c>
      <c r="R87" s="2002"/>
      <c r="S87" s="317"/>
      <c r="T87" s="317"/>
      <c r="U87" s="317"/>
    </row>
    <row r="88" spans="1:21" s="302" customFormat="1" ht="11.45" customHeight="1">
      <c r="A88" s="189"/>
      <c r="B88" s="424"/>
      <c r="C88" s="189"/>
      <c r="D88" s="187"/>
      <c r="E88" s="187"/>
      <c r="F88" s="189"/>
      <c r="G88" s="189"/>
      <c r="H88" s="189" t="s">
        <v>1017</v>
      </c>
      <c r="I88" s="187"/>
      <c r="J88" s="189" t="s">
        <v>1023</v>
      </c>
      <c r="K88" s="189"/>
      <c r="L88" s="189"/>
      <c r="M88" s="189"/>
      <c r="N88" s="189"/>
      <c r="O88" s="189"/>
      <c r="P88" s="187"/>
      <c r="Q88" s="2002">
        <v>0.15</v>
      </c>
      <c r="R88" s="2002"/>
      <c r="S88" s="317"/>
      <c r="T88" s="317"/>
      <c r="U88" s="317"/>
    </row>
    <row r="89" spans="1:21" s="302" customFormat="1" ht="11.45" customHeight="1">
      <c r="A89" s="189"/>
      <c r="B89" s="424"/>
      <c r="C89" s="189"/>
      <c r="D89" s="187"/>
      <c r="E89" s="187"/>
      <c r="F89" s="189"/>
      <c r="G89" s="189"/>
      <c r="H89" s="189"/>
      <c r="I89" s="189" t="s">
        <v>1024</v>
      </c>
      <c r="J89" s="189" t="s">
        <v>1025</v>
      </c>
      <c r="K89" s="189"/>
      <c r="L89" s="189"/>
      <c r="M89" s="189"/>
      <c r="N89" s="189"/>
      <c r="O89" s="189"/>
      <c r="P89" s="187"/>
      <c r="Q89" s="2002">
        <v>0.15</v>
      </c>
      <c r="R89" s="2002"/>
      <c r="S89" s="317"/>
      <c r="T89" s="317"/>
      <c r="U89" s="317"/>
    </row>
    <row r="90" spans="1:21" s="302" customFormat="1" ht="11.45" customHeight="1">
      <c r="A90" s="189"/>
      <c r="B90" s="424"/>
      <c r="C90" s="189"/>
      <c r="D90" s="187"/>
      <c r="E90" s="187"/>
      <c r="F90" s="189" t="s">
        <v>1846</v>
      </c>
      <c r="G90" s="189"/>
      <c r="H90" s="189"/>
      <c r="I90" s="187"/>
      <c r="J90" s="189" t="s">
        <v>2484</v>
      </c>
      <c r="K90" s="189"/>
      <c r="L90" s="189"/>
      <c r="M90" s="189"/>
      <c r="N90" s="189"/>
      <c r="O90" s="189"/>
      <c r="P90" s="187"/>
      <c r="Q90" s="2002">
        <v>0.15</v>
      </c>
      <c r="R90" s="2002"/>
      <c r="S90" s="317"/>
      <c r="T90" s="317"/>
      <c r="U90" s="317"/>
    </row>
    <row r="91" spans="1:21" s="302" customFormat="1" ht="11.45" customHeight="1">
      <c r="A91" s="189"/>
      <c r="B91" s="424"/>
      <c r="C91" s="189"/>
      <c r="D91" s="187"/>
      <c r="E91" s="187"/>
      <c r="G91" s="189"/>
      <c r="H91" s="189"/>
      <c r="I91" s="187"/>
      <c r="J91" s="189" t="s">
        <v>2485</v>
      </c>
      <c r="K91" s="189"/>
      <c r="L91" s="189"/>
      <c r="M91" s="189"/>
      <c r="N91" s="189"/>
      <c r="O91" s="189"/>
      <c r="P91" s="187"/>
      <c r="Q91" s="2002" t="s">
        <v>2486</v>
      </c>
      <c r="R91" s="2002"/>
      <c r="S91" s="317"/>
      <c r="T91" s="317"/>
      <c r="U91" s="317"/>
    </row>
    <row r="92" spans="1:21" s="302" customFormat="1" ht="11.45" customHeight="1">
      <c r="A92" s="189"/>
      <c r="B92" s="424"/>
      <c r="C92" s="189"/>
      <c r="D92" s="187"/>
      <c r="E92" s="187"/>
      <c r="F92" s="189" t="s">
        <v>2132</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2131</v>
      </c>
      <c r="G93" s="189"/>
      <c r="I93" s="187"/>
      <c r="J93" s="189"/>
      <c r="K93" s="189"/>
      <c r="L93" s="189"/>
      <c r="M93" s="189"/>
      <c r="N93" s="189"/>
      <c r="O93" s="189"/>
      <c r="P93" s="187"/>
      <c r="Q93" s="319">
        <v>0</v>
      </c>
      <c r="R93" s="319">
        <v>0.5</v>
      </c>
      <c r="S93" s="317"/>
      <c r="T93" s="317"/>
      <c r="U93" s="317"/>
    </row>
    <row r="94" spans="1:21" s="302" customFormat="1" ht="11.45" customHeight="1">
      <c r="A94" s="189"/>
      <c r="B94" s="189" t="s">
        <v>1847</v>
      </c>
      <c r="C94" s="189"/>
      <c r="D94" s="189"/>
      <c r="E94" s="189"/>
      <c r="F94" s="189"/>
      <c r="G94" s="189"/>
      <c r="H94" s="187"/>
      <c r="I94" s="187"/>
      <c r="J94" s="189" t="s">
        <v>1848</v>
      </c>
      <c r="K94" s="189"/>
      <c r="L94" s="189"/>
      <c r="M94" s="189"/>
      <c r="N94" s="189"/>
      <c r="O94" s="189"/>
      <c r="P94" s="187"/>
      <c r="Q94" s="320">
        <v>6</v>
      </c>
      <c r="R94" s="316" t="s">
        <v>1820</v>
      </c>
      <c r="S94" s="317"/>
      <c r="T94" s="317"/>
      <c r="U94" s="317"/>
    </row>
    <row r="95" spans="1:21" s="302" customFormat="1" ht="11.45" customHeight="1">
      <c r="A95" s="189"/>
      <c r="B95" s="189"/>
      <c r="C95" s="189"/>
      <c r="D95" s="189"/>
      <c r="E95" s="189"/>
      <c r="F95" s="189"/>
      <c r="G95" s="189"/>
      <c r="H95" s="187"/>
      <c r="I95" s="187"/>
      <c r="J95" s="189" t="s">
        <v>1849</v>
      </c>
      <c r="K95" s="189"/>
      <c r="L95" s="189"/>
      <c r="M95" s="189"/>
      <c r="N95" s="189"/>
      <c r="O95" s="189"/>
      <c r="P95" s="187"/>
      <c r="Q95" s="320">
        <v>6</v>
      </c>
      <c r="R95" s="316" t="s">
        <v>1820</v>
      </c>
      <c r="S95" s="317"/>
      <c r="T95" s="317"/>
      <c r="U95" s="317"/>
    </row>
    <row r="96" spans="1:21" s="302" customFormat="1" ht="11.45" customHeight="1">
      <c r="A96" s="189"/>
      <c r="B96" s="427" t="s">
        <v>2133</v>
      </c>
      <c r="C96" s="189"/>
      <c r="D96" s="187"/>
      <c r="E96" s="187"/>
      <c r="F96" s="189"/>
      <c r="G96" s="189"/>
      <c r="I96" s="187"/>
      <c r="J96" s="189" t="s">
        <v>2134</v>
      </c>
      <c r="K96" s="189"/>
      <c r="L96" s="189"/>
      <c r="M96" s="189"/>
      <c r="N96" s="189"/>
      <c r="O96" s="189"/>
      <c r="P96" s="187"/>
      <c r="Q96" s="320">
        <v>3</v>
      </c>
      <c r="R96" s="316" t="s">
        <v>1820</v>
      </c>
      <c r="S96" s="317"/>
      <c r="T96" s="317"/>
      <c r="U96" s="317"/>
    </row>
    <row r="97" spans="1:26" s="302" customFormat="1" ht="11.45" customHeight="1">
      <c r="A97" s="189"/>
      <c r="B97" s="192" t="s">
        <v>4221</v>
      </c>
      <c r="C97" s="189"/>
      <c r="D97" s="187"/>
      <c r="E97" s="189"/>
      <c r="F97" s="189"/>
      <c r="G97" s="189"/>
      <c r="H97" s="187"/>
      <c r="I97" s="187"/>
      <c r="J97" s="189" t="s">
        <v>1850</v>
      </c>
      <c r="K97" s="189"/>
      <c r="L97" s="189"/>
      <c r="M97" s="189"/>
      <c r="N97" s="189"/>
      <c r="O97" s="189"/>
      <c r="P97" s="187"/>
      <c r="Q97" s="2000">
        <v>3000</v>
      </c>
      <c r="R97" s="2001"/>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1851</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2530</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1852</v>
      </c>
      <c r="C102" s="189"/>
      <c r="D102" s="189"/>
      <c r="E102" s="189"/>
      <c r="F102" s="189"/>
      <c r="G102" s="189"/>
      <c r="H102" s="189"/>
      <c r="J102" s="189" t="s">
        <v>1853</v>
      </c>
      <c r="K102" s="189"/>
      <c r="L102" s="189"/>
      <c r="M102" s="189"/>
      <c r="N102" s="189"/>
      <c r="O102" s="189"/>
      <c r="Q102" s="2002">
        <v>0.02</v>
      </c>
      <c r="R102" s="2002"/>
    </row>
    <row r="103" spans="1:26" s="317" customFormat="1" ht="11.45" customHeight="1">
      <c r="A103" s="189"/>
      <c r="B103" s="189" t="s">
        <v>1854</v>
      </c>
      <c r="C103" s="189"/>
      <c r="D103" s="189"/>
      <c r="E103" s="189"/>
      <c r="F103" s="189"/>
      <c r="G103" s="189"/>
      <c r="H103" s="189"/>
      <c r="J103" s="189" t="s">
        <v>1853</v>
      </c>
      <c r="K103" s="189"/>
      <c r="L103" s="189"/>
      <c r="M103" s="189"/>
      <c r="N103" s="189"/>
      <c r="O103" s="189"/>
      <c r="Q103" s="2002">
        <v>7.0000000000000007E-2</v>
      </c>
      <c r="R103" s="2002"/>
    </row>
    <row r="104" spans="1:26" s="317" customFormat="1" ht="11.45" customHeight="1">
      <c r="A104" s="189"/>
      <c r="B104" s="189" t="s">
        <v>1855</v>
      </c>
      <c r="C104" s="189"/>
      <c r="D104" s="189"/>
      <c r="E104" s="189"/>
      <c r="F104" s="189"/>
      <c r="G104" s="189"/>
      <c r="H104" s="189"/>
      <c r="J104" s="189" t="s">
        <v>1853</v>
      </c>
      <c r="K104" s="189"/>
      <c r="L104" s="189"/>
      <c r="M104" s="189"/>
      <c r="N104" s="189"/>
      <c r="O104" s="189"/>
      <c r="Q104" s="2002">
        <v>7.0000000000000007E-2</v>
      </c>
      <c r="R104" s="2002"/>
    </row>
    <row r="105" spans="1:26" s="302" customFormat="1" ht="11.45" customHeight="1">
      <c r="A105" s="189"/>
      <c r="B105" s="189" t="s">
        <v>136</v>
      </c>
      <c r="C105" s="189"/>
      <c r="D105" s="187"/>
      <c r="E105" s="187"/>
      <c r="F105" s="187"/>
      <c r="G105" s="189"/>
      <c r="H105" s="187"/>
      <c r="I105" s="187"/>
      <c r="J105" s="189" t="s">
        <v>1853</v>
      </c>
      <c r="K105" s="189"/>
      <c r="L105" s="189"/>
      <c r="M105" s="189"/>
      <c r="N105" s="189"/>
      <c r="O105" s="189"/>
      <c r="P105" s="187"/>
      <c r="Q105" s="2002">
        <v>0.03</v>
      </c>
      <c r="R105" s="2002"/>
      <c r="S105" s="317"/>
      <c r="T105" s="317"/>
      <c r="U105" s="317"/>
    </row>
    <row r="106" spans="1:26" s="302" customFormat="1" ht="11.45" customHeight="1">
      <c r="A106" s="189"/>
      <c r="B106" s="189" t="s">
        <v>137</v>
      </c>
      <c r="C106" s="189"/>
      <c r="D106" s="187"/>
      <c r="E106" s="187"/>
      <c r="F106" s="187"/>
      <c r="G106" s="189"/>
      <c r="H106" s="187"/>
      <c r="I106" s="187"/>
      <c r="J106" s="189" t="s">
        <v>1853</v>
      </c>
      <c r="K106" s="189"/>
      <c r="L106" s="189"/>
      <c r="M106" s="189"/>
      <c r="N106" s="189"/>
      <c r="O106" s="189"/>
      <c r="P106" s="187"/>
      <c r="Q106" s="2002">
        <v>0.03</v>
      </c>
      <c r="R106" s="2002"/>
      <c r="S106" s="317"/>
      <c r="T106" s="317"/>
      <c r="U106" s="317"/>
    </row>
    <row r="107" spans="1:26" s="302" customFormat="1" ht="11.45" customHeight="1">
      <c r="A107" s="189"/>
      <c r="B107" s="189" t="s">
        <v>138</v>
      </c>
      <c r="C107" s="189"/>
      <c r="D107" s="187"/>
      <c r="E107" s="187"/>
      <c r="F107" s="187"/>
      <c r="G107" s="189"/>
      <c r="H107" s="187"/>
      <c r="I107" s="187"/>
      <c r="J107" s="189" t="s">
        <v>1853</v>
      </c>
      <c r="K107" s="189"/>
      <c r="L107" s="189"/>
      <c r="M107" s="189"/>
      <c r="N107" s="189"/>
      <c r="O107" s="189"/>
      <c r="P107" s="187"/>
      <c r="Q107" s="2002">
        <v>0</v>
      </c>
      <c r="R107" s="2002"/>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2818</v>
      </c>
      <c r="B109" s="189"/>
      <c r="C109" s="189"/>
      <c r="D109" s="187"/>
      <c r="E109" s="187"/>
      <c r="F109" s="189" t="s">
        <v>2727</v>
      </c>
      <c r="G109" s="189"/>
      <c r="H109" s="187"/>
      <c r="I109" s="187"/>
      <c r="J109" s="189" t="s">
        <v>2820</v>
      </c>
      <c r="K109" s="189"/>
      <c r="L109" s="189"/>
      <c r="M109" s="189"/>
      <c r="N109" s="189"/>
      <c r="O109" s="189"/>
      <c r="P109" s="187"/>
      <c r="Q109" s="2002">
        <v>0.1</v>
      </c>
      <c r="R109" s="2002"/>
      <c r="S109" s="187"/>
      <c r="T109" s="187"/>
      <c r="U109" s="187"/>
      <c r="V109" s="309"/>
      <c r="W109" s="309"/>
      <c r="X109" s="190"/>
    </row>
    <row r="110" spans="1:26" s="302" customFormat="1" ht="11.45" customHeight="1">
      <c r="A110" s="189"/>
      <c r="B110" s="189"/>
      <c r="C110" s="189"/>
      <c r="D110" s="187"/>
      <c r="E110" s="187"/>
      <c r="F110" s="189" t="s">
        <v>2819</v>
      </c>
      <c r="G110" s="189"/>
      <c r="H110" s="187"/>
      <c r="I110" s="187"/>
      <c r="J110" s="189" t="s">
        <v>2821</v>
      </c>
      <c r="K110" s="189"/>
      <c r="L110" s="189"/>
      <c r="M110" s="189"/>
      <c r="N110" s="189"/>
      <c r="O110" s="189"/>
      <c r="P110" s="187"/>
      <c r="Q110" s="2002">
        <v>0.15</v>
      </c>
      <c r="R110" s="2002"/>
      <c r="S110" s="310"/>
      <c r="T110" s="310"/>
      <c r="U110" s="187"/>
      <c r="V110" s="311"/>
      <c r="W110" s="311"/>
      <c r="X110" s="311"/>
    </row>
    <row r="111" spans="1:26" ht="4.5" customHeight="1"/>
    <row r="112" spans="1:26">
      <c r="A112" s="307" t="s">
        <v>3132</v>
      </c>
      <c r="F112" s="189" t="s">
        <v>2726</v>
      </c>
      <c r="G112" s="189"/>
      <c r="H112" s="187"/>
      <c r="I112" s="187"/>
      <c r="J112" s="189" t="s">
        <v>2820</v>
      </c>
      <c r="K112" s="189"/>
      <c r="L112" s="189"/>
      <c r="M112" s="189"/>
      <c r="N112" s="189"/>
      <c r="O112" s="189"/>
      <c r="P112" s="187"/>
      <c r="Q112" s="2002">
        <v>0.35</v>
      </c>
      <c r="R112" s="2002"/>
    </row>
    <row r="113" spans="1:25" s="302" customFormat="1" ht="12.75" customHeight="1">
      <c r="A113" s="307"/>
      <c r="B113" s="189"/>
      <c r="C113" s="189"/>
      <c r="D113" s="187"/>
      <c r="E113" s="187"/>
      <c r="F113" s="189" t="s">
        <v>3133</v>
      </c>
      <c r="G113" s="189"/>
      <c r="H113" s="187"/>
      <c r="I113" s="187"/>
      <c r="J113" s="189" t="s">
        <v>2820</v>
      </c>
      <c r="K113" s="189"/>
      <c r="L113" s="189"/>
      <c r="M113" s="189"/>
      <c r="N113" s="189"/>
      <c r="O113" s="189"/>
      <c r="P113" s="187"/>
      <c r="Q113" s="2002" t="s">
        <v>3134</v>
      </c>
      <c r="R113" s="2002"/>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845</v>
      </c>
      <c r="K116" s="421"/>
      <c r="L116" s="301"/>
    </row>
    <row r="117" spans="1:25" ht="13.5">
      <c r="C117" s="189"/>
      <c r="D117" s="187"/>
      <c r="J117" s="422" t="s">
        <v>848</v>
      </c>
      <c r="K117" s="422" t="s">
        <v>846</v>
      </c>
      <c r="L117" s="423" t="s">
        <v>847</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1338</v>
      </c>
      <c r="D126" s="420" t="s">
        <v>1084</v>
      </c>
      <c r="E126" s="317"/>
      <c r="F126" s="663" t="s">
        <v>1886</v>
      </c>
      <c r="G126" s="663" t="s">
        <v>1265</v>
      </c>
      <c r="H126" s="663" t="s">
        <v>1266</v>
      </c>
      <c r="I126" s="664" t="s">
        <v>1267</v>
      </c>
      <c r="J126" s="664" t="s">
        <v>1204</v>
      </c>
      <c r="K126" s="663" t="s">
        <v>439</v>
      </c>
      <c r="L126" s="665" t="s">
        <v>1211</v>
      </c>
      <c r="M126" s="665" t="s">
        <v>3067</v>
      </c>
      <c r="N126" s="663" t="s">
        <v>2518</v>
      </c>
      <c r="O126" s="663"/>
      <c r="P126" s="189"/>
      <c r="Q126" s="432"/>
      <c r="R126" s="666" t="s">
        <v>648</v>
      </c>
      <c r="S126" s="667" t="s">
        <v>649</v>
      </c>
      <c r="U126" s="776" t="s">
        <v>3885</v>
      </c>
      <c r="X126" s="484"/>
      <c r="Y126" s="484"/>
    </row>
    <row r="127" spans="1:25" ht="10.5" customHeight="1">
      <c r="C127" s="418" t="s">
        <v>1869</v>
      </c>
      <c r="D127" s="500">
        <v>45900</v>
      </c>
      <c r="E127" s="317"/>
      <c r="F127" s="317" t="s">
        <v>879</v>
      </c>
      <c r="G127" s="432" t="s">
        <v>1268</v>
      </c>
      <c r="H127" s="432" t="s">
        <v>1269</v>
      </c>
      <c r="I127" s="668" t="s">
        <v>1270</v>
      </c>
      <c r="J127" s="668" t="s">
        <v>2739</v>
      </c>
      <c r="K127" s="676" t="s">
        <v>1212</v>
      </c>
      <c r="L127" s="677" t="s">
        <v>437</v>
      </c>
      <c r="M127" s="678" t="s">
        <v>2726</v>
      </c>
      <c r="N127" s="669" t="s">
        <v>1597</v>
      </c>
      <c r="O127" s="328"/>
      <c r="P127" s="189"/>
      <c r="Q127" s="432"/>
      <c r="R127" s="584" t="s">
        <v>2519</v>
      </c>
      <c r="S127" s="584" t="s">
        <v>2047</v>
      </c>
      <c r="U127" s="484" t="s">
        <v>2519</v>
      </c>
      <c r="V127" s="484" t="s">
        <v>3886</v>
      </c>
      <c r="X127" s="484"/>
      <c r="Y127" s="484"/>
    </row>
    <row r="128" spans="1:25" ht="10.5" customHeight="1">
      <c r="C128" s="418" t="s">
        <v>1270</v>
      </c>
      <c r="D128" s="500">
        <v>44400</v>
      </c>
      <c r="E128" s="317"/>
      <c r="F128" s="317" t="s">
        <v>880</v>
      </c>
      <c r="G128" s="432" t="s">
        <v>1864</v>
      </c>
      <c r="H128" s="432" t="s">
        <v>1269</v>
      </c>
      <c r="I128" s="668" t="s">
        <v>1865</v>
      </c>
      <c r="J128" s="668" t="s">
        <v>2739</v>
      </c>
      <c r="K128" s="676" t="s">
        <v>1213</v>
      </c>
      <c r="L128" s="677" t="s">
        <v>437</v>
      </c>
      <c r="M128" s="678" t="s">
        <v>2726</v>
      </c>
      <c r="N128" s="669" t="s">
        <v>1599</v>
      </c>
      <c r="O128" s="328"/>
      <c r="P128" s="189"/>
      <c r="Q128" s="432"/>
      <c r="R128" s="584" t="s">
        <v>1598</v>
      </c>
      <c r="S128" s="584" t="s">
        <v>2608</v>
      </c>
      <c r="U128" s="484" t="s">
        <v>1598</v>
      </c>
      <c r="V128" s="484" t="s">
        <v>3886</v>
      </c>
      <c r="X128" s="484"/>
      <c r="Y128" s="484"/>
    </row>
    <row r="129" spans="3:25" ht="10.5" customHeight="1">
      <c r="C129" s="418" t="s">
        <v>1085</v>
      </c>
      <c r="D129" s="500">
        <v>56600</v>
      </c>
      <c r="E129" s="317"/>
      <c r="F129" s="317" t="s">
        <v>881</v>
      </c>
      <c r="G129" s="432" t="s">
        <v>1866</v>
      </c>
      <c r="H129" s="432" t="s">
        <v>1269</v>
      </c>
      <c r="I129" s="668" t="s">
        <v>1867</v>
      </c>
      <c r="J129" s="668" t="s">
        <v>2739</v>
      </c>
      <c r="K129" s="676" t="s">
        <v>1214</v>
      </c>
      <c r="L129" s="677" t="s">
        <v>437</v>
      </c>
      <c r="M129" s="678" t="s">
        <v>2726</v>
      </c>
      <c r="N129" s="669" t="s">
        <v>481</v>
      </c>
      <c r="O129" s="328"/>
      <c r="P129" s="189"/>
      <c r="Q129" s="432"/>
      <c r="R129" s="584" t="s">
        <v>988</v>
      </c>
      <c r="S129" s="584" t="s">
        <v>1378</v>
      </c>
      <c r="U129" s="484" t="s">
        <v>988</v>
      </c>
      <c r="V129" s="484" t="s">
        <v>3886</v>
      </c>
      <c r="X129" s="484"/>
      <c r="Y129" s="484"/>
    </row>
    <row r="130" spans="3:25" ht="10.5" customHeight="1">
      <c r="C130" s="418" t="s">
        <v>1865</v>
      </c>
      <c r="D130" s="500">
        <v>36800</v>
      </c>
      <c r="E130" s="317"/>
      <c r="F130" s="317" t="s">
        <v>882</v>
      </c>
      <c r="G130" s="432" t="s">
        <v>1868</v>
      </c>
      <c r="H130" s="432" t="s">
        <v>1269</v>
      </c>
      <c r="I130" s="670" t="s">
        <v>1869</v>
      </c>
      <c r="J130" s="670" t="s">
        <v>2740</v>
      </c>
      <c r="K130" s="676" t="s">
        <v>1215</v>
      </c>
      <c r="L130" s="677" t="s">
        <v>438</v>
      </c>
      <c r="M130" s="678" t="s">
        <v>1251</v>
      </c>
      <c r="N130" s="669" t="s">
        <v>2180</v>
      </c>
      <c r="O130" s="328"/>
      <c r="P130" s="189"/>
      <c r="Q130" s="432"/>
      <c r="R130" s="584" t="s">
        <v>482</v>
      </c>
      <c r="S130" s="584" t="s">
        <v>2655</v>
      </c>
      <c r="U130" s="484" t="s">
        <v>2181</v>
      </c>
      <c r="V130" s="484" t="s">
        <v>3886</v>
      </c>
      <c r="X130" s="484"/>
      <c r="Y130" s="484"/>
    </row>
    <row r="131" spans="3:25" ht="10.5" customHeight="1">
      <c r="C131" s="418" t="s">
        <v>804</v>
      </c>
      <c r="D131" s="500">
        <v>68300</v>
      </c>
      <c r="E131" s="317"/>
      <c r="F131" s="317" t="s">
        <v>883</v>
      </c>
      <c r="G131" s="432" t="s">
        <v>1870</v>
      </c>
      <c r="H131" s="432" t="s">
        <v>1399</v>
      </c>
      <c r="I131" s="670" t="s">
        <v>161</v>
      </c>
      <c r="J131" s="670" t="s">
        <v>2739</v>
      </c>
      <c r="K131" s="676" t="s">
        <v>1216</v>
      </c>
      <c r="L131" s="677" t="s">
        <v>437</v>
      </c>
      <c r="M131" s="678" t="s">
        <v>2726</v>
      </c>
      <c r="N131" s="669" t="s">
        <v>2182</v>
      </c>
      <c r="O131" s="328"/>
      <c r="P131" s="189"/>
      <c r="Q131" s="432"/>
      <c r="R131" s="584" t="s">
        <v>2181</v>
      </c>
      <c r="S131" s="584" t="s">
        <v>345</v>
      </c>
      <c r="U131" s="484" t="s">
        <v>2185</v>
      </c>
      <c r="V131" s="484" t="s">
        <v>3886</v>
      </c>
      <c r="X131" s="484"/>
      <c r="Y131" s="484"/>
    </row>
    <row r="132" spans="3:25" ht="10.5" customHeight="1">
      <c r="C132" s="418" t="s">
        <v>805</v>
      </c>
      <c r="D132" s="500">
        <v>59100</v>
      </c>
      <c r="E132" s="317"/>
      <c r="F132" s="317" t="s">
        <v>884</v>
      </c>
      <c r="G132" s="432" t="s">
        <v>1374</v>
      </c>
      <c r="H132" s="432" t="s">
        <v>1375</v>
      </c>
      <c r="I132" s="668" t="s">
        <v>1376</v>
      </c>
      <c r="J132" s="668" t="s">
        <v>2739</v>
      </c>
      <c r="K132" s="676" t="s">
        <v>1914</v>
      </c>
      <c r="L132" s="677" t="s">
        <v>437</v>
      </c>
      <c r="M132" s="678" t="s">
        <v>2726</v>
      </c>
      <c r="N132" s="669" t="s">
        <v>2184</v>
      </c>
      <c r="O132" s="328"/>
      <c r="P132" s="189"/>
      <c r="Q132" s="432"/>
      <c r="R132" s="584" t="s">
        <v>2183</v>
      </c>
      <c r="S132" s="584" t="s">
        <v>189</v>
      </c>
      <c r="U132" s="484" t="s">
        <v>1869</v>
      </c>
      <c r="V132" s="484" t="s">
        <v>3886</v>
      </c>
      <c r="X132" s="484"/>
      <c r="Y132" s="484"/>
    </row>
    <row r="133" spans="3:25" ht="10.5" customHeight="1">
      <c r="C133" s="418" t="s">
        <v>1867</v>
      </c>
      <c r="D133" s="500">
        <v>46700</v>
      </c>
      <c r="E133" s="317"/>
      <c r="F133" s="317" t="s">
        <v>885</v>
      </c>
      <c r="G133" s="432" t="s">
        <v>1377</v>
      </c>
      <c r="H133" s="432" t="s">
        <v>1399</v>
      </c>
      <c r="I133" s="670" t="s">
        <v>804</v>
      </c>
      <c r="J133" s="670" t="s">
        <v>2740</v>
      </c>
      <c r="K133" s="676" t="s">
        <v>2703</v>
      </c>
      <c r="L133" s="677" t="s">
        <v>438</v>
      </c>
      <c r="M133" s="678" t="s">
        <v>1251</v>
      </c>
      <c r="N133" s="669" t="s">
        <v>2186</v>
      </c>
      <c r="O133" s="328"/>
      <c r="P133" s="189"/>
      <c r="Q133" s="432"/>
      <c r="R133" s="584" t="s">
        <v>2185</v>
      </c>
      <c r="S133" s="584" t="s">
        <v>114</v>
      </c>
      <c r="U133" s="484" t="s">
        <v>463</v>
      </c>
      <c r="V133" s="484" t="s">
        <v>3886</v>
      </c>
      <c r="X133" s="484"/>
      <c r="Y133" s="484"/>
    </row>
    <row r="134" spans="3:25" ht="10.5" customHeight="1">
      <c r="C134" s="418" t="s">
        <v>161</v>
      </c>
      <c r="D134" s="500">
        <v>51700</v>
      </c>
      <c r="E134" s="317"/>
      <c r="F134" s="317" t="s">
        <v>886</v>
      </c>
      <c r="G134" s="432" t="s">
        <v>1378</v>
      </c>
      <c r="H134" s="432" t="s">
        <v>1375</v>
      </c>
      <c r="I134" s="670" t="s">
        <v>804</v>
      </c>
      <c r="J134" s="670" t="s">
        <v>2740</v>
      </c>
      <c r="K134" s="676" t="s">
        <v>2703</v>
      </c>
      <c r="L134" s="677" t="s">
        <v>438</v>
      </c>
      <c r="M134" s="678" t="s">
        <v>1251</v>
      </c>
      <c r="N134" s="669" t="s">
        <v>2188</v>
      </c>
      <c r="O134" s="328"/>
      <c r="P134" s="189"/>
      <c r="Q134" s="432"/>
      <c r="R134" s="584" t="s">
        <v>2187</v>
      </c>
      <c r="S134" s="584" t="s">
        <v>1381</v>
      </c>
      <c r="U134" s="484" t="s">
        <v>465</v>
      </c>
      <c r="V134" s="484" t="s">
        <v>3886</v>
      </c>
      <c r="X134" s="484"/>
      <c r="Y134" s="484"/>
    </row>
    <row r="135" spans="3:25" ht="10.5" customHeight="1">
      <c r="C135" s="418" t="s">
        <v>1376</v>
      </c>
      <c r="D135" s="500">
        <v>53600</v>
      </c>
      <c r="E135" s="317"/>
      <c r="F135" s="317" t="s">
        <v>887</v>
      </c>
      <c r="G135" s="432" t="s">
        <v>1379</v>
      </c>
      <c r="H135" s="432" t="s">
        <v>1269</v>
      </c>
      <c r="I135" s="668" t="s">
        <v>1380</v>
      </c>
      <c r="J135" s="668" t="s">
        <v>2739</v>
      </c>
      <c r="K135" s="676" t="s">
        <v>2704</v>
      </c>
      <c r="L135" s="677" t="s">
        <v>437</v>
      </c>
      <c r="M135" s="678" t="s">
        <v>2726</v>
      </c>
      <c r="N135" s="669" t="s">
        <v>2059</v>
      </c>
      <c r="O135" s="617"/>
      <c r="P135" s="189"/>
      <c r="Q135" s="432"/>
      <c r="R135" s="584" t="s">
        <v>1869</v>
      </c>
      <c r="S135" s="584" t="s">
        <v>999</v>
      </c>
      <c r="U135" s="484" t="s">
        <v>1940</v>
      </c>
      <c r="V135" s="484" t="s">
        <v>3886</v>
      </c>
      <c r="X135" s="484"/>
      <c r="Y135" s="484"/>
    </row>
    <row r="136" spans="3:25" ht="10.5" customHeight="1">
      <c r="C136" s="419" t="s">
        <v>1088</v>
      </c>
      <c r="D136" s="500">
        <v>38600</v>
      </c>
      <c r="E136" s="317"/>
      <c r="F136" s="317" t="s">
        <v>888</v>
      </c>
      <c r="G136" s="432" t="s">
        <v>1381</v>
      </c>
      <c r="H136" s="432" t="s">
        <v>1269</v>
      </c>
      <c r="I136" s="668" t="s">
        <v>1382</v>
      </c>
      <c r="J136" s="668" t="s">
        <v>2739</v>
      </c>
      <c r="K136" s="676" t="s">
        <v>2705</v>
      </c>
      <c r="L136" s="677" t="s">
        <v>437</v>
      </c>
      <c r="M136" s="678" t="s">
        <v>2726</v>
      </c>
      <c r="N136" s="669" t="s">
        <v>185</v>
      </c>
      <c r="O136" s="617"/>
      <c r="P136" s="317"/>
      <c r="Q136" s="432"/>
      <c r="R136" s="584" t="s">
        <v>2060</v>
      </c>
      <c r="S136" s="584" t="s">
        <v>445</v>
      </c>
      <c r="U136" s="484" t="s">
        <v>2675</v>
      </c>
      <c r="V136" s="484" t="s">
        <v>3886</v>
      </c>
      <c r="X136" s="484"/>
      <c r="Y136" s="484"/>
    </row>
    <row r="137" spans="3:25" ht="10.5" customHeight="1">
      <c r="C137" s="419" t="s">
        <v>1382</v>
      </c>
      <c r="D137" s="500">
        <v>42700</v>
      </c>
      <c r="E137" s="317"/>
      <c r="F137" s="317" t="s">
        <v>889</v>
      </c>
      <c r="G137" s="432" t="s">
        <v>1383</v>
      </c>
      <c r="H137" s="432" t="s">
        <v>1399</v>
      </c>
      <c r="I137" s="670" t="s">
        <v>1384</v>
      </c>
      <c r="J137" s="670" t="s">
        <v>2740</v>
      </c>
      <c r="K137" s="676" t="s">
        <v>2706</v>
      </c>
      <c r="L137" s="677" t="s">
        <v>438</v>
      </c>
      <c r="M137" s="678" t="s">
        <v>1251</v>
      </c>
      <c r="N137" s="669" t="s">
        <v>187</v>
      </c>
      <c r="O137" s="617"/>
      <c r="P137" s="189"/>
      <c r="Q137" s="432"/>
      <c r="R137" s="584" t="s">
        <v>186</v>
      </c>
      <c r="S137" s="584" t="s">
        <v>1529</v>
      </c>
      <c r="U137" s="484" t="s">
        <v>2681</v>
      </c>
      <c r="V137" s="484" t="s">
        <v>3886</v>
      </c>
      <c r="X137" s="484"/>
      <c r="Y137" s="484"/>
    </row>
    <row r="138" spans="3:25" ht="10.5" customHeight="1">
      <c r="C138" s="419" t="s">
        <v>1386</v>
      </c>
      <c r="D138" s="500">
        <v>58800</v>
      </c>
      <c r="E138" s="317"/>
      <c r="F138" s="317" t="s">
        <v>890</v>
      </c>
      <c r="G138" s="432" t="s">
        <v>1385</v>
      </c>
      <c r="H138" s="432" t="s">
        <v>1269</v>
      </c>
      <c r="I138" s="670" t="s">
        <v>1386</v>
      </c>
      <c r="J138" s="670" t="s">
        <v>2739</v>
      </c>
      <c r="K138" s="676" t="s">
        <v>2707</v>
      </c>
      <c r="L138" s="677" t="s">
        <v>437</v>
      </c>
      <c r="M138" s="678" t="s">
        <v>2726</v>
      </c>
      <c r="N138" s="669" t="s">
        <v>462</v>
      </c>
      <c r="O138" s="328"/>
      <c r="P138" s="189"/>
      <c r="Q138" s="432"/>
      <c r="R138" s="584" t="s">
        <v>188</v>
      </c>
      <c r="S138" s="584" t="s">
        <v>2515</v>
      </c>
      <c r="U138" s="484" t="s">
        <v>2686</v>
      </c>
      <c r="V138" s="484" t="s">
        <v>3886</v>
      </c>
      <c r="X138" s="484"/>
      <c r="Y138" s="484"/>
    </row>
    <row r="139" spans="3:25" ht="10.5" customHeight="1">
      <c r="C139" s="418" t="s">
        <v>12</v>
      </c>
      <c r="D139" s="500">
        <v>55300</v>
      </c>
      <c r="E139" s="317"/>
      <c r="F139" s="317" t="s">
        <v>891</v>
      </c>
      <c r="G139" s="432" t="s">
        <v>1387</v>
      </c>
      <c r="H139" s="432" t="s">
        <v>1269</v>
      </c>
      <c r="I139" s="668" t="s">
        <v>12</v>
      </c>
      <c r="J139" s="668" t="s">
        <v>2740</v>
      </c>
      <c r="K139" s="676" t="s">
        <v>2708</v>
      </c>
      <c r="L139" s="677" t="s">
        <v>438</v>
      </c>
      <c r="M139" s="678" t="s">
        <v>1251</v>
      </c>
      <c r="N139" s="669" t="s">
        <v>464</v>
      </c>
      <c r="O139" s="328"/>
      <c r="P139" s="189"/>
      <c r="Q139" s="432"/>
      <c r="R139" s="584" t="s">
        <v>463</v>
      </c>
      <c r="S139" s="584" t="s">
        <v>1866</v>
      </c>
      <c r="U139" s="484" t="s">
        <v>171</v>
      </c>
      <c r="V139" s="484" t="s">
        <v>3886</v>
      </c>
      <c r="X139" s="484"/>
      <c r="Y139" s="484"/>
    </row>
    <row r="140" spans="3:25" ht="10.5" customHeight="1">
      <c r="C140" s="419" t="s">
        <v>1392</v>
      </c>
      <c r="D140" s="500">
        <v>51700</v>
      </c>
      <c r="E140" s="317"/>
      <c r="F140" s="317" t="s">
        <v>892</v>
      </c>
      <c r="G140" s="432" t="s">
        <v>1388</v>
      </c>
      <c r="H140" s="432" t="s">
        <v>1269</v>
      </c>
      <c r="I140" s="668" t="s">
        <v>1780</v>
      </c>
      <c r="J140" s="668" t="s">
        <v>2740</v>
      </c>
      <c r="K140" s="676" t="s">
        <v>2709</v>
      </c>
      <c r="L140" s="677" t="s">
        <v>438</v>
      </c>
      <c r="M140" s="678" t="s">
        <v>1251</v>
      </c>
      <c r="N140" s="669" t="s">
        <v>466</v>
      </c>
      <c r="O140" s="328"/>
      <c r="P140" s="189"/>
      <c r="Q140" s="432"/>
      <c r="R140" s="584" t="s">
        <v>465</v>
      </c>
      <c r="S140" s="584" t="s">
        <v>1264</v>
      </c>
      <c r="U140" s="484" t="s">
        <v>1263</v>
      </c>
      <c r="V140" s="484" t="s">
        <v>3886</v>
      </c>
      <c r="X140" s="484"/>
      <c r="Y140" s="484"/>
    </row>
    <row r="141" spans="3:25" ht="10.5" customHeight="1">
      <c r="C141" s="418" t="s">
        <v>1086</v>
      </c>
      <c r="D141" s="500">
        <v>64700</v>
      </c>
      <c r="E141" s="317"/>
      <c r="F141" s="317" t="s">
        <v>893</v>
      </c>
      <c r="G141" s="432" t="s">
        <v>1389</v>
      </c>
      <c r="H141" s="432" t="s">
        <v>1269</v>
      </c>
      <c r="I141" s="670" t="s">
        <v>1390</v>
      </c>
      <c r="J141" s="670" t="s">
        <v>2740</v>
      </c>
      <c r="K141" s="676" t="s">
        <v>1536</v>
      </c>
      <c r="L141" s="677" t="s">
        <v>438</v>
      </c>
      <c r="M141" s="678" t="s">
        <v>1251</v>
      </c>
      <c r="N141" s="669" t="s">
        <v>468</v>
      </c>
      <c r="O141" s="328"/>
      <c r="P141" s="189"/>
      <c r="Q141" s="432"/>
      <c r="R141" s="584" t="s">
        <v>467</v>
      </c>
      <c r="S141" s="584" t="s">
        <v>189</v>
      </c>
      <c r="U141" s="484" t="s">
        <v>2171</v>
      </c>
      <c r="V141" s="484" t="s">
        <v>3886</v>
      </c>
      <c r="X141" s="484"/>
      <c r="Y141" s="484"/>
    </row>
    <row r="142" spans="3:25" ht="10.5" customHeight="1">
      <c r="C142" s="419" t="s">
        <v>1397</v>
      </c>
      <c r="D142" s="500">
        <v>46300</v>
      </c>
      <c r="E142" s="317"/>
      <c r="F142" s="317" t="s">
        <v>894</v>
      </c>
      <c r="G142" s="432" t="s">
        <v>1391</v>
      </c>
      <c r="H142" s="432" t="s">
        <v>1269</v>
      </c>
      <c r="I142" s="670" t="s">
        <v>1392</v>
      </c>
      <c r="J142" s="670" t="s">
        <v>2739</v>
      </c>
      <c r="K142" s="676" t="s">
        <v>2724</v>
      </c>
      <c r="L142" s="677" t="s">
        <v>437</v>
      </c>
      <c r="M142" s="678" t="s">
        <v>2726</v>
      </c>
      <c r="N142" s="669" t="s">
        <v>2370</v>
      </c>
      <c r="O142" s="328"/>
      <c r="P142" s="189"/>
      <c r="Q142" s="432"/>
      <c r="R142" s="584" t="s">
        <v>469</v>
      </c>
      <c r="S142" s="584" t="s">
        <v>124</v>
      </c>
      <c r="U142" s="484" t="s">
        <v>1394</v>
      </c>
      <c r="V142" s="484" t="s">
        <v>3886</v>
      </c>
      <c r="X142" s="484"/>
      <c r="Y142" s="484"/>
    </row>
    <row r="143" spans="3:25" ht="10.5" customHeight="1">
      <c r="C143" s="419" t="s">
        <v>769</v>
      </c>
      <c r="D143" s="500">
        <v>65400</v>
      </c>
      <c r="E143" s="317"/>
      <c r="F143" s="317" t="s">
        <v>895</v>
      </c>
      <c r="G143" s="432" t="s">
        <v>1393</v>
      </c>
      <c r="H143" s="432" t="s">
        <v>1399</v>
      </c>
      <c r="I143" s="670" t="s">
        <v>805</v>
      </c>
      <c r="J143" s="670" t="s">
        <v>2740</v>
      </c>
      <c r="K143" s="676" t="s">
        <v>2725</v>
      </c>
      <c r="L143" s="677" t="s">
        <v>438</v>
      </c>
      <c r="M143" s="678" t="s">
        <v>1251</v>
      </c>
      <c r="N143" s="669" t="s">
        <v>2372</v>
      </c>
      <c r="O143" s="328"/>
      <c r="P143" s="189"/>
      <c r="Q143" s="432"/>
      <c r="R143" s="584" t="s">
        <v>2371</v>
      </c>
      <c r="S143" s="584" t="s">
        <v>2609</v>
      </c>
      <c r="U143" s="484" t="s">
        <v>2174</v>
      </c>
      <c r="V143" s="484" t="s">
        <v>3886</v>
      </c>
      <c r="X143" s="484"/>
      <c r="Y143" s="484"/>
    </row>
    <row r="144" spans="3:25" ht="10.5" customHeight="1">
      <c r="C144" s="419" t="s">
        <v>771</v>
      </c>
      <c r="D144" s="500">
        <v>41900</v>
      </c>
      <c r="E144" s="317"/>
      <c r="F144" s="317" t="s">
        <v>896</v>
      </c>
      <c r="G144" s="432" t="s">
        <v>1395</v>
      </c>
      <c r="H144" s="432" t="s">
        <v>1399</v>
      </c>
      <c r="I144" s="670" t="s">
        <v>1086</v>
      </c>
      <c r="J144" s="670" t="s">
        <v>2740</v>
      </c>
      <c r="K144" s="676" t="s">
        <v>1316</v>
      </c>
      <c r="L144" s="677" t="s">
        <v>438</v>
      </c>
      <c r="M144" s="678" t="s">
        <v>1251</v>
      </c>
      <c r="N144" s="669" t="s">
        <v>382</v>
      </c>
      <c r="O144" s="328"/>
      <c r="P144" s="189"/>
      <c r="Q144" s="432"/>
      <c r="R144" s="584" t="s">
        <v>1940</v>
      </c>
      <c r="S144" s="584" t="s">
        <v>2279</v>
      </c>
      <c r="U144" s="484" t="s">
        <v>2207</v>
      </c>
      <c r="V144" s="484" t="s">
        <v>3886</v>
      </c>
      <c r="X144" s="484"/>
      <c r="Y144" s="484"/>
    </row>
    <row r="145" spans="3:25" ht="10.5" customHeight="1">
      <c r="C145" s="418" t="s">
        <v>163</v>
      </c>
      <c r="D145" s="500">
        <v>51000</v>
      </c>
      <c r="E145" s="317"/>
      <c r="F145" s="317" t="s">
        <v>897</v>
      </c>
      <c r="G145" s="432" t="s">
        <v>1396</v>
      </c>
      <c r="H145" s="432" t="s">
        <v>1269</v>
      </c>
      <c r="I145" s="668" t="s">
        <v>1397</v>
      </c>
      <c r="J145" s="668" t="s">
        <v>2739</v>
      </c>
      <c r="K145" s="676" t="s">
        <v>1317</v>
      </c>
      <c r="L145" s="677" t="s">
        <v>437</v>
      </c>
      <c r="M145" s="678" t="s">
        <v>2726</v>
      </c>
      <c r="N145" s="669" t="s">
        <v>384</v>
      </c>
      <c r="O145" s="328"/>
      <c r="P145" s="189"/>
      <c r="Q145" s="432"/>
      <c r="R145" s="584" t="s">
        <v>383</v>
      </c>
      <c r="S145" s="584" t="s">
        <v>2279</v>
      </c>
      <c r="U145" s="484" t="s">
        <v>2211</v>
      </c>
      <c r="V145" s="484" t="s">
        <v>3886</v>
      </c>
      <c r="X145" s="484"/>
      <c r="Y145" s="484"/>
    </row>
    <row r="146" spans="3:25" ht="10.5" customHeight="1">
      <c r="C146" s="418" t="s">
        <v>1596</v>
      </c>
      <c r="D146" s="500">
        <v>59000</v>
      </c>
      <c r="E146" s="317"/>
      <c r="F146" s="317" t="s">
        <v>898</v>
      </c>
      <c r="G146" s="432" t="s">
        <v>1398</v>
      </c>
      <c r="H146" s="432" t="s">
        <v>1269</v>
      </c>
      <c r="I146" s="670" t="s">
        <v>769</v>
      </c>
      <c r="J146" s="670" t="s">
        <v>2739</v>
      </c>
      <c r="K146" s="676" t="s">
        <v>1318</v>
      </c>
      <c r="L146" s="677" t="s">
        <v>437</v>
      </c>
      <c r="M146" s="678" t="s">
        <v>2726</v>
      </c>
      <c r="N146" s="669" t="s">
        <v>2672</v>
      </c>
      <c r="O146" s="328"/>
      <c r="P146" s="189"/>
      <c r="Q146" s="432"/>
      <c r="R146" s="584" t="s">
        <v>1268</v>
      </c>
      <c r="S146" s="584" t="s">
        <v>2654</v>
      </c>
      <c r="U146" s="484" t="s">
        <v>1870</v>
      </c>
      <c r="V146" s="484" t="s">
        <v>3886</v>
      </c>
      <c r="X146" s="484"/>
      <c r="Y146" s="484"/>
    </row>
    <row r="147" spans="3:25" ht="10.5" customHeight="1">
      <c r="C147" s="418" t="s">
        <v>168</v>
      </c>
      <c r="D147" s="500">
        <v>43000</v>
      </c>
      <c r="E147" s="317"/>
      <c r="F147" s="317" t="s">
        <v>899</v>
      </c>
      <c r="G147" s="432" t="s">
        <v>770</v>
      </c>
      <c r="H147" s="432" t="s">
        <v>1269</v>
      </c>
      <c r="I147" s="668" t="s">
        <v>771</v>
      </c>
      <c r="J147" s="668" t="s">
        <v>2739</v>
      </c>
      <c r="K147" s="676" t="s">
        <v>1795</v>
      </c>
      <c r="L147" s="677" t="s">
        <v>437</v>
      </c>
      <c r="M147" s="678" t="s">
        <v>2726</v>
      </c>
      <c r="N147" s="669" t="s">
        <v>2674</v>
      </c>
      <c r="O147" s="328"/>
      <c r="P147" s="189"/>
      <c r="Q147" s="432"/>
      <c r="R147" s="584" t="s">
        <v>2673</v>
      </c>
      <c r="S147" s="584" t="s">
        <v>2659</v>
      </c>
      <c r="U147" s="484" t="s">
        <v>1054</v>
      </c>
      <c r="V147" s="484" t="s">
        <v>3886</v>
      </c>
      <c r="X147" s="484"/>
      <c r="Y147" s="484"/>
    </row>
    <row r="148" spans="3:25" ht="10.5" customHeight="1">
      <c r="C148" s="418" t="s">
        <v>2604</v>
      </c>
      <c r="D148" s="500">
        <v>29400</v>
      </c>
      <c r="E148" s="317"/>
      <c r="F148" s="317" t="s">
        <v>900</v>
      </c>
      <c r="G148" s="432" t="s">
        <v>772</v>
      </c>
      <c r="H148" s="432" t="s">
        <v>1399</v>
      </c>
      <c r="I148" s="670" t="s">
        <v>804</v>
      </c>
      <c r="J148" s="670" t="s">
        <v>2740</v>
      </c>
      <c r="K148" s="676" t="s">
        <v>2703</v>
      </c>
      <c r="L148" s="677" t="s">
        <v>438</v>
      </c>
      <c r="M148" s="678" t="s">
        <v>1251</v>
      </c>
      <c r="N148" s="669" t="s">
        <v>2676</v>
      </c>
      <c r="O148" s="328"/>
      <c r="P148" s="189"/>
      <c r="Q148" s="432"/>
      <c r="R148" s="584" t="s">
        <v>2675</v>
      </c>
      <c r="S148" s="584" t="s">
        <v>1147</v>
      </c>
      <c r="U148" s="484" t="s">
        <v>2565</v>
      </c>
      <c r="V148" s="484" t="s">
        <v>3886</v>
      </c>
      <c r="X148" s="484"/>
      <c r="Y148" s="484"/>
    </row>
    <row r="149" spans="3:25" ht="10.5" customHeight="1">
      <c r="C149" s="419" t="s">
        <v>2607</v>
      </c>
      <c r="D149" s="500">
        <v>47100</v>
      </c>
      <c r="E149" s="317"/>
      <c r="F149" s="317" t="s">
        <v>901</v>
      </c>
      <c r="G149" s="432" t="s">
        <v>1595</v>
      </c>
      <c r="H149" s="432" t="s">
        <v>1375</v>
      </c>
      <c r="I149" s="670" t="s">
        <v>1596</v>
      </c>
      <c r="J149" s="670" t="s">
        <v>2740</v>
      </c>
      <c r="K149" s="676" t="s">
        <v>1764</v>
      </c>
      <c r="L149" s="677" t="s">
        <v>438</v>
      </c>
      <c r="M149" s="678" t="s">
        <v>1251</v>
      </c>
      <c r="N149" s="669" t="s">
        <v>2678</v>
      </c>
      <c r="O149" s="328"/>
      <c r="P149" s="189"/>
      <c r="Q149" s="432"/>
      <c r="R149" s="584" t="s">
        <v>2677</v>
      </c>
      <c r="S149" s="584" t="s">
        <v>336</v>
      </c>
      <c r="U149" s="484" t="s">
        <v>2567</v>
      </c>
      <c r="V149" s="484" t="s">
        <v>3886</v>
      </c>
      <c r="X149" s="484"/>
      <c r="Y149" s="484"/>
    </row>
    <row r="150" spans="3:25" ht="10.5" customHeight="1">
      <c r="C150" s="419" t="s">
        <v>2610</v>
      </c>
      <c r="D150" s="500">
        <v>42900</v>
      </c>
      <c r="E150" s="317"/>
      <c r="F150" s="317" t="s">
        <v>902</v>
      </c>
      <c r="G150" s="432" t="s">
        <v>162</v>
      </c>
      <c r="H150" s="432" t="s">
        <v>1269</v>
      </c>
      <c r="I150" s="668" t="s">
        <v>163</v>
      </c>
      <c r="J150" s="668" t="s">
        <v>2739</v>
      </c>
      <c r="K150" s="676" t="s">
        <v>1765</v>
      </c>
      <c r="L150" s="677" t="s">
        <v>437</v>
      </c>
      <c r="M150" s="678" t="s">
        <v>2726</v>
      </c>
      <c r="N150" s="669" t="s">
        <v>2680</v>
      </c>
      <c r="O150" s="328"/>
      <c r="P150" s="189"/>
      <c r="Q150" s="432"/>
      <c r="R150" s="584" t="s">
        <v>2679</v>
      </c>
      <c r="S150" s="584" t="s">
        <v>2606</v>
      </c>
      <c r="U150" s="484" t="s">
        <v>2569</v>
      </c>
      <c r="V150" s="484" t="s">
        <v>3886</v>
      </c>
      <c r="X150" s="484"/>
      <c r="Y150" s="484"/>
    </row>
    <row r="151" spans="3:25" ht="10.5" customHeight="1">
      <c r="C151" s="419" t="s">
        <v>2653</v>
      </c>
      <c r="D151" s="500">
        <v>43700</v>
      </c>
      <c r="E151" s="317"/>
      <c r="F151" s="317" t="s">
        <v>903</v>
      </c>
      <c r="G151" s="432" t="s">
        <v>164</v>
      </c>
      <c r="H151" s="432" t="s">
        <v>1269</v>
      </c>
      <c r="I151" s="670" t="s">
        <v>1390</v>
      </c>
      <c r="J151" s="670" t="s">
        <v>2740</v>
      </c>
      <c r="K151" s="676" t="s">
        <v>1536</v>
      </c>
      <c r="L151" s="677" t="s">
        <v>438</v>
      </c>
      <c r="M151" s="678" t="s">
        <v>1251</v>
      </c>
      <c r="N151" s="669" t="s">
        <v>2682</v>
      </c>
      <c r="O151" s="328"/>
      <c r="P151" s="189"/>
      <c r="Q151" s="432"/>
      <c r="R151" s="584" t="s">
        <v>2681</v>
      </c>
      <c r="S151" s="584" t="s">
        <v>1396</v>
      </c>
      <c r="U151" s="484" t="s">
        <v>2572</v>
      </c>
      <c r="V151" s="484" t="s">
        <v>3886</v>
      </c>
      <c r="X151" s="484"/>
      <c r="Y151" s="484"/>
    </row>
    <row r="152" spans="3:25" ht="10.5" customHeight="1">
      <c r="C152" s="418" t="s">
        <v>166</v>
      </c>
      <c r="D152" s="500">
        <v>58200</v>
      </c>
      <c r="E152" s="317"/>
      <c r="F152" s="317" t="s">
        <v>1406</v>
      </c>
      <c r="G152" s="432" t="s">
        <v>165</v>
      </c>
      <c r="H152" s="432" t="s">
        <v>1399</v>
      </c>
      <c r="I152" s="670" t="s">
        <v>166</v>
      </c>
      <c r="J152" s="670" t="s">
        <v>2740</v>
      </c>
      <c r="K152" s="676" t="s">
        <v>1766</v>
      </c>
      <c r="L152" s="677" t="s">
        <v>438</v>
      </c>
      <c r="M152" s="678" t="s">
        <v>1251</v>
      </c>
      <c r="N152" s="669" t="s">
        <v>2683</v>
      </c>
      <c r="O152" s="328"/>
      <c r="P152" s="189"/>
      <c r="Q152" s="432"/>
      <c r="R152" s="584" t="s">
        <v>2684</v>
      </c>
      <c r="S152" s="584" t="s">
        <v>2718</v>
      </c>
      <c r="U152" s="484" t="s">
        <v>2337</v>
      </c>
      <c r="V152" s="484" t="s">
        <v>3886</v>
      </c>
      <c r="X152" s="484"/>
      <c r="Y152" s="484"/>
    </row>
    <row r="153" spans="3:25" ht="10.5" customHeight="1">
      <c r="C153" s="419" t="s">
        <v>2656</v>
      </c>
      <c r="D153" s="500">
        <v>50300</v>
      </c>
      <c r="E153" s="317"/>
      <c r="F153" s="317" t="s">
        <v>1407</v>
      </c>
      <c r="G153" s="432" t="s">
        <v>167</v>
      </c>
      <c r="H153" s="432" t="s">
        <v>1375</v>
      </c>
      <c r="I153" s="668" t="s">
        <v>168</v>
      </c>
      <c r="J153" s="668" t="s">
        <v>2739</v>
      </c>
      <c r="K153" s="676" t="s">
        <v>1767</v>
      </c>
      <c r="L153" s="677" t="s">
        <v>437</v>
      </c>
      <c r="M153" s="678" t="s">
        <v>2726</v>
      </c>
      <c r="N153" s="669" t="s">
        <v>2685</v>
      </c>
      <c r="O153" s="328"/>
      <c r="P153" s="189"/>
      <c r="Q153" s="432"/>
      <c r="R153" s="584" t="s">
        <v>2686</v>
      </c>
      <c r="S153" s="584" t="s">
        <v>2013</v>
      </c>
      <c r="U153" s="484" t="s">
        <v>2440</v>
      </c>
      <c r="V153" s="484" t="s">
        <v>3886</v>
      </c>
      <c r="X153" s="484"/>
      <c r="Y153" s="484"/>
    </row>
    <row r="154" spans="3:25" ht="10.5" customHeight="1">
      <c r="C154" s="419" t="s">
        <v>199</v>
      </c>
      <c r="D154" s="500">
        <v>44600</v>
      </c>
      <c r="E154" s="317"/>
      <c r="F154" s="317" t="s">
        <v>1408</v>
      </c>
      <c r="G154" s="432" t="s">
        <v>169</v>
      </c>
      <c r="H154" s="432" t="s">
        <v>1375</v>
      </c>
      <c r="I154" s="670" t="s">
        <v>804</v>
      </c>
      <c r="J154" s="670" t="s">
        <v>2740</v>
      </c>
      <c r="K154" s="676" t="s">
        <v>2703</v>
      </c>
      <c r="L154" s="677" t="s">
        <v>438</v>
      </c>
      <c r="M154" s="678" t="s">
        <v>1251</v>
      </c>
      <c r="N154" s="669" t="s">
        <v>431</v>
      </c>
      <c r="O154" s="328"/>
      <c r="P154" s="189"/>
      <c r="Q154" s="432"/>
      <c r="R154" s="584" t="s">
        <v>171</v>
      </c>
      <c r="S154" s="584" t="s">
        <v>170</v>
      </c>
      <c r="U154" s="484" t="s">
        <v>318</v>
      </c>
      <c r="V154" s="484" t="s">
        <v>3886</v>
      </c>
      <c r="X154" s="484"/>
      <c r="Y154" s="484"/>
    </row>
    <row r="155" spans="3:25" ht="10.5" customHeight="1">
      <c r="C155" s="419" t="s">
        <v>348</v>
      </c>
      <c r="D155" s="500">
        <v>43600</v>
      </c>
      <c r="E155" s="317"/>
      <c r="F155" s="317" t="s">
        <v>1409</v>
      </c>
      <c r="G155" s="432" t="s">
        <v>170</v>
      </c>
      <c r="H155" s="432" t="s">
        <v>1399</v>
      </c>
      <c r="I155" s="668" t="s">
        <v>2143</v>
      </c>
      <c r="J155" s="668" t="s">
        <v>2740</v>
      </c>
      <c r="K155" s="676" t="s">
        <v>650</v>
      </c>
      <c r="L155" s="677" t="s">
        <v>438</v>
      </c>
      <c r="M155" s="679" t="s">
        <v>1251</v>
      </c>
      <c r="N155" s="669" t="s">
        <v>432</v>
      </c>
      <c r="O155" s="328"/>
      <c r="P155" s="317"/>
      <c r="Q155" s="432"/>
      <c r="R155" s="584" t="s">
        <v>1263</v>
      </c>
      <c r="S155" s="584" t="s">
        <v>1264</v>
      </c>
      <c r="U155" s="484" t="s">
        <v>12</v>
      </c>
      <c r="V155" s="484" t="s">
        <v>3886</v>
      </c>
      <c r="X155" s="484"/>
      <c r="Y155" s="484"/>
    </row>
    <row r="156" spans="3:25" ht="10.5" customHeight="1">
      <c r="C156" s="418" t="s">
        <v>203</v>
      </c>
      <c r="D156" s="500">
        <v>43300</v>
      </c>
      <c r="E156" s="317"/>
      <c r="F156" s="317" t="s">
        <v>1410</v>
      </c>
      <c r="G156" s="432" t="s">
        <v>2603</v>
      </c>
      <c r="H156" s="432" t="s">
        <v>1269</v>
      </c>
      <c r="I156" s="668" t="s">
        <v>2604</v>
      </c>
      <c r="J156" s="668" t="s">
        <v>2739</v>
      </c>
      <c r="K156" s="676" t="s">
        <v>651</v>
      </c>
      <c r="L156" s="677" t="s">
        <v>437</v>
      </c>
      <c r="M156" s="679" t="s">
        <v>2726</v>
      </c>
      <c r="N156" s="669" t="s">
        <v>818</v>
      </c>
      <c r="O156" s="617"/>
      <c r="P156" s="189"/>
      <c r="Q156" s="432"/>
      <c r="R156" s="584" t="s">
        <v>819</v>
      </c>
      <c r="S156" s="584" t="s">
        <v>202</v>
      </c>
      <c r="U156" s="484" t="s">
        <v>14</v>
      </c>
      <c r="V156" s="484" t="s">
        <v>3886</v>
      </c>
      <c r="X156" s="484"/>
      <c r="Y156" s="484"/>
    </row>
    <row r="157" spans="3:25" ht="10.5" customHeight="1">
      <c r="C157" s="418" t="s">
        <v>996</v>
      </c>
      <c r="D157" s="500">
        <v>47300</v>
      </c>
      <c r="E157" s="317"/>
      <c r="F157" s="317" t="s">
        <v>1411</v>
      </c>
      <c r="G157" s="432" t="s">
        <v>2605</v>
      </c>
      <c r="H157" s="432" t="s">
        <v>1399</v>
      </c>
      <c r="I157" s="670" t="s">
        <v>804</v>
      </c>
      <c r="J157" s="670" t="s">
        <v>2740</v>
      </c>
      <c r="K157" s="676" t="s">
        <v>2703</v>
      </c>
      <c r="L157" s="677" t="s">
        <v>438</v>
      </c>
      <c r="M157" s="678" t="s">
        <v>1251</v>
      </c>
      <c r="N157" s="669" t="s">
        <v>820</v>
      </c>
      <c r="O157" s="617"/>
      <c r="P157" s="189"/>
      <c r="Q157" s="432"/>
      <c r="R157" s="584" t="s">
        <v>2171</v>
      </c>
      <c r="S157" s="584" t="s">
        <v>1377</v>
      </c>
      <c r="U157" s="484" t="s">
        <v>61</v>
      </c>
      <c r="V157" s="484" t="s">
        <v>3886</v>
      </c>
      <c r="X157" s="484"/>
      <c r="Y157" s="484"/>
    </row>
    <row r="158" spans="3:25" ht="10.5" customHeight="1">
      <c r="C158" s="419" t="s">
        <v>998</v>
      </c>
      <c r="D158" s="500">
        <v>43600</v>
      </c>
      <c r="E158" s="317"/>
      <c r="F158" s="317" t="s">
        <v>1412</v>
      </c>
      <c r="G158" s="432" t="s">
        <v>2606</v>
      </c>
      <c r="H158" s="432" t="s">
        <v>1269</v>
      </c>
      <c r="I158" s="668" t="s">
        <v>2607</v>
      </c>
      <c r="J158" s="668" t="s">
        <v>2739</v>
      </c>
      <c r="K158" s="676" t="s">
        <v>652</v>
      </c>
      <c r="L158" s="677" t="s">
        <v>437</v>
      </c>
      <c r="M158" s="679" t="s">
        <v>2726</v>
      </c>
      <c r="N158" s="669" t="s">
        <v>2172</v>
      </c>
      <c r="O158" s="617"/>
      <c r="P158" s="189"/>
      <c r="Q158" s="432"/>
      <c r="R158" s="584" t="s">
        <v>1394</v>
      </c>
      <c r="S158" s="584" t="s">
        <v>1159</v>
      </c>
      <c r="U158" s="484" t="s">
        <v>63</v>
      </c>
      <c r="V158" s="484" t="s">
        <v>3886</v>
      </c>
      <c r="X158" s="484"/>
      <c r="Y158" s="484"/>
    </row>
    <row r="159" spans="3:25" ht="10.5" customHeight="1">
      <c r="C159" s="418" t="s">
        <v>917</v>
      </c>
      <c r="D159" s="500">
        <v>44100</v>
      </c>
      <c r="E159" s="317"/>
      <c r="F159" s="317" t="s">
        <v>1413</v>
      </c>
      <c r="G159" s="432" t="s">
        <v>2608</v>
      </c>
      <c r="H159" s="432" t="s">
        <v>1375</v>
      </c>
      <c r="I159" s="670" t="s">
        <v>804</v>
      </c>
      <c r="J159" s="670" t="s">
        <v>2740</v>
      </c>
      <c r="K159" s="676" t="s">
        <v>2703</v>
      </c>
      <c r="L159" s="677" t="s">
        <v>438</v>
      </c>
      <c r="M159" s="678" t="s">
        <v>1251</v>
      </c>
      <c r="N159" s="669" t="s">
        <v>2173</v>
      </c>
      <c r="O159" s="617"/>
      <c r="P159" s="189"/>
      <c r="Q159" s="432"/>
      <c r="R159" s="584" t="s">
        <v>2174</v>
      </c>
      <c r="S159" s="584" t="s">
        <v>2608</v>
      </c>
      <c r="U159" s="484" t="s">
        <v>365</v>
      </c>
      <c r="V159" s="484" t="s">
        <v>3886</v>
      </c>
      <c r="X159" s="484"/>
      <c r="Y159" s="484"/>
    </row>
    <row r="160" spans="3:25" ht="10.5" customHeight="1">
      <c r="C160" s="419" t="s">
        <v>921</v>
      </c>
      <c r="D160" s="500">
        <v>42700</v>
      </c>
      <c r="E160" s="317"/>
      <c r="F160" s="317" t="s">
        <v>1414</v>
      </c>
      <c r="G160" s="432" t="s">
        <v>2609</v>
      </c>
      <c r="H160" s="432" t="s">
        <v>1269</v>
      </c>
      <c r="I160" s="668" t="s">
        <v>2610</v>
      </c>
      <c r="J160" s="668" t="s">
        <v>2739</v>
      </c>
      <c r="K160" s="676" t="s">
        <v>653</v>
      </c>
      <c r="L160" s="677" t="s">
        <v>437</v>
      </c>
      <c r="M160" s="679" t="s">
        <v>2726</v>
      </c>
      <c r="N160" s="669" t="s">
        <v>2175</v>
      </c>
      <c r="O160" s="617"/>
      <c r="P160" s="189"/>
      <c r="Q160" s="432"/>
      <c r="R160" s="584" t="s">
        <v>2097</v>
      </c>
      <c r="S160" s="584" t="s">
        <v>2275</v>
      </c>
      <c r="U160" s="484" t="s">
        <v>369</v>
      </c>
      <c r="V160" s="484" t="s">
        <v>3886</v>
      </c>
      <c r="X160" s="484"/>
      <c r="Y160" s="484"/>
    </row>
    <row r="161" spans="3:25" ht="10.5" customHeight="1">
      <c r="C161" s="419" t="s">
        <v>2351</v>
      </c>
      <c r="D161" s="500">
        <v>39100</v>
      </c>
      <c r="E161" s="317"/>
      <c r="F161" s="317" t="s">
        <v>1415</v>
      </c>
      <c r="G161" s="432" t="s">
        <v>2611</v>
      </c>
      <c r="H161" s="432" t="s">
        <v>1269</v>
      </c>
      <c r="I161" s="668" t="s">
        <v>2653</v>
      </c>
      <c r="J161" s="668" t="s">
        <v>2739</v>
      </c>
      <c r="K161" s="676" t="s">
        <v>654</v>
      </c>
      <c r="L161" s="677" t="s">
        <v>437</v>
      </c>
      <c r="M161" s="679" t="s">
        <v>2726</v>
      </c>
      <c r="N161" s="669" t="s">
        <v>2206</v>
      </c>
      <c r="O161" s="617"/>
      <c r="P161" s="189"/>
      <c r="Q161" s="432"/>
      <c r="R161" s="584" t="s">
        <v>2176</v>
      </c>
      <c r="S161" s="584" t="s">
        <v>341</v>
      </c>
      <c r="U161" s="484" t="s">
        <v>2398</v>
      </c>
      <c r="V161" s="484" t="s">
        <v>3886</v>
      </c>
      <c r="X161" s="484"/>
      <c r="Y161" s="484"/>
    </row>
    <row r="162" spans="3:25" ht="10.5" customHeight="1">
      <c r="C162" s="419" t="s">
        <v>689</v>
      </c>
      <c r="D162" s="500">
        <v>48100</v>
      </c>
      <c r="E162" s="317"/>
      <c r="F162" s="317" t="s">
        <v>1416</v>
      </c>
      <c r="G162" s="432" t="s">
        <v>2654</v>
      </c>
      <c r="H162" s="432" t="s">
        <v>1399</v>
      </c>
      <c r="I162" s="670" t="s">
        <v>805</v>
      </c>
      <c r="J162" s="670" t="s">
        <v>2740</v>
      </c>
      <c r="K162" s="676" t="s">
        <v>2725</v>
      </c>
      <c r="L162" s="677" t="s">
        <v>438</v>
      </c>
      <c r="M162" s="678" t="s">
        <v>1251</v>
      </c>
      <c r="N162" s="669" t="s">
        <v>2208</v>
      </c>
      <c r="O162" s="617"/>
      <c r="P162" s="189"/>
      <c r="Q162" s="432"/>
      <c r="R162" s="584" t="s">
        <v>2207</v>
      </c>
      <c r="S162" s="584" t="s">
        <v>658</v>
      </c>
      <c r="U162" s="484" t="s">
        <v>1396</v>
      </c>
      <c r="V162" s="484" t="s">
        <v>3886</v>
      </c>
      <c r="X162" s="484"/>
      <c r="Y162" s="484"/>
    </row>
    <row r="163" spans="3:25" ht="10.5" customHeight="1">
      <c r="C163" s="419" t="s">
        <v>691</v>
      </c>
      <c r="D163" s="500">
        <v>44200</v>
      </c>
      <c r="E163" s="317"/>
      <c r="F163" s="317" t="s">
        <v>1417</v>
      </c>
      <c r="G163" s="432" t="s">
        <v>2655</v>
      </c>
      <c r="H163" s="432" t="s">
        <v>1269</v>
      </c>
      <c r="I163" s="668" t="s">
        <v>2656</v>
      </c>
      <c r="J163" s="668" t="s">
        <v>2739</v>
      </c>
      <c r="K163" s="676" t="s">
        <v>655</v>
      </c>
      <c r="L163" s="677" t="s">
        <v>437</v>
      </c>
      <c r="M163" s="679" t="s">
        <v>2726</v>
      </c>
      <c r="N163" s="669" t="s">
        <v>2210</v>
      </c>
      <c r="O163" s="617"/>
      <c r="P163" s="189"/>
      <c r="Q163" s="432"/>
      <c r="R163" s="584" t="s">
        <v>2209</v>
      </c>
      <c r="S163" s="584" t="s">
        <v>1711</v>
      </c>
      <c r="U163" s="484" t="s">
        <v>1636</v>
      </c>
      <c r="V163" s="484" t="s">
        <v>3886</v>
      </c>
      <c r="X163" s="484"/>
      <c r="Y163" s="484"/>
    </row>
    <row r="164" spans="3:25" ht="10.5" customHeight="1">
      <c r="C164" s="419" t="s">
        <v>696</v>
      </c>
      <c r="D164" s="500">
        <v>46500</v>
      </c>
      <c r="E164" s="317"/>
      <c r="F164" s="317" t="s">
        <v>1418</v>
      </c>
      <c r="G164" s="432" t="s">
        <v>2657</v>
      </c>
      <c r="H164" s="432" t="s">
        <v>1399</v>
      </c>
      <c r="I164" s="670" t="s">
        <v>804</v>
      </c>
      <c r="J164" s="670" t="s">
        <v>2740</v>
      </c>
      <c r="K164" s="676" t="s">
        <v>2703</v>
      </c>
      <c r="L164" s="677" t="s">
        <v>438</v>
      </c>
      <c r="M164" s="678" t="s">
        <v>1251</v>
      </c>
      <c r="N164" s="669" t="s">
        <v>2212</v>
      </c>
      <c r="O164" s="617"/>
      <c r="P164" s="189"/>
      <c r="Q164" s="432"/>
      <c r="R164" s="584" t="s">
        <v>2211</v>
      </c>
      <c r="S164" s="584" t="s">
        <v>202</v>
      </c>
      <c r="U164" s="484" t="s">
        <v>1640</v>
      </c>
      <c r="V164" s="484" t="s">
        <v>3886</v>
      </c>
      <c r="X164" s="484"/>
      <c r="Y164" s="484"/>
    </row>
    <row r="165" spans="3:25" ht="10.5" customHeight="1">
      <c r="C165" s="419" t="s">
        <v>1279</v>
      </c>
      <c r="D165" s="500">
        <v>60700</v>
      </c>
      <c r="E165" s="317"/>
      <c r="F165" s="317" t="s">
        <v>1419</v>
      </c>
      <c r="G165" s="432" t="s">
        <v>2658</v>
      </c>
      <c r="H165" s="432" t="s">
        <v>1399</v>
      </c>
      <c r="I165" s="670" t="s">
        <v>1384</v>
      </c>
      <c r="J165" s="670" t="s">
        <v>2740</v>
      </c>
      <c r="K165" s="676" t="s">
        <v>2706</v>
      </c>
      <c r="L165" s="677" t="s">
        <v>438</v>
      </c>
      <c r="M165" s="678" t="s">
        <v>1251</v>
      </c>
      <c r="N165" s="669" t="s">
        <v>2666</v>
      </c>
      <c r="O165" s="617"/>
      <c r="P165" s="189"/>
      <c r="Q165" s="432"/>
      <c r="R165" s="584" t="s">
        <v>1870</v>
      </c>
      <c r="S165" s="584" t="s">
        <v>124</v>
      </c>
      <c r="U165" s="484" t="s">
        <v>1832</v>
      </c>
      <c r="V165" s="484" t="s">
        <v>3886</v>
      </c>
      <c r="X165" s="484"/>
      <c r="Y165" s="484"/>
    </row>
    <row r="166" spans="3:25" ht="10.5" customHeight="1">
      <c r="C166" s="419" t="s">
        <v>698</v>
      </c>
      <c r="D166" s="500">
        <v>45600</v>
      </c>
      <c r="E166" s="317"/>
      <c r="F166" s="317" t="s">
        <v>1420</v>
      </c>
      <c r="G166" s="432" t="s">
        <v>2659</v>
      </c>
      <c r="H166" s="432" t="s">
        <v>1269</v>
      </c>
      <c r="I166" s="668" t="s">
        <v>199</v>
      </c>
      <c r="J166" s="668" t="s">
        <v>2739</v>
      </c>
      <c r="K166" s="676" t="s">
        <v>656</v>
      </c>
      <c r="L166" s="677" t="s">
        <v>437</v>
      </c>
      <c r="M166" s="679" t="s">
        <v>2726</v>
      </c>
      <c r="N166" s="669" t="s">
        <v>1053</v>
      </c>
      <c r="O166" s="617"/>
      <c r="P166" s="189"/>
      <c r="Q166" s="432"/>
      <c r="R166" s="584" t="s">
        <v>2667</v>
      </c>
      <c r="S166" s="584" t="s">
        <v>169</v>
      </c>
      <c r="U166" s="484" t="s">
        <v>1071</v>
      </c>
      <c r="V166" s="484" t="s">
        <v>3886</v>
      </c>
      <c r="X166" s="484"/>
      <c r="Y166" s="484"/>
    </row>
    <row r="167" spans="3:25" ht="10.5" customHeight="1">
      <c r="C167" s="419" t="s">
        <v>700</v>
      </c>
      <c r="D167" s="500">
        <v>51300</v>
      </c>
      <c r="E167" s="317"/>
      <c r="F167" s="317" t="s">
        <v>1421</v>
      </c>
      <c r="G167" s="432" t="s">
        <v>200</v>
      </c>
      <c r="H167" s="432" t="s">
        <v>1375</v>
      </c>
      <c r="I167" s="670" t="s">
        <v>1596</v>
      </c>
      <c r="J167" s="670" t="s">
        <v>2740</v>
      </c>
      <c r="K167" s="676" t="s">
        <v>1764</v>
      </c>
      <c r="L167" s="677" t="s">
        <v>438</v>
      </c>
      <c r="M167" s="678" t="s">
        <v>1251</v>
      </c>
      <c r="N167" s="669" t="s">
        <v>2100</v>
      </c>
      <c r="O167" s="617"/>
      <c r="P167" s="189"/>
      <c r="Q167" s="432"/>
      <c r="R167" s="584" t="s">
        <v>1054</v>
      </c>
      <c r="S167" s="584" t="s">
        <v>445</v>
      </c>
      <c r="U167" s="484" t="s">
        <v>1074</v>
      </c>
      <c r="V167" s="484" t="s">
        <v>3886</v>
      </c>
      <c r="X167" s="484"/>
      <c r="Y167" s="484"/>
    </row>
    <row r="168" spans="3:25" ht="10.5" customHeight="1">
      <c r="C168" s="419" t="s">
        <v>703</v>
      </c>
      <c r="D168" s="500">
        <v>51300</v>
      </c>
      <c r="E168" s="317"/>
      <c r="F168" s="317" t="s">
        <v>1422</v>
      </c>
      <c r="G168" s="432" t="s">
        <v>201</v>
      </c>
      <c r="H168" s="432" t="s">
        <v>1375</v>
      </c>
      <c r="I168" s="670" t="s">
        <v>804</v>
      </c>
      <c r="J168" s="670" t="s">
        <v>2740</v>
      </c>
      <c r="K168" s="676" t="s">
        <v>2703</v>
      </c>
      <c r="L168" s="677" t="s">
        <v>438</v>
      </c>
      <c r="M168" s="678" t="s">
        <v>1251</v>
      </c>
      <c r="N168" s="669" t="s">
        <v>16</v>
      </c>
      <c r="O168" s="617"/>
      <c r="P168" s="189"/>
      <c r="Q168" s="432"/>
      <c r="R168" s="584" t="s">
        <v>1378</v>
      </c>
      <c r="S168" s="584" t="s">
        <v>341</v>
      </c>
      <c r="U168" s="484" t="s">
        <v>1845</v>
      </c>
      <c r="V168" s="484" t="s">
        <v>3886</v>
      </c>
      <c r="X168" s="484"/>
      <c r="Y168" s="484"/>
    </row>
    <row r="169" spans="3:25" ht="10.5" customHeight="1">
      <c r="C169" s="419" t="s">
        <v>705</v>
      </c>
      <c r="D169" s="500">
        <v>41100</v>
      </c>
      <c r="E169" s="317"/>
      <c r="F169" s="317" t="s">
        <v>1423</v>
      </c>
      <c r="G169" s="432" t="s">
        <v>202</v>
      </c>
      <c r="H169" s="432" t="s">
        <v>1269</v>
      </c>
      <c r="I169" s="668" t="s">
        <v>203</v>
      </c>
      <c r="J169" s="668" t="s">
        <v>2739</v>
      </c>
      <c r="K169" s="676" t="s">
        <v>657</v>
      </c>
      <c r="L169" s="677" t="s">
        <v>437</v>
      </c>
      <c r="M169" s="679" t="s">
        <v>2726</v>
      </c>
      <c r="N169" s="669" t="s">
        <v>2343</v>
      </c>
      <c r="O169" s="617"/>
      <c r="P169" s="189"/>
      <c r="Q169" s="432"/>
      <c r="R169" s="584" t="s">
        <v>17</v>
      </c>
      <c r="S169" s="584" t="s">
        <v>1745</v>
      </c>
      <c r="U169" s="484" t="s">
        <v>2164</v>
      </c>
      <c r="V169" s="484" t="s">
        <v>3886</v>
      </c>
      <c r="X169" s="484"/>
      <c r="Y169" s="484"/>
    </row>
    <row r="170" spans="3:25" ht="10.5" customHeight="1">
      <c r="C170" s="419" t="s">
        <v>707</v>
      </c>
      <c r="D170" s="500">
        <v>49600</v>
      </c>
      <c r="E170" s="317"/>
      <c r="F170" s="317" t="s">
        <v>1424</v>
      </c>
      <c r="G170" s="432" t="s">
        <v>204</v>
      </c>
      <c r="H170" s="432" t="s">
        <v>1399</v>
      </c>
      <c r="I170" s="670" t="s">
        <v>804</v>
      </c>
      <c r="J170" s="670" t="s">
        <v>2740</v>
      </c>
      <c r="K170" s="676" t="s">
        <v>2703</v>
      </c>
      <c r="L170" s="677" t="s">
        <v>438</v>
      </c>
      <c r="M170" s="678" t="s">
        <v>1251</v>
      </c>
      <c r="N170" s="669" t="s">
        <v>2345</v>
      </c>
      <c r="O170" s="617"/>
      <c r="P170" s="189"/>
      <c r="Q170" s="432"/>
      <c r="R170" s="584" t="s">
        <v>2344</v>
      </c>
      <c r="S170" s="584" t="s">
        <v>1268</v>
      </c>
      <c r="U170" s="484" t="s">
        <v>2166</v>
      </c>
      <c r="V170" s="484" t="s">
        <v>3886</v>
      </c>
      <c r="X170" s="484"/>
      <c r="Y170" s="484"/>
    </row>
    <row r="171" spans="3:25" ht="10.5" customHeight="1">
      <c r="C171" s="419" t="s">
        <v>125</v>
      </c>
      <c r="D171" s="500">
        <v>52900</v>
      </c>
      <c r="E171" s="317"/>
      <c r="F171" s="317" t="s">
        <v>1425</v>
      </c>
      <c r="G171" s="432" t="s">
        <v>205</v>
      </c>
      <c r="H171" s="432" t="s">
        <v>1269</v>
      </c>
      <c r="I171" s="668" t="s">
        <v>996</v>
      </c>
      <c r="J171" s="668" t="s">
        <v>2739</v>
      </c>
      <c r="K171" s="676" t="s">
        <v>2055</v>
      </c>
      <c r="L171" s="677" t="s">
        <v>437</v>
      </c>
      <c r="M171" s="679" t="s">
        <v>2726</v>
      </c>
      <c r="N171" s="669" t="s">
        <v>2347</v>
      </c>
      <c r="O171" s="617"/>
      <c r="P171" s="189"/>
      <c r="Q171" s="432"/>
      <c r="R171" s="671" t="s">
        <v>2346</v>
      </c>
      <c r="S171" s="671" t="s">
        <v>2352</v>
      </c>
      <c r="U171" s="484" t="s">
        <v>711</v>
      </c>
      <c r="V171" s="484" t="s">
        <v>3886</v>
      </c>
      <c r="X171" s="484"/>
      <c r="Y171" s="484"/>
    </row>
    <row r="172" spans="3:25" ht="10.5" customHeight="1">
      <c r="C172" s="419" t="s">
        <v>326</v>
      </c>
      <c r="D172" s="500">
        <v>35400</v>
      </c>
      <c r="E172" s="317"/>
      <c r="F172" s="317" t="s">
        <v>1426</v>
      </c>
      <c r="G172" s="432" t="s">
        <v>997</v>
      </c>
      <c r="H172" s="432" t="s">
        <v>1269</v>
      </c>
      <c r="I172" s="668" t="s">
        <v>998</v>
      </c>
      <c r="J172" s="668" t="s">
        <v>2739</v>
      </c>
      <c r="K172" s="676" t="s">
        <v>2056</v>
      </c>
      <c r="L172" s="677" t="s">
        <v>437</v>
      </c>
      <c r="M172" s="679" t="s">
        <v>2726</v>
      </c>
      <c r="N172" s="669" t="s">
        <v>2377</v>
      </c>
      <c r="O172" s="617"/>
      <c r="P172" s="189"/>
      <c r="Q172" s="432"/>
      <c r="R172" s="584" t="s">
        <v>2688</v>
      </c>
      <c r="S172" s="584" t="s">
        <v>658</v>
      </c>
      <c r="U172" s="484" t="s">
        <v>1306</v>
      </c>
      <c r="V172" s="484" t="s">
        <v>3886</v>
      </c>
      <c r="X172" s="484"/>
      <c r="Y172" s="484"/>
    </row>
    <row r="173" spans="3:25" ht="10.5" customHeight="1">
      <c r="C173" s="419" t="s">
        <v>806</v>
      </c>
      <c r="D173" s="500">
        <v>47100</v>
      </c>
      <c r="E173" s="317"/>
      <c r="F173" s="317" t="s">
        <v>1427</v>
      </c>
      <c r="G173" s="432" t="s">
        <v>999</v>
      </c>
      <c r="H173" s="432" t="s">
        <v>1269</v>
      </c>
      <c r="I173" s="670" t="s">
        <v>1869</v>
      </c>
      <c r="J173" s="670" t="s">
        <v>2740</v>
      </c>
      <c r="K173" s="676" t="s">
        <v>1215</v>
      </c>
      <c r="L173" s="677" t="s">
        <v>438</v>
      </c>
      <c r="M173" s="679" t="s">
        <v>1251</v>
      </c>
      <c r="N173" s="669" t="s">
        <v>1860</v>
      </c>
      <c r="O173" s="617"/>
      <c r="P173" s="189"/>
      <c r="Q173" s="432"/>
      <c r="R173" s="584" t="s">
        <v>2348</v>
      </c>
      <c r="S173" s="584" t="s">
        <v>123</v>
      </c>
      <c r="U173" s="484" t="s">
        <v>1308</v>
      </c>
      <c r="V173" s="484" t="s">
        <v>3886</v>
      </c>
      <c r="X173" s="484"/>
      <c r="Y173" s="484"/>
    </row>
    <row r="174" spans="3:25" ht="10.5" customHeight="1">
      <c r="C174" s="419" t="s">
        <v>330</v>
      </c>
      <c r="D174" s="500">
        <v>46600</v>
      </c>
      <c r="E174" s="317"/>
      <c r="F174" s="317" t="s">
        <v>1428</v>
      </c>
      <c r="G174" s="432" t="s">
        <v>915</v>
      </c>
      <c r="H174" s="432" t="s">
        <v>1399</v>
      </c>
      <c r="I174" s="670" t="s">
        <v>804</v>
      </c>
      <c r="J174" s="670" t="s">
        <v>2740</v>
      </c>
      <c r="K174" s="676" t="s">
        <v>2703</v>
      </c>
      <c r="L174" s="677" t="s">
        <v>438</v>
      </c>
      <c r="M174" s="678" t="s">
        <v>1251</v>
      </c>
      <c r="N174" s="669" t="s">
        <v>1862</v>
      </c>
      <c r="O174" s="617"/>
      <c r="P174" s="189"/>
      <c r="Q174" s="432"/>
      <c r="R174" s="584" t="s">
        <v>1836</v>
      </c>
      <c r="S174" s="584" t="s">
        <v>2611</v>
      </c>
      <c r="U174" s="484" t="s">
        <v>2605</v>
      </c>
      <c r="V174" s="484" t="s">
        <v>3886</v>
      </c>
      <c r="X174" s="484"/>
      <c r="Y174" s="484"/>
    </row>
    <row r="175" spans="3:25" ht="10.5" customHeight="1">
      <c r="C175" s="419" t="s">
        <v>1087</v>
      </c>
      <c r="D175" s="500">
        <v>48700</v>
      </c>
      <c r="E175" s="317"/>
      <c r="F175" s="317" t="s">
        <v>1429</v>
      </c>
      <c r="G175" s="432" t="s">
        <v>916</v>
      </c>
      <c r="H175" s="432" t="s">
        <v>1269</v>
      </c>
      <c r="I175" s="668" t="s">
        <v>917</v>
      </c>
      <c r="J175" s="668" t="s">
        <v>2739</v>
      </c>
      <c r="K175" s="676" t="s">
        <v>2057</v>
      </c>
      <c r="L175" s="677" t="s">
        <v>437</v>
      </c>
      <c r="M175" s="679" t="s">
        <v>2726</v>
      </c>
      <c r="N175" s="669" t="s">
        <v>2259</v>
      </c>
      <c r="O175" s="617"/>
      <c r="P175" s="189"/>
      <c r="Q175" s="432"/>
      <c r="R175" s="584" t="s">
        <v>1861</v>
      </c>
      <c r="S175" s="584" t="s">
        <v>1377</v>
      </c>
      <c r="U175" s="484" t="s">
        <v>2615</v>
      </c>
      <c r="V175" s="484" t="s">
        <v>3886</v>
      </c>
      <c r="X175" s="484"/>
      <c r="Y175" s="484"/>
    </row>
    <row r="176" spans="3:25" ht="10.5" customHeight="1">
      <c r="C176" s="419" t="s">
        <v>335</v>
      </c>
      <c r="D176" s="500">
        <v>50800</v>
      </c>
      <c r="E176" s="317"/>
      <c r="F176" s="317" t="s">
        <v>1430</v>
      </c>
      <c r="G176" s="432" t="s">
        <v>918</v>
      </c>
      <c r="H176" s="432" t="s">
        <v>1269</v>
      </c>
      <c r="I176" s="668" t="s">
        <v>1780</v>
      </c>
      <c r="J176" s="668" t="s">
        <v>2740</v>
      </c>
      <c r="K176" s="676" t="s">
        <v>2709</v>
      </c>
      <c r="L176" s="677" t="s">
        <v>438</v>
      </c>
      <c r="M176" s="678" t="s">
        <v>1251</v>
      </c>
      <c r="N176" s="669" t="s">
        <v>2260</v>
      </c>
      <c r="O176" s="617"/>
      <c r="P176" s="189"/>
      <c r="Q176" s="432"/>
      <c r="R176" s="584" t="s">
        <v>1863</v>
      </c>
      <c r="S176" s="584" t="s">
        <v>2106</v>
      </c>
      <c r="U176" s="484" t="s">
        <v>89</v>
      </c>
      <c r="V176" s="484" t="s">
        <v>3886</v>
      </c>
      <c r="X176" s="484"/>
      <c r="Y176" s="484"/>
    </row>
    <row r="177" spans="3:25" ht="10.5" customHeight="1">
      <c r="C177" s="418" t="s">
        <v>337</v>
      </c>
      <c r="D177" s="500">
        <v>62300</v>
      </c>
      <c r="E177" s="317"/>
      <c r="F177" s="317" t="s">
        <v>1431</v>
      </c>
      <c r="G177" s="432" t="s">
        <v>919</v>
      </c>
      <c r="H177" s="432" t="s">
        <v>1269</v>
      </c>
      <c r="I177" s="670" t="s">
        <v>1390</v>
      </c>
      <c r="J177" s="670" t="s">
        <v>2740</v>
      </c>
      <c r="K177" s="676" t="s">
        <v>1536</v>
      </c>
      <c r="L177" s="677" t="s">
        <v>438</v>
      </c>
      <c r="M177" s="678" t="s">
        <v>1251</v>
      </c>
      <c r="N177" s="669" t="s">
        <v>2564</v>
      </c>
      <c r="O177" s="328"/>
      <c r="P177" s="189"/>
      <c r="Q177" s="432"/>
      <c r="R177" s="584" t="s">
        <v>866</v>
      </c>
      <c r="S177" s="584" t="s">
        <v>2715</v>
      </c>
      <c r="U177" s="484" t="s">
        <v>1292</v>
      </c>
      <c r="V177" s="484" t="s">
        <v>3886</v>
      </c>
      <c r="X177" s="484"/>
      <c r="Y177" s="484"/>
    </row>
    <row r="178" spans="3:25" ht="10.5" customHeight="1">
      <c r="C178" s="419" t="s">
        <v>340</v>
      </c>
      <c r="D178" s="500">
        <v>44800</v>
      </c>
      <c r="E178" s="317"/>
      <c r="F178" s="672"/>
      <c r="G178" s="432" t="s">
        <v>920</v>
      </c>
      <c r="H178" s="432" t="s">
        <v>1399</v>
      </c>
      <c r="I178" s="668" t="s">
        <v>921</v>
      </c>
      <c r="J178" s="668" t="s">
        <v>2739</v>
      </c>
      <c r="K178" s="676" t="s">
        <v>1400</v>
      </c>
      <c r="L178" s="677" t="s">
        <v>437</v>
      </c>
      <c r="M178" s="679" t="s">
        <v>2726</v>
      </c>
      <c r="N178" s="669" t="s">
        <v>2566</v>
      </c>
      <c r="O178" s="328"/>
      <c r="P178" s="189"/>
      <c r="Q178" s="432"/>
      <c r="R178" s="584" t="s">
        <v>2261</v>
      </c>
      <c r="S178" s="584" t="s">
        <v>2717</v>
      </c>
      <c r="U178" s="484" t="s">
        <v>166</v>
      </c>
      <c r="V178" s="484" t="s">
        <v>3886</v>
      </c>
      <c r="X178" s="484"/>
      <c r="Y178" s="484"/>
    </row>
    <row r="179" spans="3:25" ht="10.5" customHeight="1">
      <c r="C179" s="418" t="s">
        <v>342</v>
      </c>
      <c r="D179" s="500">
        <v>36900</v>
      </c>
      <c r="E179" s="317"/>
      <c r="F179" s="672"/>
      <c r="G179" s="432" t="s">
        <v>2350</v>
      </c>
      <c r="H179" s="432" t="s">
        <v>1269</v>
      </c>
      <c r="I179" s="668" t="s">
        <v>2351</v>
      </c>
      <c r="J179" s="668" t="s">
        <v>2739</v>
      </c>
      <c r="K179" s="676" t="s">
        <v>1401</v>
      </c>
      <c r="L179" s="677" t="s">
        <v>437</v>
      </c>
      <c r="M179" s="679" t="s">
        <v>2726</v>
      </c>
      <c r="N179" s="669" t="s">
        <v>2568</v>
      </c>
      <c r="O179" s="328"/>
      <c r="P179" s="189"/>
      <c r="Q179" s="432"/>
      <c r="R179" s="671" t="s">
        <v>2565</v>
      </c>
      <c r="S179" s="671" t="s">
        <v>1144</v>
      </c>
      <c r="U179" s="484" t="s">
        <v>938</v>
      </c>
      <c r="V179" s="484" t="s">
        <v>3886</v>
      </c>
      <c r="X179" s="484"/>
      <c r="Y179" s="484"/>
    </row>
    <row r="180" spans="3:25" ht="10.5" customHeight="1">
      <c r="C180" s="419" t="s">
        <v>344</v>
      </c>
      <c r="D180" s="500">
        <v>34100</v>
      </c>
      <c r="E180" s="317"/>
      <c r="F180" s="672"/>
      <c r="G180" s="432" t="s">
        <v>2352</v>
      </c>
      <c r="H180" s="432" t="s">
        <v>1269</v>
      </c>
      <c r="I180" s="668" t="s">
        <v>689</v>
      </c>
      <c r="J180" s="668" t="s">
        <v>2739</v>
      </c>
      <c r="K180" s="676" t="s">
        <v>1402</v>
      </c>
      <c r="L180" s="677" t="s">
        <v>437</v>
      </c>
      <c r="M180" s="679" t="s">
        <v>2726</v>
      </c>
      <c r="N180" s="669" t="s">
        <v>2570</v>
      </c>
      <c r="O180" s="328"/>
      <c r="P180" s="189"/>
      <c r="Q180" s="432"/>
      <c r="R180" s="584" t="s">
        <v>2689</v>
      </c>
      <c r="S180" s="584" t="s">
        <v>332</v>
      </c>
      <c r="U180" s="484" t="s">
        <v>2240</v>
      </c>
      <c r="V180" s="484" t="s">
        <v>3886</v>
      </c>
      <c r="X180" s="484"/>
      <c r="Y180" s="484"/>
    </row>
    <row r="181" spans="3:25" ht="10.5" customHeight="1">
      <c r="C181" s="419" t="s">
        <v>346</v>
      </c>
      <c r="D181" s="500">
        <v>43400</v>
      </c>
      <c r="E181" s="317"/>
      <c r="F181" s="672"/>
      <c r="G181" s="432" t="s">
        <v>690</v>
      </c>
      <c r="H181" s="432" t="s">
        <v>1375</v>
      </c>
      <c r="I181" s="668" t="s">
        <v>691</v>
      </c>
      <c r="J181" s="668" t="s">
        <v>2739</v>
      </c>
      <c r="K181" s="676" t="s">
        <v>1403</v>
      </c>
      <c r="L181" s="677" t="s">
        <v>437</v>
      </c>
      <c r="M181" s="679" t="s">
        <v>2726</v>
      </c>
      <c r="N181" s="669" t="s">
        <v>2571</v>
      </c>
      <c r="O181" s="328"/>
      <c r="P181" s="189"/>
      <c r="Q181" s="432"/>
      <c r="R181" s="584" t="s">
        <v>2567</v>
      </c>
      <c r="S181" s="584" t="s">
        <v>2016</v>
      </c>
      <c r="U181" s="484" t="s">
        <v>2158</v>
      </c>
      <c r="V181" s="484" t="s">
        <v>3886</v>
      </c>
      <c r="X181" s="484"/>
      <c r="Y181" s="484"/>
    </row>
    <row r="182" spans="3:25" ht="10.5" customHeight="1">
      <c r="C182" s="419" t="s">
        <v>807</v>
      </c>
      <c r="D182" s="500">
        <v>48400</v>
      </c>
      <c r="E182" s="317"/>
      <c r="F182" s="672"/>
      <c r="G182" s="432" t="s">
        <v>692</v>
      </c>
      <c r="H182" s="432" t="s">
        <v>1399</v>
      </c>
      <c r="I182" s="670" t="s">
        <v>804</v>
      </c>
      <c r="J182" s="670" t="s">
        <v>2740</v>
      </c>
      <c r="K182" s="676" t="s">
        <v>2703</v>
      </c>
      <c r="L182" s="677" t="s">
        <v>438</v>
      </c>
      <c r="M182" s="678" t="s">
        <v>1251</v>
      </c>
      <c r="N182" s="669" t="s">
        <v>2336</v>
      </c>
      <c r="O182" s="328"/>
      <c r="P182" s="189"/>
      <c r="Q182" s="432"/>
      <c r="R182" s="584" t="s">
        <v>2569</v>
      </c>
      <c r="S182" s="584" t="s">
        <v>916</v>
      </c>
      <c r="U182" s="484" t="s">
        <v>629</v>
      </c>
      <c r="V182" s="484" t="s">
        <v>3886</v>
      </c>
      <c r="X182" s="484"/>
      <c r="Y182" s="484"/>
    </row>
    <row r="183" spans="3:25" ht="10.5" customHeight="1">
      <c r="C183" s="419" t="s">
        <v>1527</v>
      </c>
      <c r="D183" s="500">
        <v>47300</v>
      </c>
      <c r="E183" s="317"/>
      <c r="F183" s="672"/>
      <c r="G183" s="432" t="s">
        <v>693</v>
      </c>
      <c r="H183" s="432" t="s">
        <v>1375</v>
      </c>
      <c r="I183" s="670" t="s">
        <v>2376</v>
      </c>
      <c r="J183" s="670" t="s">
        <v>2740</v>
      </c>
      <c r="K183" s="676" t="s">
        <v>1404</v>
      </c>
      <c r="L183" s="677" t="s">
        <v>438</v>
      </c>
      <c r="M183" s="679" t="s">
        <v>1251</v>
      </c>
      <c r="N183" s="669" t="s">
        <v>745</v>
      </c>
      <c r="O183" s="328"/>
      <c r="P183" s="189"/>
      <c r="Q183" s="432"/>
      <c r="R183" s="584" t="s">
        <v>2572</v>
      </c>
      <c r="S183" s="584" t="s">
        <v>164</v>
      </c>
      <c r="U183" s="484" t="s">
        <v>631</v>
      </c>
      <c r="V183" s="484" t="s">
        <v>3886</v>
      </c>
      <c r="X183" s="484"/>
      <c r="Y183" s="484"/>
    </row>
    <row r="184" spans="3:25" ht="10.5" customHeight="1">
      <c r="C184" s="419" t="s">
        <v>1531</v>
      </c>
      <c r="D184" s="500">
        <v>45900</v>
      </c>
      <c r="E184" s="317"/>
      <c r="F184" s="672"/>
      <c r="G184" s="432" t="s">
        <v>694</v>
      </c>
      <c r="H184" s="432" t="s">
        <v>1375</v>
      </c>
      <c r="I184" s="670" t="s">
        <v>804</v>
      </c>
      <c r="J184" s="670" t="s">
        <v>2740</v>
      </c>
      <c r="K184" s="676" t="s">
        <v>2703</v>
      </c>
      <c r="L184" s="677" t="s">
        <v>438</v>
      </c>
      <c r="M184" s="678" t="s">
        <v>1251</v>
      </c>
      <c r="N184" s="669" t="s">
        <v>747</v>
      </c>
      <c r="O184" s="328"/>
      <c r="P184" s="189"/>
      <c r="Q184" s="432"/>
      <c r="R184" s="584" t="s">
        <v>2337</v>
      </c>
      <c r="S184" s="584" t="s">
        <v>690</v>
      </c>
      <c r="U184" s="484" t="s">
        <v>2658</v>
      </c>
      <c r="V184" s="484" t="s">
        <v>3886</v>
      </c>
      <c r="X184" s="484"/>
      <c r="Y184" s="484"/>
    </row>
    <row r="185" spans="3:25" ht="10.5" customHeight="1">
      <c r="C185" s="419" t="s">
        <v>1533</v>
      </c>
      <c r="D185" s="500">
        <v>51000</v>
      </c>
      <c r="E185" s="317"/>
      <c r="F185" s="672"/>
      <c r="G185" s="432" t="s">
        <v>695</v>
      </c>
      <c r="H185" s="432" t="s">
        <v>1375</v>
      </c>
      <c r="I185" s="670" t="s">
        <v>696</v>
      </c>
      <c r="J185" s="670" t="s">
        <v>2739</v>
      </c>
      <c r="K185" s="676" t="s">
        <v>1405</v>
      </c>
      <c r="L185" s="677" t="s">
        <v>437</v>
      </c>
      <c r="M185" s="679" t="s">
        <v>2726</v>
      </c>
      <c r="N185" s="669" t="s">
        <v>749</v>
      </c>
      <c r="O185" s="328"/>
      <c r="P185" s="189"/>
      <c r="Q185" s="432"/>
      <c r="R185" s="584" t="s">
        <v>746</v>
      </c>
      <c r="S185" s="584" t="s">
        <v>2603</v>
      </c>
      <c r="U185" s="484" t="s">
        <v>635</v>
      </c>
      <c r="V185" s="484" t="s">
        <v>3886</v>
      </c>
      <c r="X185" s="484"/>
      <c r="Y185" s="484"/>
    </row>
    <row r="186" spans="3:25" ht="10.5" customHeight="1">
      <c r="C186" s="419" t="s">
        <v>182</v>
      </c>
      <c r="D186" s="500">
        <v>57700</v>
      </c>
      <c r="E186" s="317"/>
      <c r="F186" s="672"/>
      <c r="G186" s="432" t="s">
        <v>1264</v>
      </c>
      <c r="H186" s="432" t="s">
        <v>1399</v>
      </c>
      <c r="I186" s="670" t="s">
        <v>804</v>
      </c>
      <c r="J186" s="670" t="s">
        <v>2740</v>
      </c>
      <c r="K186" s="676" t="s">
        <v>2703</v>
      </c>
      <c r="L186" s="677" t="s">
        <v>438</v>
      </c>
      <c r="M186" s="678" t="s">
        <v>1251</v>
      </c>
      <c r="N186" s="669" t="s">
        <v>751</v>
      </c>
      <c r="O186" s="328"/>
      <c r="P186" s="189"/>
      <c r="Q186" s="432"/>
      <c r="R186" s="584" t="s">
        <v>748</v>
      </c>
      <c r="S186" s="584" t="s">
        <v>1159</v>
      </c>
      <c r="U186" s="484" t="s">
        <v>569</v>
      </c>
      <c r="V186" s="484" t="s">
        <v>3886</v>
      </c>
      <c r="X186" s="484"/>
      <c r="Y186" s="484"/>
    </row>
    <row r="187" spans="3:25" ht="10.5" customHeight="1">
      <c r="C187" s="419" t="s">
        <v>1384</v>
      </c>
      <c r="D187" s="500">
        <v>38800</v>
      </c>
      <c r="E187" s="317"/>
      <c r="F187" s="672"/>
      <c r="G187" s="432" t="s">
        <v>697</v>
      </c>
      <c r="H187" s="432" t="s">
        <v>1375</v>
      </c>
      <c r="I187" s="668" t="s">
        <v>698</v>
      </c>
      <c r="J187" s="668" t="s">
        <v>2739</v>
      </c>
      <c r="K187" s="676" t="s">
        <v>250</v>
      </c>
      <c r="L187" s="677" t="s">
        <v>437</v>
      </c>
      <c r="M187" s="679" t="s">
        <v>2726</v>
      </c>
      <c r="N187" s="669" t="s">
        <v>2328</v>
      </c>
      <c r="O187" s="328"/>
      <c r="P187" s="189"/>
      <c r="Q187" s="432"/>
      <c r="R187" s="671" t="s">
        <v>750</v>
      </c>
      <c r="S187" s="671" t="s">
        <v>2717</v>
      </c>
      <c r="U187" s="484" t="s">
        <v>785</v>
      </c>
      <c r="V187" s="484" t="s">
        <v>3886</v>
      </c>
      <c r="X187" s="484"/>
      <c r="Y187" s="484"/>
    </row>
    <row r="188" spans="3:25" ht="10.5" customHeight="1">
      <c r="C188" s="419" t="s">
        <v>183</v>
      </c>
      <c r="D188" s="500">
        <v>52700</v>
      </c>
      <c r="E188" s="317"/>
      <c r="F188" s="672"/>
      <c r="G188" s="432" t="s">
        <v>699</v>
      </c>
      <c r="H188" s="432" t="s">
        <v>1399</v>
      </c>
      <c r="I188" s="670" t="s">
        <v>700</v>
      </c>
      <c r="J188" s="670" t="s">
        <v>2739</v>
      </c>
      <c r="K188" s="676" t="s">
        <v>251</v>
      </c>
      <c r="L188" s="677" t="s">
        <v>437</v>
      </c>
      <c r="M188" s="679" t="s">
        <v>2726</v>
      </c>
      <c r="N188" s="669" t="s">
        <v>2329</v>
      </c>
      <c r="O188" s="328"/>
      <c r="P188" s="189"/>
      <c r="Q188" s="432"/>
      <c r="R188" s="584" t="s">
        <v>2690</v>
      </c>
      <c r="S188" s="584" t="s">
        <v>2605</v>
      </c>
      <c r="U188" s="484" t="s">
        <v>39</v>
      </c>
      <c r="V188" s="484" t="s">
        <v>3886</v>
      </c>
      <c r="X188" s="484"/>
      <c r="Y188" s="484"/>
    </row>
    <row r="189" spans="3:25" ht="10.5" customHeight="1">
      <c r="C189" s="419" t="s">
        <v>809</v>
      </c>
      <c r="D189" s="500">
        <v>48000</v>
      </c>
      <c r="E189" s="317"/>
      <c r="F189" s="672"/>
      <c r="G189" s="432" t="s">
        <v>701</v>
      </c>
      <c r="H189" s="432" t="s">
        <v>1269</v>
      </c>
      <c r="I189" s="668" t="s">
        <v>12</v>
      </c>
      <c r="J189" s="668" t="s">
        <v>2740</v>
      </c>
      <c r="K189" s="676" t="s">
        <v>2708</v>
      </c>
      <c r="L189" s="677" t="s">
        <v>438</v>
      </c>
      <c r="M189" s="679" t="s">
        <v>1251</v>
      </c>
      <c r="N189" s="669" t="s">
        <v>2331</v>
      </c>
      <c r="O189" s="328"/>
      <c r="P189" s="189"/>
      <c r="Q189" s="432"/>
      <c r="R189" s="584" t="s">
        <v>2330</v>
      </c>
      <c r="S189" s="584" t="s">
        <v>1745</v>
      </c>
      <c r="U189" s="484" t="s">
        <v>2064</v>
      </c>
      <c r="V189" s="484" t="s">
        <v>3886</v>
      </c>
      <c r="X189" s="484"/>
      <c r="Y189" s="484"/>
    </row>
    <row r="190" spans="3:25" ht="10.5" customHeight="1">
      <c r="C190" s="419" t="s">
        <v>1710</v>
      </c>
      <c r="D190" s="500">
        <v>44100</v>
      </c>
      <c r="E190" s="317"/>
      <c r="F190" s="672"/>
      <c r="G190" s="432" t="s">
        <v>702</v>
      </c>
      <c r="H190" s="432" t="s">
        <v>1375</v>
      </c>
      <c r="I190" s="668" t="s">
        <v>703</v>
      </c>
      <c r="J190" s="668" t="s">
        <v>2739</v>
      </c>
      <c r="K190" s="676" t="s">
        <v>252</v>
      </c>
      <c r="L190" s="677" t="s">
        <v>437</v>
      </c>
      <c r="M190" s="679" t="s">
        <v>2726</v>
      </c>
      <c r="N190" s="669" t="s">
        <v>719</v>
      </c>
      <c r="O190" s="328"/>
      <c r="P190" s="189"/>
      <c r="Q190" s="432"/>
      <c r="R190" s="584" t="s">
        <v>2332</v>
      </c>
      <c r="S190" s="584" t="s">
        <v>2711</v>
      </c>
      <c r="U190" s="484" t="s">
        <v>348</v>
      </c>
      <c r="V190" s="484" t="s">
        <v>3886</v>
      </c>
      <c r="X190" s="484"/>
      <c r="Y190" s="484"/>
    </row>
    <row r="191" spans="3:25" ht="10.5" customHeight="1">
      <c r="C191" s="419" t="s">
        <v>1712</v>
      </c>
      <c r="D191" s="500">
        <v>45400</v>
      </c>
      <c r="E191" s="317"/>
      <c r="F191" s="672"/>
      <c r="G191" s="432" t="s">
        <v>704</v>
      </c>
      <c r="H191" s="432" t="s">
        <v>1269</v>
      </c>
      <c r="I191" s="668" t="s">
        <v>705</v>
      </c>
      <c r="J191" s="668" t="s">
        <v>2739</v>
      </c>
      <c r="K191" s="676" t="s">
        <v>417</v>
      </c>
      <c r="L191" s="677" t="s">
        <v>437</v>
      </c>
      <c r="M191" s="679" t="s">
        <v>2726</v>
      </c>
      <c r="N191" s="669" t="s">
        <v>830</v>
      </c>
      <c r="O191" s="328"/>
      <c r="P191" s="189"/>
      <c r="Q191" s="432"/>
      <c r="R191" s="584" t="s">
        <v>720</v>
      </c>
      <c r="S191" s="584" t="s">
        <v>772</v>
      </c>
      <c r="U191" s="484" t="s">
        <v>356</v>
      </c>
      <c r="V191" s="484" t="s">
        <v>3886</v>
      </c>
      <c r="X191" s="484"/>
      <c r="Y191" s="484"/>
    </row>
    <row r="192" spans="3:25" ht="10.5" customHeight="1">
      <c r="C192" s="419" t="s">
        <v>2142</v>
      </c>
      <c r="D192" s="500">
        <v>61400</v>
      </c>
      <c r="E192" s="317"/>
      <c r="F192" s="672"/>
      <c r="G192" s="432" t="s">
        <v>706</v>
      </c>
      <c r="H192" s="432" t="s">
        <v>1399</v>
      </c>
      <c r="I192" s="668" t="s">
        <v>707</v>
      </c>
      <c r="J192" s="668" t="s">
        <v>2739</v>
      </c>
      <c r="K192" s="676" t="s">
        <v>418</v>
      </c>
      <c r="L192" s="677" t="s">
        <v>437</v>
      </c>
      <c r="M192" s="679" t="s">
        <v>2726</v>
      </c>
      <c r="N192" s="669" t="s">
        <v>2379</v>
      </c>
      <c r="O192" s="328"/>
      <c r="P192" s="189"/>
      <c r="Q192" s="432"/>
      <c r="R192" s="584" t="s">
        <v>2378</v>
      </c>
      <c r="S192" s="584" t="s">
        <v>329</v>
      </c>
      <c r="U192" s="484" t="s">
        <v>201</v>
      </c>
      <c r="V192" s="484" t="s">
        <v>3886</v>
      </c>
      <c r="X192" s="484"/>
      <c r="Y192" s="484"/>
    </row>
    <row r="193" spans="3:25" ht="10.5" customHeight="1">
      <c r="C193" s="419" t="s">
        <v>190</v>
      </c>
      <c r="D193" s="500">
        <v>45500</v>
      </c>
      <c r="E193" s="317"/>
      <c r="F193" s="672"/>
      <c r="G193" s="432" t="s">
        <v>123</v>
      </c>
      <c r="H193" s="432" t="s">
        <v>1399</v>
      </c>
      <c r="I193" s="670" t="s">
        <v>804</v>
      </c>
      <c r="J193" s="670" t="s">
        <v>2740</v>
      </c>
      <c r="K193" s="676" t="s">
        <v>2703</v>
      </c>
      <c r="L193" s="677" t="s">
        <v>438</v>
      </c>
      <c r="M193" s="678" t="s">
        <v>1251</v>
      </c>
      <c r="N193" s="669" t="s">
        <v>2408</v>
      </c>
      <c r="O193" s="328"/>
      <c r="P193" s="189"/>
      <c r="Q193" s="432"/>
      <c r="R193" s="584" t="s">
        <v>2440</v>
      </c>
      <c r="S193" s="584" t="s">
        <v>920</v>
      </c>
      <c r="U193" s="484" t="s">
        <v>2255</v>
      </c>
      <c r="V193" s="484" t="s">
        <v>3886</v>
      </c>
      <c r="X193" s="484"/>
      <c r="Y193" s="484"/>
    </row>
    <row r="194" spans="3:25" ht="10.5" customHeight="1">
      <c r="C194" s="418" t="s">
        <v>2712</v>
      </c>
      <c r="D194" s="500">
        <v>56600</v>
      </c>
      <c r="E194" s="317"/>
      <c r="F194" s="672"/>
      <c r="G194" s="432" t="s">
        <v>124</v>
      </c>
      <c r="H194" s="432" t="s">
        <v>1375</v>
      </c>
      <c r="I194" s="668" t="s">
        <v>125</v>
      </c>
      <c r="J194" s="668" t="s">
        <v>2739</v>
      </c>
      <c r="K194" s="676" t="s">
        <v>419</v>
      </c>
      <c r="L194" s="677" t="s">
        <v>437</v>
      </c>
      <c r="M194" s="679" t="s">
        <v>2726</v>
      </c>
      <c r="N194" s="669" t="s">
        <v>47</v>
      </c>
      <c r="O194" s="328"/>
      <c r="P194" s="189"/>
      <c r="Q194" s="432"/>
      <c r="R194" s="584" t="s">
        <v>48</v>
      </c>
      <c r="S194" s="584" t="s">
        <v>336</v>
      </c>
      <c r="U194" s="484" t="s">
        <v>202</v>
      </c>
      <c r="V194" s="484" t="s">
        <v>3886</v>
      </c>
      <c r="X194" s="484"/>
      <c r="Y194" s="484"/>
    </row>
    <row r="195" spans="3:25" ht="10.5" customHeight="1">
      <c r="C195" s="419" t="s">
        <v>2714</v>
      </c>
      <c r="D195" s="500">
        <v>46400</v>
      </c>
      <c r="E195" s="317"/>
      <c r="F195" s="672"/>
      <c r="G195" s="432" t="s">
        <v>324</v>
      </c>
      <c r="H195" s="432" t="s">
        <v>1375</v>
      </c>
      <c r="I195" s="668" t="s">
        <v>1279</v>
      </c>
      <c r="J195" s="668" t="s">
        <v>2740</v>
      </c>
      <c r="K195" s="676" t="s">
        <v>420</v>
      </c>
      <c r="L195" s="677" t="s">
        <v>438</v>
      </c>
      <c r="M195" s="679" t="s">
        <v>1251</v>
      </c>
      <c r="N195" s="669" t="s">
        <v>663</v>
      </c>
      <c r="O195" s="328"/>
      <c r="P195" s="189"/>
      <c r="Q195" s="432"/>
      <c r="R195" s="584" t="s">
        <v>664</v>
      </c>
      <c r="S195" s="584" t="s">
        <v>2719</v>
      </c>
      <c r="U195" s="484" t="s">
        <v>396</v>
      </c>
      <c r="V195" s="484" t="s">
        <v>3886</v>
      </c>
      <c r="X195" s="484"/>
      <c r="Y195" s="484"/>
    </row>
    <row r="196" spans="3:25" ht="10.5" customHeight="1">
      <c r="C196" s="419" t="s">
        <v>1142</v>
      </c>
      <c r="D196" s="500">
        <v>54100</v>
      </c>
      <c r="E196" s="317"/>
      <c r="F196" s="672"/>
      <c r="G196" s="437" t="s">
        <v>325</v>
      </c>
      <c r="H196" s="432" t="s">
        <v>1399</v>
      </c>
      <c r="I196" s="668" t="s">
        <v>326</v>
      </c>
      <c r="J196" s="668" t="s">
        <v>2739</v>
      </c>
      <c r="K196" s="676" t="s">
        <v>421</v>
      </c>
      <c r="L196" s="677" t="s">
        <v>437</v>
      </c>
      <c r="M196" s="679" t="s">
        <v>2726</v>
      </c>
      <c r="N196" s="669" t="s">
        <v>317</v>
      </c>
      <c r="O196" s="328"/>
      <c r="P196" s="189"/>
      <c r="Q196" s="432"/>
      <c r="R196" s="584" t="s">
        <v>318</v>
      </c>
      <c r="S196" s="584" t="s">
        <v>327</v>
      </c>
      <c r="U196" s="484" t="s">
        <v>915</v>
      </c>
      <c r="V196" s="484" t="s">
        <v>3886</v>
      </c>
      <c r="X196" s="484"/>
      <c r="Y196" s="484"/>
    </row>
    <row r="197" spans="3:25" ht="10.5" customHeight="1">
      <c r="C197" s="419" t="s">
        <v>1145</v>
      </c>
      <c r="D197" s="500">
        <v>49900</v>
      </c>
      <c r="E197" s="317"/>
      <c r="F197" s="672"/>
      <c r="G197" s="432" t="s">
        <v>327</v>
      </c>
      <c r="H197" s="432" t="s">
        <v>1375</v>
      </c>
      <c r="I197" s="670" t="s">
        <v>806</v>
      </c>
      <c r="J197" s="670" t="s">
        <v>2740</v>
      </c>
      <c r="K197" s="676" t="s">
        <v>422</v>
      </c>
      <c r="L197" s="677" t="s">
        <v>438</v>
      </c>
      <c r="M197" s="678" t="s">
        <v>1251</v>
      </c>
      <c r="N197" s="669" t="s">
        <v>2480</v>
      </c>
      <c r="O197" s="328"/>
      <c r="P197" s="189"/>
      <c r="Q197" s="432"/>
      <c r="R197" s="584" t="s">
        <v>2481</v>
      </c>
      <c r="S197" s="584" t="s">
        <v>202</v>
      </c>
      <c r="U197" s="484" t="s">
        <v>2020</v>
      </c>
      <c r="V197" s="484" t="s">
        <v>3886</v>
      </c>
      <c r="X197" s="484"/>
      <c r="Y197" s="484"/>
    </row>
    <row r="198" spans="3:25" ht="10.5" customHeight="1">
      <c r="C198" s="419" t="s">
        <v>1148</v>
      </c>
      <c r="D198" s="500">
        <v>50600</v>
      </c>
      <c r="E198" s="317"/>
      <c r="F198" s="672"/>
      <c r="G198" s="432" t="s">
        <v>328</v>
      </c>
      <c r="H198" s="432" t="s">
        <v>1399</v>
      </c>
      <c r="I198" s="670" t="s">
        <v>166</v>
      </c>
      <c r="J198" s="670" t="s">
        <v>2740</v>
      </c>
      <c r="K198" s="676" t="s">
        <v>1766</v>
      </c>
      <c r="L198" s="677" t="s">
        <v>438</v>
      </c>
      <c r="M198" s="678" t="s">
        <v>1251</v>
      </c>
      <c r="N198" s="669" t="s">
        <v>2508</v>
      </c>
      <c r="O198" s="328"/>
      <c r="P198" s="189"/>
      <c r="Q198" s="432"/>
      <c r="R198" s="584" t="s">
        <v>2509</v>
      </c>
      <c r="S198" s="584" t="s">
        <v>1744</v>
      </c>
      <c r="U198" s="484" t="s">
        <v>2024</v>
      </c>
      <c r="V198" s="484" t="s">
        <v>3886</v>
      </c>
      <c r="X198" s="484"/>
      <c r="Y198" s="484"/>
    </row>
    <row r="199" spans="3:25" ht="10.5" customHeight="1">
      <c r="C199" s="418" t="s">
        <v>1150</v>
      </c>
      <c r="D199" s="500">
        <v>47900</v>
      </c>
      <c r="E199" s="317"/>
      <c r="F199" s="672"/>
      <c r="G199" s="432" t="s">
        <v>329</v>
      </c>
      <c r="H199" s="432" t="s">
        <v>1399</v>
      </c>
      <c r="I199" s="668" t="s">
        <v>330</v>
      </c>
      <c r="J199" s="668" t="s">
        <v>2739</v>
      </c>
      <c r="K199" s="676" t="s">
        <v>423</v>
      </c>
      <c r="L199" s="677" t="s">
        <v>437</v>
      </c>
      <c r="M199" s="679" t="s">
        <v>2726</v>
      </c>
      <c r="N199" s="669" t="s">
        <v>2510</v>
      </c>
      <c r="O199" s="328"/>
      <c r="P199" s="189"/>
      <c r="Q199" s="432"/>
      <c r="R199" s="584" t="s">
        <v>3232</v>
      </c>
      <c r="S199" s="584" t="s">
        <v>658</v>
      </c>
      <c r="U199" s="484" t="s">
        <v>754</v>
      </c>
      <c r="V199" s="484" t="s">
        <v>3886</v>
      </c>
      <c r="X199" s="484"/>
      <c r="Y199" s="484"/>
    </row>
    <row r="200" spans="3:25" ht="10.5" customHeight="1">
      <c r="C200" s="419" t="s">
        <v>1152</v>
      </c>
      <c r="D200" s="500">
        <v>47500</v>
      </c>
      <c r="E200" s="317"/>
      <c r="F200" s="672"/>
      <c r="G200" s="432" t="s">
        <v>331</v>
      </c>
      <c r="H200" s="432" t="s">
        <v>1399</v>
      </c>
      <c r="I200" s="670" t="s">
        <v>804</v>
      </c>
      <c r="J200" s="670" t="s">
        <v>2740</v>
      </c>
      <c r="K200" s="676" t="s">
        <v>2703</v>
      </c>
      <c r="L200" s="677" t="s">
        <v>438</v>
      </c>
      <c r="M200" s="678" t="s">
        <v>1251</v>
      </c>
      <c r="N200" s="669" t="s">
        <v>2511</v>
      </c>
      <c r="O200" s="328"/>
      <c r="P200" s="189"/>
      <c r="Q200" s="432"/>
      <c r="R200" s="584" t="s">
        <v>659</v>
      </c>
      <c r="S200" s="584" t="s">
        <v>1391</v>
      </c>
      <c r="U200" s="484" t="s">
        <v>1194</v>
      </c>
      <c r="V200" s="484" t="s">
        <v>3886</v>
      </c>
      <c r="X200" s="484"/>
      <c r="Y200" s="484"/>
    </row>
    <row r="201" spans="3:25" ht="10.5" customHeight="1">
      <c r="C201" s="419" t="s">
        <v>1154</v>
      </c>
      <c r="D201" s="500">
        <v>40800</v>
      </c>
      <c r="E201" s="317"/>
      <c r="F201" s="672"/>
      <c r="G201" s="432" t="s">
        <v>332</v>
      </c>
      <c r="H201" s="432" t="s">
        <v>1399</v>
      </c>
      <c r="I201" s="670" t="s">
        <v>804</v>
      </c>
      <c r="J201" s="670" t="s">
        <v>2740</v>
      </c>
      <c r="K201" s="676" t="s">
        <v>2703</v>
      </c>
      <c r="L201" s="677" t="s">
        <v>438</v>
      </c>
      <c r="M201" s="678" t="s">
        <v>1251</v>
      </c>
      <c r="N201" s="669" t="s">
        <v>2472</v>
      </c>
      <c r="O201" s="328"/>
      <c r="P201" s="189"/>
      <c r="Q201" s="432"/>
      <c r="R201" s="584" t="s">
        <v>1388</v>
      </c>
      <c r="S201" s="584" t="s">
        <v>692</v>
      </c>
      <c r="U201" s="484" t="s">
        <v>1196</v>
      </c>
      <c r="V201" s="484" t="s">
        <v>3886</v>
      </c>
      <c r="X201" s="484"/>
      <c r="Y201" s="484"/>
    </row>
    <row r="202" spans="3:25" ht="10.5" customHeight="1">
      <c r="C202" s="419" t="s">
        <v>1156</v>
      </c>
      <c r="D202" s="500">
        <v>52000</v>
      </c>
      <c r="E202" s="317"/>
      <c r="F202" s="672"/>
      <c r="G202" s="432" t="s">
        <v>333</v>
      </c>
      <c r="H202" s="432" t="s">
        <v>1399</v>
      </c>
      <c r="I202" s="670" t="s">
        <v>1793</v>
      </c>
      <c r="J202" s="670" t="s">
        <v>2740</v>
      </c>
      <c r="K202" s="676" t="s">
        <v>424</v>
      </c>
      <c r="L202" s="677" t="s">
        <v>438</v>
      </c>
      <c r="M202" s="679" t="s">
        <v>1251</v>
      </c>
      <c r="N202" s="669" t="s">
        <v>11</v>
      </c>
      <c r="O202" s="328"/>
      <c r="P202" s="189"/>
      <c r="Q202" s="432"/>
      <c r="R202" s="584" t="s">
        <v>2473</v>
      </c>
      <c r="S202" s="584" t="s">
        <v>2609</v>
      </c>
      <c r="U202" s="484" t="s">
        <v>1198</v>
      </c>
      <c r="V202" s="484" t="s">
        <v>3886</v>
      </c>
      <c r="X202" s="484"/>
      <c r="Y202" s="484"/>
    </row>
    <row r="203" spans="3:25" ht="10.5" customHeight="1">
      <c r="C203" s="418" t="s">
        <v>1158</v>
      </c>
      <c r="D203" s="500">
        <v>38800</v>
      </c>
      <c r="E203" s="317"/>
      <c r="F203" s="672"/>
      <c r="G203" s="432" t="s">
        <v>334</v>
      </c>
      <c r="H203" s="432" t="s">
        <v>1269</v>
      </c>
      <c r="I203" s="668" t="s">
        <v>335</v>
      </c>
      <c r="J203" s="668" t="s">
        <v>2739</v>
      </c>
      <c r="K203" s="676" t="s">
        <v>682</v>
      </c>
      <c r="L203" s="677" t="s">
        <v>437</v>
      </c>
      <c r="M203" s="679" t="s">
        <v>2726</v>
      </c>
      <c r="N203" s="669" t="s">
        <v>13</v>
      </c>
      <c r="O203" s="328"/>
      <c r="P203" s="189"/>
      <c r="Q203" s="432"/>
      <c r="R203" s="584" t="s">
        <v>12</v>
      </c>
      <c r="S203" s="584" t="s">
        <v>701</v>
      </c>
      <c r="U203" s="484" t="s">
        <v>2639</v>
      </c>
      <c r="V203" s="484" t="s">
        <v>3886</v>
      </c>
      <c r="X203" s="484"/>
      <c r="Y203" s="484"/>
    </row>
    <row r="204" spans="3:25" ht="10.5" customHeight="1">
      <c r="C204" s="418" t="s">
        <v>2376</v>
      </c>
      <c r="D204" s="500">
        <v>49800</v>
      </c>
      <c r="E204" s="317"/>
      <c r="F204" s="672"/>
      <c r="G204" s="432" t="s">
        <v>336</v>
      </c>
      <c r="H204" s="432" t="s">
        <v>1399</v>
      </c>
      <c r="I204" s="668" t="s">
        <v>337</v>
      </c>
      <c r="J204" s="668" t="s">
        <v>2739</v>
      </c>
      <c r="K204" s="676" t="s">
        <v>683</v>
      </c>
      <c r="L204" s="677" t="s">
        <v>437</v>
      </c>
      <c r="M204" s="679" t="s">
        <v>2726</v>
      </c>
      <c r="N204" s="669" t="s">
        <v>58</v>
      </c>
      <c r="O204" s="328"/>
      <c r="P204" s="189"/>
      <c r="Q204" s="432"/>
      <c r="R204" s="584" t="s">
        <v>14</v>
      </c>
      <c r="S204" s="584" t="s">
        <v>327</v>
      </c>
      <c r="U204" s="484" t="s">
        <v>474</v>
      </c>
      <c r="V204" s="484" t="s">
        <v>3886</v>
      </c>
      <c r="X204" s="484"/>
      <c r="Y204" s="484"/>
    </row>
    <row r="205" spans="3:25" ht="10.5" customHeight="1">
      <c r="C205" s="419" t="s">
        <v>1390</v>
      </c>
      <c r="D205" s="500">
        <v>61300</v>
      </c>
      <c r="E205" s="317"/>
      <c r="F205" s="672"/>
      <c r="G205" s="432" t="s">
        <v>338</v>
      </c>
      <c r="H205" s="432" t="s">
        <v>1399</v>
      </c>
      <c r="I205" s="670" t="s">
        <v>804</v>
      </c>
      <c r="J205" s="670" t="s">
        <v>2740</v>
      </c>
      <c r="K205" s="676" t="s">
        <v>2703</v>
      </c>
      <c r="L205" s="677" t="s">
        <v>438</v>
      </c>
      <c r="M205" s="678" t="s">
        <v>1251</v>
      </c>
      <c r="N205" s="669" t="s">
        <v>60</v>
      </c>
      <c r="O205" s="328"/>
      <c r="P205" s="189"/>
      <c r="Q205" s="432"/>
      <c r="R205" s="584" t="s">
        <v>59</v>
      </c>
      <c r="S205" s="584" t="s">
        <v>2711</v>
      </c>
      <c r="U205" s="484" t="s">
        <v>314</v>
      </c>
      <c r="V205" s="484" t="s">
        <v>3886</v>
      </c>
      <c r="X205" s="484"/>
      <c r="Y205" s="484"/>
    </row>
    <row r="206" spans="3:25" ht="10.5" customHeight="1">
      <c r="C206" s="419" t="s">
        <v>2269</v>
      </c>
      <c r="D206" s="500">
        <v>55900</v>
      </c>
      <c r="E206" s="317"/>
      <c r="F206" s="672"/>
      <c r="G206" s="432" t="s">
        <v>339</v>
      </c>
      <c r="H206" s="432" t="s">
        <v>1269</v>
      </c>
      <c r="I206" s="668" t="s">
        <v>340</v>
      </c>
      <c r="J206" s="668" t="s">
        <v>2739</v>
      </c>
      <c r="K206" s="676" t="s">
        <v>684</v>
      </c>
      <c r="L206" s="677" t="s">
        <v>437</v>
      </c>
      <c r="M206" s="679" t="s">
        <v>2726</v>
      </c>
      <c r="N206" s="669" t="s">
        <v>62</v>
      </c>
      <c r="O206" s="328"/>
      <c r="P206" s="189"/>
      <c r="Q206" s="432"/>
      <c r="R206" s="584" t="s">
        <v>61</v>
      </c>
      <c r="S206" s="584" t="s">
        <v>370</v>
      </c>
      <c r="U206" s="484" t="s">
        <v>1916</v>
      </c>
      <c r="V206" s="484" t="s">
        <v>3886</v>
      </c>
      <c r="X206" s="484"/>
      <c r="Y206" s="484"/>
    </row>
    <row r="207" spans="3:25" ht="10.5" customHeight="1">
      <c r="C207" s="419" t="s">
        <v>2271</v>
      </c>
      <c r="D207" s="500">
        <v>50900</v>
      </c>
      <c r="E207" s="317"/>
      <c r="F207" s="672"/>
      <c r="G207" s="432" t="s">
        <v>341</v>
      </c>
      <c r="H207" s="432" t="s">
        <v>1399</v>
      </c>
      <c r="I207" s="668" t="s">
        <v>342</v>
      </c>
      <c r="J207" s="668" t="s">
        <v>2739</v>
      </c>
      <c r="K207" s="676" t="s">
        <v>276</v>
      </c>
      <c r="L207" s="677" t="s">
        <v>437</v>
      </c>
      <c r="M207" s="679" t="s">
        <v>2726</v>
      </c>
      <c r="N207" s="669" t="s">
        <v>364</v>
      </c>
      <c r="O207" s="328"/>
      <c r="P207" s="189"/>
      <c r="Q207" s="432"/>
      <c r="R207" s="584" t="s">
        <v>63</v>
      </c>
      <c r="S207" s="584" t="s">
        <v>123</v>
      </c>
      <c r="U207" s="484" t="s">
        <v>1918</v>
      </c>
      <c r="V207" s="484" t="s">
        <v>3886</v>
      </c>
      <c r="X207" s="484"/>
      <c r="Y207" s="484"/>
    </row>
    <row r="208" spans="3:25" ht="10.5" customHeight="1">
      <c r="C208" s="419" t="s">
        <v>2273</v>
      </c>
      <c r="D208" s="500">
        <v>34400</v>
      </c>
      <c r="E208" s="317"/>
      <c r="F208" s="672"/>
      <c r="G208" s="432" t="s">
        <v>343</v>
      </c>
      <c r="H208" s="432" t="s">
        <v>1269</v>
      </c>
      <c r="I208" s="668" t="s">
        <v>344</v>
      </c>
      <c r="J208" s="668" t="s">
        <v>2739</v>
      </c>
      <c r="K208" s="676" t="s">
        <v>277</v>
      </c>
      <c r="L208" s="677" t="s">
        <v>437</v>
      </c>
      <c r="M208" s="679" t="s">
        <v>2726</v>
      </c>
      <c r="N208" s="669" t="s">
        <v>366</v>
      </c>
      <c r="O208" s="328"/>
      <c r="P208" s="189"/>
      <c r="Q208" s="432"/>
      <c r="R208" s="584" t="s">
        <v>365</v>
      </c>
      <c r="S208" s="584" t="s">
        <v>2287</v>
      </c>
      <c r="U208" s="484" t="s">
        <v>1991</v>
      </c>
      <c r="V208" s="484" t="s">
        <v>3886</v>
      </c>
      <c r="X208" s="484"/>
      <c r="Y208" s="484"/>
    </row>
    <row r="209" spans="3:25" ht="10.5" customHeight="1">
      <c r="C209" s="419" t="s">
        <v>2276</v>
      </c>
      <c r="D209" s="500">
        <v>47300</v>
      </c>
      <c r="E209" s="317"/>
      <c r="F209" s="672"/>
      <c r="G209" s="432" t="s">
        <v>345</v>
      </c>
      <c r="H209" s="432" t="s">
        <v>1269</v>
      </c>
      <c r="I209" s="668" t="s">
        <v>346</v>
      </c>
      <c r="J209" s="668" t="s">
        <v>2739</v>
      </c>
      <c r="K209" s="676" t="s">
        <v>278</v>
      </c>
      <c r="L209" s="677" t="s">
        <v>437</v>
      </c>
      <c r="M209" s="679" t="s">
        <v>2726</v>
      </c>
      <c r="N209" s="669" t="s">
        <v>368</v>
      </c>
      <c r="O209" s="328"/>
      <c r="P209" s="189"/>
      <c r="Q209" s="432"/>
      <c r="R209" s="584" t="s">
        <v>367</v>
      </c>
      <c r="S209" s="584" t="s">
        <v>997</v>
      </c>
      <c r="U209" s="484" t="s">
        <v>2352</v>
      </c>
      <c r="V209" s="484" t="s">
        <v>3886</v>
      </c>
      <c r="X209" s="484"/>
      <c r="Y209" s="484"/>
    </row>
    <row r="210" spans="3:25" ht="10.5" customHeight="1">
      <c r="C210" s="418" t="s">
        <v>2278</v>
      </c>
      <c r="D210" s="500">
        <v>36400</v>
      </c>
      <c r="E210" s="317"/>
      <c r="F210" s="672"/>
      <c r="G210" s="432" t="s">
        <v>444</v>
      </c>
      <c r="H210" s="432" t="s">
        <v>1399</v>
      </c>
      <c r="I210" s="670" t="s">
        <v>1384</v>
      </c>
      <c r="J210" s="670" t="s">
        <v>2740</v>
      </c>
      <c r="K210" s="676" t="s">
        <v>2706</v>
      </c>
      <c r="L210" s="677" t="s">
        <v>438</v>
      </c>
      <c r="M210" s="678" t="s">
        <v>1251</v>
      </c>
      <c r="N210" s="669" t="s">
        <v>2397</v>
      </c>
      <c r="O210" s="328"/>
      <c r="P210" s="189"/>
      <c r="Q210" s="432"/>
      <c r="R210" s="584" t="s">
        <v>369</v>
      </c>
      <c r="S210" s="584" t="s">
        <v>1141</v>
      </c>
      <c r="U210" s="484" t="s">
        <v>434</v>
      </c>
      <c r="V210" s="484" t="s">
        <v>3886</v>
      </c>
      <c r="X210" s="484"/>
      <c r="Y210" s="484"/>
    </row>
    <row r="211" spans="3:25" ht="10.5" customHeight="1">
      <c r="C211" s="418" t="s">
        <v>2280</v>
      </c>
      <c r="D211" s="500">
        <v>45100</v>
      </c>
      <c r="E211" s="317"/>
      <c r="F211" s="672"/>
      <c r="G211" s="432" t="s">
        <v>445</v>
      </c>
      <c r="H211" s="432" t="s">
        <v>1399</v>
      </c>
      <c r="I211" s="670" t="s">
        <v>807</v>
      </c>
      <c r="J211" s="670" t="s">
        <v>2740</v>
      </c>
      <c r="K211" s="676" t="s">
        <v>279</v>
      </c>
      <c r="L211" s="677" t="s">
        <v>438</v>
      </c>
      <c r="M211" s="678" t="s">
        <v>1251</v>
      </c>
      <c r="N211" s="669" t="s">
        <v>2399</v>
      </c>
      <c r="O211" s="328"/>
      <c r="P211" s="189"/>
      <c r="Q211" s="432"/>
      <c r="R211" s="584" t="s">
        <v>660</v>
      </c>
      <c r="S211" s="584" t="s">
        <v>1526</v>
      </c>
      <c r="U211" s="484" t="s">
        <v>2389</v>
      </c>
      <c r="V211" s="484" t="s">
        <v>3886</v>
      </c>
      <c r="X211" s="484"/>
      <c r="Y211" s="484"/>
    </row>
    <row r="212" spans="3:25" ht="10.5" customHeight="1">
      <c r="C212" s="419" t="s">
        <v>2282</v>
      </c>
      <c r="D212" s="500">
        <v>40900</v>
      </c>
      <c r="E212" s="317"/>
      <c r="F212" s="672"/>
      <c r="G212" s="432" t="s">
        <v>1525</v>
      </c>
      <c r="H212" s="432" t="s">
        <v>1269</v>
      </c>
      <c r="I212" s="668" t="s">
        <v>1780</v>
      </c>
      <c r="J212" s="668" t="s">
        <v>2740</v>
      </c>
      <c r="K212" s="676" t="s">
        <v>2709</v>
      </c>
      <c r="L212" s="677" t="s">
        <v>438</v>
      </c>
      <c r="M212" s="678" t="s">
        <v>1251</v>
      </c>
      <c r="N212" s="669" t="s">
        <v>2400</v>
      </c>
      <c r="O212" s="328"/>
      <c r="P212" s="189"/>
      <c r="Q212" s="432"/>
      <c r="R212" s="584" t="s">
        <v>2398</v>
      </c>
      <c r="S212" s="584" t="s">
        <v>704</v>
      </c>
      <c r="U212" s="484" t="s">
        <v>3876</v>
      </c>
      <c r="V212" s="484" t="s">
        <v>3886</v>
      </c>
      <c r="X212" s="484"/>
      <c r="Y212" s="484"/>
    </row>
    <row r="213" spans="3:25" ht="10.5" customHeight="1">
      <c r="C213" s="419" t="s">
        <v>2284</v>
      </c>
      <c r="D213" s="500">
        <v>38800</v>
      </c>
      <c r="E213" s="317"/>
      <c r="F213" s="672"/>
      <c r="G213" s="432" t="s">
        <v>1526</v>
      </c>
      <c r="H213" s="432" t="s">
        <v>1269</v>
      </c>
      <c r="I213" s="668" t="s">
        <v>1527</v>
      </c>
      <c r="J213" s="668" t="s">
        <v>2739</v>
      </c>
      <c r="K213" s="676" t="s">
        <v>280</v>
      </c>
      <c r="L213" s="677" t="s">
        <v>437</v>
      </c>
      <c r="M213" s="679" t="s">
        <v>2726</v>
      </c>
      <c r="N213" s="669" t="s">
        <v>2401</v>
      </c>
      <c r="O213" s="328"/>
      <c r="P213" s="189"/>
      <c r="Q213" s="432"/>
      <c r="R213" s="584" t="s">
        <v>1396</v>
      </c>
      <c r="S213" s="584" t="s">
        <v>702</v>
      </c>
      <c r="U213" s="484" t="s">
        <v>709</v>
      </c>
      <c r="V213" s="484" t="s">
        <v>3886</v>
      </c>
      <c r="X213" s="484"/>
      <c r="Y213" s="484"/>
    </row>
    <row r="214" spans="3:25" ht="10.5" customHeight="1">
      <c r="C214" s="419" t="s">
        <v>2286</v>
      </c>
      <c r="D214" s="500">
        <v>50400</v>
      </c>
      <c r="E214" s="317"/>
      <c r="F214" s="672"/>
      <c r="G214" s="432" t="s">
        <v>1528</v>
      </c>
      <c r="H214" s="432" t="s">
        <v>1269</v>
      </c>
      <c r="I214" s="670" t="s">
        <v>1869</v>
      </c>
      <c r="J214" s="670" t="s">
        <v>2740</v>
      </c>
      <c r="K214" s="676" t="s">
        <v>1215</v>
      </c>
      <c r="L214" s="677" t="s">
        <v>438</v>
      </c>
      <c r="M214" s="678" t="s">
        <v>1251</v>
      </c>
      <c r="N214" s="669" t="s">
        <v>1635</v>
      </c>
      <c r="O214" s="328"/>
      <c r="P214" s="189"/>
      <c r="Q214" s="432"/>
      <c r="R214" s="584" t="s">
        <v>3233</v>
      </c>
      <c r="S214" s="584" t="s">
        <v>704</v>
      </c>
      <c r="U214" s="484" t="s">
        <v>2504</v>
      </c>
      <c r="V214" s="484" t="s">
        <v>3886</v>
      </c>
      <c r="X214" s="484"/>
      <c r="Y214" s="484"/>
    </row>
    <row r="215" spans="3:25" ht="10.5" customHeight="1">
      <c r="C215" s="419" t="s">
        <v>912</v>
      </c>
      <c r="D215" s="500">
        <v>37900</v>
      </c>
      <c r="E215" s="317"/>
      <c r="F215" s="672"/>
      <c r="G215" s="432" t="s">
        <v>1529</v>
      </c>
      <c r="H215" s="432" t="s">
        <v>1269</v>
      </c>
      <c r="I215" s="668" t="s">
        <v>808</v>
      </c>
      <c r="J215" s="668" t="s">
        <v>2740</v>
      </c>
      <c r="K215" s="676" t="s">
        <v>281</v>
      </c>
      <c r="L215" s="677" t="s">
        <v>438</v>
      </c>
      <c r="M215" s="679" t="s">
        <v>1251</v>
      </c>
      <c r="N215" s="669" t="s">
        <v>1637</v>
      </c>
      <c r="O215" s="328"/>
      <c r="P215" s="189"/>
      <c r="Q215" s="432"/>
      <c r="R215" s="584" t="s">
        <v>2402</v>
      </c>
      <c r="S215" s="584" t="s">
        <v>106</v>
      </c>
      <c r="U215" s="484" t="s">
        <v>229</v>
      </c>
      <c r="V215" s="484" t="s">
        <v>3886</v>
      </c>
      <c r="X215" s="484"/>
      <c r="Y215" s="484"/>
    </row>
    <row r="216" spans="3:25" ht="10.5" customHeight="1">
      <c r="C216" s="419" t="s">
        <v>914</v>
      </c>
      <c r="D216" s="500">
        <v>33900</v>
      </c>
      <c r="E216" s="317"/>
      <c r="F216" s="672"/>
      <c r="G216" s="432" t="s">
        <v>1530</v>
      </c>
      <c r="H216" s="432" t="s">
        <v>1399</v>
      </c>
      <c r="I216" s="668" t="s">
        <v>1531</v>
      </c>
      <c r="J216" s="668" t="s">
        <v>2739</v>
      </c>
      <c r="K216" s="676" t="s">
        <v>2648</v>
      </c>
      <c r="L216" s="677" t="s">
        <v>437</v>
      </c>
      <c r="M216" s="679" t="s">
        <v>2726</v>
      </c>
      <c r="N216" s="669" t="s">
        <v>1639</v>
      </c>
      <c r="O216" s="328"/>
      <c r="P216" s="189"/>
      <c r="Q216" s="432"/>
      <c r="R216" s="584" t="s">
        <v>1636</v>
      </c>
      <c r="S216" s="584" t="s">
        <v>1711</v>
      </c>
      <c r="U216" s="484" t="s">
        <v>694</v>
      </c>
      <c r="V216" s="484" t="s">
        <v>3886</v>
      </c>
      <c r="X216" s="484"/>
      <c r="Y216" s="484"/>
    </row>
    <row r="217" spans="3:25" ht="10.5" customHeight="1">
      <c r="C217" s="419" t="s">
        <v>1746</v>
      </c>
      <c r="D217" s="500">
        <v>43600</v>
      </c>
      <c r="E217" s="317"/>
      <c r="F217" s="672"/>
      <c r="G217" s="432" t="s">
        <v>1532</v>
      </c>
      <c r="H217" s="432" t="s">
        <v>1269</v>
      </c>
      <c r="I217" s="668" t="s">
        <v>1533</v>
      </c>
      <c r="J217" s="668" t="s">
        <v>2740</v>
      </c>
      <c r="K217" s="676" t="s">
        <v>729</v>
      </c>
      <c r="L217" s="677" t="s">
        <v>438</v>
      </c>
      <c r="M217" s="678" t="s">
        <v>1251</v>
      </c>
      <c r="N217" s="669" t="s">
        <v>1641</v>
      </c>
      <c r="O217" s="328"/>
      <c r="P217" s="189"/>
      <c r="Q217" s="432"/>
      <c r="R217" s="584" t="s">
        <v>2691</v>
      </c>
      <c r="S217" s="584" t="s">
        <v>658</v>
      </c>
      <c r="U217" s="484" t="s">
        <v>243</v>
      </c>
      <c r="V217" s="484" t="s">
        <v>3886</v>
      </c>
      <c r="X217" s="484"/>
      <c r="Y217" s="484"/>
    </row>
    <row r="218" spans="3:25" ht="10.5" customHeight="1">
      <c r="C218" s="419" t="s">
        <v>2004</v>
      </c>
      <c r="D218" s="500">
        <v>49700</v>
      </c>
      <c r="E218" s="317"/>
      <c r="F218" s="672"/>
      <c r="G218" s="432" t="s">
        <v>180</v>
      </c>
      <c r="H218" s="432" t="s">
        <v>1269</v>
      </c>
      <c r="I218" s="668" t="s">
        <v>1780</v>
      </c>
      <c r="J218" s="668" t="s">
        <v>2740</v>
      </c>
      <c r="K218" s="676" t="s">
        <v>2709</v>
      </c>
      <c r="L218" s="677" t="s">
        <v>438</v>
      </c>
      <c r="M218" s="679" t="s">
        <v>1251</v>
      </c>
      <c r="N218" s="669" t="s">
        <v>1643</v>
      </c>
      <c r="O218" s="328"/>
      <c r="P218" s="189"/>
      <c r="Q218" s="432"/>
      <c r="R218" s="584" t="s">
        <v>1638</v>
      </c>
      <c r="S218" s="584" t="s">
        <v>695</v>
      </c>
      <c r="U218" s="484" t="s">
        <v>695</v>
      </c>
      <c r="V218" s="484" t="s">
        <v>3886</v>
      </c>
      <c r="X218" s="484"/>
      <c r="Y218" s="484"/>
    </row>
    <row r="219" spans="3:25" ht="10.5" customHeight="1">
      <c r="C219" s="418" t="s">
        <v>2006</v>
      </c>
      <c r="D219" s="500">
        <v>50700</v>
      </c>
      <c r="E219" s="317"/>
      <c r="F219" s="672"/>
      <c r="G219" s="432" t="s">
        <v>181</v>
      </c>
      <c r="H219" s="432" t="s">
        <v>1375</v>
      </c>
      <c r="I219" s="670" t="s">
        <v>182</v>
      </c>
      <c r="J219" s="670" t="s">
        <v>2739</v>
      </c>
      <c r="K219" s="676" t="s">
        <v>730</v>
      </c>
      <c r="L219" s="677" t="s">
        <v>437</v>
      </c>
      <c r="M219" s="679" t="s">
        <v>2726</v>
      </c>
      <c r="N219" s="669" t="s">
        <v>1829</v>
      </c>
      <c r="O219" s="328"/>
      <c r="P219" s="189"/>
      <c r="Q219" s="432"/>
      <c r="R219" s="584" t="s">
        <v>3234</v>
      </c>
      <c r="S219" s="584" t="s">
        <v>2350</v>
      </c>
      <c r="U219" s="484" t="s">
        <v>828</v>
      </c>
      <c r="V219" s="484" t="s">
        <v>3886</v>
      </c>
      <c r="X219" s="484"/>
      <c r="Y219" s="484"/>
    </row>
    <row r="220" spans="3:25" ht="10.5" customHeight="1">
      <c r="C220" s="418" t="s">
        <v>2008</v>
      </c>
      <c r="D220" s="500">
        <v>47900</v>
      </c>
      <c r="E220" s="317"/>
      <c r="F220" s="672"/>
      <c r="G220" s="432" t="s">
        <v>1384</v>
      </c>
      <c r="H220" s="432" t="s">
        <v>1399</v>
      </c>
      <c r="I220" s="668" t="s">
        <v>183</v>
      </c>
      <c r="J220" s="668" t="s">
        <v>2739</v>
      </c>
      <c r="K220" s="676" t="s">
        <v>731</v>
      </c>
      <c r="L220" s="677" t="s">
        <v>437</v>
      </c>
      <c r="M220" s="679" t="s">
        <v>2726</v>
      </c>
      <c r="N220" s="669" t="s">
        <v>1831</v>
      </c>
      <c r="O220" s="328"/>
      <c r="P220" s="189"/>
      <c r="Q220" s="432"/>
      <c r="R220" s="584" t="s">
        <v>1640</v>
      </c>
      <c r="S220" s="584" t="s">
        <v>169</v>
      </c>
      <c r="U220" s="484" t="s">
        <v>3877</v>
      </c>
      <c r="V220" s="484" t="s">
        <v>3886</v>
      </c>
      <c r="X220" s="484"/>
      <c r="Y220" s="484"/>
    </row>
    <row r="221" spans="3:25" ht="10.5" customHeight="1">
      <c r="C221" s="418" t="s">
        <v>2010</v>
      </c>
      <c r="D221" s="500">
        <v>52000</v>
      </c>
      <c r="E221" s="317"/>
      <c r="F221" s="672"/>
      <c r="G221" s="432" t="s">
        <v>184</v>
      </c>
      <c r="H221" s="432" t="s">
        <v>1399</v>
      </c>
      <c r="I221" s="668" t="s">
        <v>2143</v>
      </c>
      <c r="J221" s="668" t="s">
        <v>2740</v>
      </c>
      <c r="K221" s="676" t="s">
        <v>650</v>
      </c>
      <c r="L221" s="677" t="s">
        <v>438</v>
      </c>
      <c r="M221" s="678" t="s">
        <v>1251</v>
      </c>
      <c r="N221" s="669" t="s">
        <v>1833</v>
      </c>
      <c r="O221" s="328"/>
      <c r="P221" s="189"/>
      <c r="Q221" s="432"/>
      <c r="R221" s="584" t="s">
        <v>1642</v>
      </c>
      <c r="S221" s="584" t="s">
        <v>1377</v>
      </c>
      <c r="U221" s="484" t="s">
        <v>3878</v>
      </c>
      <c r="V221" s="484" t="s">
        <v>3886</v>
      </c>
      <c r="X221" s="484"/>
      <c r="Y221" s="484"/>
    </row>
    <row r="222" spans="3:25" ht="10.5" customHeight="1">
      <c r="C222" s="418" t="s">
        <v>2012</v>
      </c>
      <c r="D222" s="500">
        <v>52700</v>
      </c>
      <c r="E222" s="317"/>
      <c r="F222" s="672"/>
      <c r="G222" s="432" t="s">
        <v>370</v>
      </c>
      <c r="H222" s="432" t="s">
        <v>1399</v>
      </c>
      <c r="I222" s="670" t="s">
        <v>166</v>
      </c>
      <c r="J222" s="670" t="s">
        <v>2740</v>
      </c>
      <c r="K222" s="676" t="s">
        <v>1766</v>
      </c>
      <c r="L222" s="677" t="s">
        <v>438</v>
      </c>
      <c r="M222" s="678" t="s">
        <v>1251</v>
      </c>
      <c r="N222" s="669" t="s">
        <v>1072</v>
      </c>
      <c r="O222" s="328"/>
      <c r="P222" s="189"/>
      <c r="Q222" s="432"/>
      <c r="R222" s="584" t="s">
        <v>1644</v>
      </c>
      <c r="S222" s="584" t="s">
        <v>184</v>
      </c>
      <c r="U222" s="484" t="s">
        <v>1279</v>
      </c>
      <c r="V222" s="484" t="s">
        <v>3886</v>
      </c>
      <c r="X222" s="484"/>
      <c r="Y222" s="484"/>
    </row>
    <row r="223" spans="3:25" ht="10.5" customHeight="1">
      <c r="C223" s="418" t="s">
        <v>2014</v>
      </c>
      <c r="D223" s="500">
        <v>37500</v>
      </c>
      <c r="E223" s="317"/>
      <c r="F223" s="672"/>
      <c r="G223" s="432" t="s">
        <v>1972</v>
      </c>
      <c r="H223" s="432" t="s">
        <v>1399</v>
      </c>
      <c r="I223" s="670" t="s">
        <v>805</v>
      </c>
      <c r="J223" s="670" t="s">
        <v>2740</v>
      </c>
      <c r="K223" s="676" t="s">
        <v>2725</v>
      </c>
      <c r="L223" s="677" t="s">
        <v>438</v>
      </c>
      <c r="M223" s="678" t="s">
        <v>1251</v>
      </c>
      <c r="N223" s="669" t="s">
        <v>1073</v>
      </c>
      <c r="O223" s="328"/>
      <c r="P223" s="189"/>
      <c r="Q223" s="432"/>
      <c r="R223" s="584" t="s">
        <v>1830</v>
      </c>
      <c r="S223" s="584" t="s">
        <v>695</v>
      </c>
      <c r="U223" s="484" t="s">
        <v>715</v>
      </c>
      <c r="V223" s="484" t="s">
        <v>3886</v>
      </c>
      <c r="X223" s="484"/>
      <c r="Y223" s="484"/>
    </row>
    <row r="224" spans="3:25" ht="10.5" customHeight="1">
      <c r="C224" s="419" t="s">
        <v>2017</v>
      </c>
      <c r="D224" s="500">
        <v>51300</v>
      </c>
      <c r="E224" s="317"/>
      <c r="F224" s="672"/>
      <c r="G224" s="432" t="s">
        <v>1973</v>
      </c>
      <c r="H224" s="432" t="s">
        <v>1269</v>
      </c>
      <c r="I224" s="668" t="s">
        <v>12</v>
      </c>
      <c r="J224" s="668" t="s">
        <v>2740</v>
      </c>
      <c r="K224" s="676" t="s">
        <v>2708</v>
      </c>
      <c r="L224" s="677" t="s">
        <v>438</v>
      </c>
      <c r="M224" s="678" t="s">
        <v>1251</v>
      </c>
      <c r="N224" s="669" t="s">
        <v>247</v>
      </c>
      <c r="O224" s="328"/>
      <c r="P224" s="189"/>
      <c r="Q224" s="432"/>
      <c r="R224" s="584" t="s">
        <v>1832</v>
      </c>
      <c r="S224" s="584" t="s">
        <v>772</v>
      </c>
      <c r="U224" s="484" t="s">
        <v>702</v>
      </c>
      <c r="V224" s="484" t="s">
        <v>3886</v>
      </c>
      <c r="X224" s="484"/>
      <c r="Y224" s="484"/>
    </row>
    <row r="225" spans="3:25" ht="10.5" customHeight="1">
      <c r="C225" s="418" t="s">
        <v>2104</v>
      </c>
      <c r="D225" s="500">
        <v>45000</v>
      </c>
      <c r="E225" s="317"/>
      <c r="F225" s="672"/>
      <c r="G225" s="432" t="s">
        <v>1974</v>
      </c>
      <c r="H225" s="432" t="s">
        <v>1399</v>
      </c>
      <c r="I225" s="670" t="s">
        <v>809</v>
      </c>
      <c r="J225" s="670" t="s">
        <v>2740</v>
      </c>
      <c r="K225" s="676" t="s">
        <v>732</v>
      </c>
      <c r="L225" s="677" t="s">
        <v>438</v>
      </c>
      <c r="M225" s="678" t="s">
        <v>1251</v>
      </c>
      <c r="N225" s="669" t="s">
        <v>249</v>
      </c>
      <c r="O225" s="328"/>
      <c r="P225" s="189"/>
      <c r="Q225" s="432"/>
      <c r="R225" s="584" t="s">
        <v>1071</v>
      </c>
      <c r="S225" s="584" t="s">
        <v>1378</v>
      </c>
      <c r="U225" s="484" t="s">
        <v>1028</v>
      </c>
      <c r="V225" s="484" t="s">
        <v>3886</v>
      </c>
      <c r="X225" s="484"/>
      <c r="Y225" s="484"/>
    </row>
    <row r="226" spans="3:25" ht="10.5" customHeight="1">
      <c r="C226" s="418" t="s">
        <v>1780</v>
      </c>
      <c r="D226" s="500">
        <v>50400</v>
      </c>
      <c r="E226" s="317"/>
      <c r="F226" s="672"/>
      <c r="G226" s="432" t="s">
        <v>1709</v>
      </c>
      <c r="H226" s="432" t="s">
        <v>1269</v>
      </c>
      <c r="I226" s="668" t="s">
        <v>1710</v>
      </c>
      <c r="J226" s="668" t="s">
        <v>2739</v>
      </c>
      <c r="K226" s="676" t="s">
        <v>733</v>
      </c>
      <c r="L226" s="677" t="s">
        <v>437</v>
      </c>
      <c r="M226" s="679" t="s">
        <v>2726</v>
      </c>
      <c r="N226" s="669" t="s">
        <v>1322</v>
      </c>
      <c r="O226" s="328"/>
      <c r="P226" s="189"/>
      <c r="Q226" s="432"/>
      <c r="R226" s="584" t="s">
        <v>1074</v>
      </c>
      <c r="S226" s="584" t="s">
        <v>693</v>
      </c>
      <c r="U226" s="484" t="s">
        <v>1032</v>
      </c>
      <c r="V226" s="484" t="s">
        <v>3886</v>
      </c>
      <c r="X226" s="484"/>
      <c r="Y226" s="484"/>
    </row>
    <row r="227" spans="3:25" ht="10.5" customHeight="1">
      <c r="C227" s="419" t="s">
        <v>105</v>
      </c>
      <c r="D227" s="500">
        <v>49200</v>
      </c>
      <c r="E227" s="317"/>
      <c r="F227" s="672"/>
      <c r="G227" s="432" t="s">
        <v>1711</v>
      </c>
      <c r="H227" s="432" t="s">
        <v>1269</v>
      </c>
      <c r="I227" s="668" t="s">
        <v>1712</v>
      </c>
      <c r="J227" s="668" t="s">
        <v>2739</v>
      </c>
      <c r="K227" s="676" t="s">
        <v>734</v>
      </c>
      <c r="L227" s="677" t="s">
        <v>437</v>
      </c>
      <c r="M227" s="679" t="s">
        <v>2726</v>
      </c>
      <c r="N227" s="669" t="s">
        <v>2159</v>
      </c>
      <c r="O227" s="328"/>
      <c r="P227" s="189"/>
      <c r="Q227" s="432"/>
      <c r="R227" s="584" t="s">
        <v>248</v>
      </c>
      <c r="S227" s="584" t="s">
        <v>2655</v>
      </c>
      <c r="U227" s="484" t="s">
        <v>1034</v>
      </c>
      <c r="V227" s="484" t="s">
        <v>3886</v>
      </c>
      <c r="X227" s="484"/>
      <c r="Y227" s="484"/>
    </row>
    <row r="228" spans="3:25" ht="10.5" customHeight="1">
      <c r="C228" s="418" t="s">
        <v>1793</v>
      </c>
      <c r="D228" s="500">
        <v>71800</v>
      </c>
      <c r="E228" s="317"/>
      <c r="F228" s="672"/>
      <c r="G228" s="432" t="s">
        <v>1713</v>
      </c>
      <c r="H228" s="432" t="s">
        <v>1399</v>
      </c>
      <c r="I228" s="670" t="s">
        <v>2142</v>
      </c>
      <c r="J228" s="670" t="s">
        <v>2740</v>
      </c>
      <c r="K228" s="676" t="s">
        <v>735</v>
      </c>
      <c r="L228" s="677" t="s">
        <v>438</v>
      </c>
      <c r="M228" s="678" t="s">
        <v>1251</v>
      </c>
      <c r="N228" s="669" t="s">
        <v>2161</v>
      </c>
      <c r="O228" s="328"/>
      <c r="P228" s="189"/>
      <c r="Q228" s="432"/>
      <c r="R228" s="584" t="s">
        <v>3235</v>
      </c>
      <c r="S228" s="584" t="s">
        <v>916</v>
      </c>
      <c r="U228" s="484" t="s">
        <v>600</v>
      </c>
      <c r="V228" s="484" t="s">
        <v>3886</v>
      </c>
      <c r="X228" s="484"/>
      <c r="Y228" s="484"/>
    </row>
    <row r="229" spans="3:25" ht="10.5" customHeight="1">
      <c r="C229" s="418" t="s">
        <v>107</v>
      </c>
      <c r="D229" s="500">
        <v>40400</v>
      </c>
      <c r="F229" s="672"/>
      <c r="G229" s="432" t="s">
        <v>189</v>
      </c>
      <c r="H229" s="432" t="s">
        <v>1269</v>
      </c>
      <c r="I229" s="668" t="s">
        <v>190</v>
      </c>
      <c r="J229" s="668" t="s">
        <v>2739</v>
      </c>
      <c r="K229" s="676" t="s">
        <v>736</v>
      </c>
      <c r="L229" s="677" t="s">
        <v>437</v>
      </c>
      <c r="M229" s="679" t="s">
        <v>2726</v>
      </c>
      <c r="N229" s="669" t="s">
        <v>2163</v>
      </c>
      <c r="O229" s="328"/>
      <c r="P229" s="189"/>
      <c r="Q229" s="432"/>
      <c r="R229" s="671" t="s">
        <v>1845</v>
      </c>
      <c r="S229" s="671" t="s">
        <v>1147</v>
      </c>
      <c r="U229" s="484" t="s">
        <v>386</v>
      </c>
      <c r="V229" s="484" t="s">
        <v>3886</v>
      </c>
      <c r="X229" s="484"/>
      <c r="Y229" s="484"/>
    </row>
    <row r="230" spans="3:25" ht="10.5" customHeight="1">
      <c r="C230" s="418" t="s">
        <v>109</v>
      </c>
      <c r="D230" s="500">
        <v>49300</v>
      </c>
      <c r="F230" s="672"/>
      <c r="G230" s="432" t="s">
        <v>2711</v>
      </c>
      <c r="H230" s="432" t="s">
        <v>1399</v>
      </c>
      <c r="I230" s="670" t="s">
        <v>2712</v>
      </c>
      <c r="J230" s="670" t="s">
        <v>2739</v>
      </c>
      <c r="K230" s="676" t="s">
        <v>737</v>
      </c>
      <c r="L230" s="677" t="s">
        <v>437</v>
      </c>
      <c r="M230" s="679" t="s">
        <v>2726</v>
      </c>
      <c r="N230" s="669" t="s">
        <v>2165</v>
      </c>
      <c r="O230" s="328"/>
      <c r="P230" s="189"/>
      <c r="Q230" s="432"/>
      <c r="R230" s="584" t="s">
        <v>2160</v>
      </c>
      <c r="S230" s="584" t="s">
        <v>333</v>
      </c>
      <c r="U230" s="484" t="s">
        <v>1671</v>
      </c>
      <c r="V230" s="484" t="s">
        <v>3886</v>
      </c>
      <c r="X230" s="484"/>
      <c r="Y230" s="484"/>
    </row>
    <row r="231" spans="3:25" ht="10.5" customHeight="1">
      <c r="C231" s="418" t="s">
        <v>111</v>
      </c>
      <c r="D231" s="500">
        <v>46700</v>
      </c>
      <c r="F231" s="672"/>
      <c r="G231" s="432" t="s">
        <v>2713</v>
      </c>
      <c r="H231" s="432" t="s">
        <v>1375</v>
      </c>
      <c r="I231" s="668" t="s">
        <v>2714</v>
      </c>
      <c r="J231" s="668" t="s">
        <v>2740</v>
      </c>
      <c r="K231" s="676" t="s">
        <v>2048</v>
      </c>
      <c r="L231" s="677" t="s">
        <v>438</v>
      </c>
      <c r="M231" s="678" t="s">
        <v>1251</v>
      </c>
      <c r="N231" s="669" t="s">
        <v>2167</v>
      </c>
      <c r="O231" s="328"/>
      <c r="P231" s="189"/>
      <c r="Q231" s="432"/>
      <c r="R231" s="584" t="s">
        <v>2162</v>
      </c>
      <c r="S231" s="584" t="s">
        <v>331</v>
      </c>
      <c r="U231" s="484" t="s">
        <v>1056</v>
      </c>
      <c r="V231" s="484" t="s">
        <v>3886</v>
      </c>
      <c r="X231" s="484"/>
      <c r="Y231" s="484"/>
    </row>
    <row r="232" spans="3:25" ht="10.5" customHeight="1">
      <c r="C232" s="418" t="s">
        <v>113</v>
      </c>
      <c r="D232" s="500">
        <v>52200</v>
      </c>
      <c r="F232" s="672"/>
      <c r="G232" s="432" t="s">
        <v>2715</v>
      </c>
      <c r="H232" s="432" t="s">
        <v>1399</v>
      </c>
      <c r="I232" s="670" t="s">
        <v>166</v>
      </c>
      <c r="J232" s="670" t="s">
        <v>2740</v>
      </c>
      <c r="K232" s="676" t="s">
        <v>1766</v>
      </c>
      <c r="L232" s="677" t="s">
        <v>438</v>
      </c>
      <c r="M232" s="679" t="s">
        <v>1251</v>
      </c>
      <c r="N232" s="669" t="s">
        <v>2169</v>
      </c>
      <c r="O232" s="328"/>
      <c r="P232" s="189"/>
      <c r="Q232" s="432"/>
      <c r="R232" s="584" t="s">
        <v>2164</v>
      </c>
      <c r="S232" s="584" t="s">
        <v>658</v>
      </c>
      <c r="U232" s="484" t="s">
        <v>1058</v>
      </c>
      <c r="V232" s="484" t="s">
        <v>3886</v>
      </c>
      <c r="X232" s="484"/>
      <c r="Y232" s="484"/>
    </row>
    <row r="233" spans="3:25" ht="10.5" customHeight="1">
      <c r="C233" s="418" t="s">
        <v>115</v>
      </c>
      <c r="D233" s="500">
        <v>37400</v>
      </c>
      <c r="F233" s="672"/>
      <c r="G233" s="432" t="s">
        <v>2716</v>
      </c>
      <c r="H233" s="432" t="s">
        <v>1399</v>
      </c>
      <c r="I233" s="670" t="s">
        <v>804</v>
      </c>
      <c r="J233" s="670" t="s">
        <v>2740</v>
      </c>
      <c r="K233" s="676" t="s">
        <v>2703</v>
      </c>
      <c r="L233" s="677" t="s">
        <v>438</v>
      </c>
      <c r="M233" s="678" t="s">
        <v>1251</v>
      </c>
      <c r="N233" s="669" t="s">
        <v>710</v>
      </c>
      <c r="O233" s="328"/>
      <c r="P233" s="189"/>
      <c r="Q233" s="432"/>
      <c r="R233" s="584" t="s">
        <v>2166</v>
      </c>
      <c r="S233" s="584" t="s">
        <v>2713</v>
      </c>
      <c r="U233" s="484" t="s">
        <v>1763</v>
      </c>
      <c r="V233" s="484" t="s">
        <v>3886</v>
      </c>
      <c r="X233" s="484"/>
      <c r="Y233" s="484"/>
    </row>
    <row r="234" spans="3:25" ht="10.5" customHeight="1">
      <c r="C234" s="418" t="s">
        <v>117</v>
      </c>
      <c r="D234" s="500">
        <v>54200</v>
      </c>
      <c r="F234" s="672"/>
      <c r="G234" s="432" t="s">
        <v>2717</v>
      </c>
      <c r="H234" s="432" t="s">
        <v>1399</v>
      </c>
      <c r="I234" s="668" t="s">
        <v>2143</v>
      </c>
      <c r="J234" s="668" t="s">
        <v>2740</v>
      </c>
      <c r="K234" s="676" t="s">
        <v>650</v>
      </c>
      <c r="L234" s="677" t="s">
        <v>438</v>
      </c>
      <c r="M234" s="678" t="s">
        <v>1251</v>
      </c>
      <c r="N234" s="669" t="s">
        <v>2437</v>
      </c>
      <c r="O234" s="328"/>
      <c r="P234" s="189"/>
      <c r="Q234" s="432"/>
      <c r="R234" s="584" t="s">
        <v>724</v>
      </c>
      <c r="S234" s="584" t="s">
        <v>1264</v>
      </c>
      <c r="U234" s="484" t="s">
        <v>907</v>
      </c>
      <c r="V234" s="484" t="s">
        <v>3886</v>
      </c>
      <c r="X234" s="484"/>
      <c r="Y234" s="484"/>
    </row>
    <row r="235" spans="3:25" ht="10.5" customHeight="1">
      <c r="C235" s="418" t="s">
        <v>2512</v>
      </c>
      <c r="D235" s="500">
        <v>41900</v>
      </c>
      <c r="F235" s="672"/>
      <c r="G235" s="432" t="s">
        <v>2718</v>
      </c>
      <c r="H235" s="432" t="s">
        <v>1399</v>
      </c>
      <c r="I235" s="668" t="s">
        <v>2143</v>
      </c>
      <c r="J235" s="668" t="s">
        <v>2740</v>
      </c>
      <c r="K235" s="676" t="s">
        <v>650</v>
      </c>
      <c r="L235" s="677" t="s">
        <v>438</v>
      </c>
      <c r="M235" s="678" t="s">
        <v>1251</v>
      </c>
      <c r="N235" s="669" t="s">
        <v>2438</v>
      </c>
      <c r="O235" s="328"/>
      <c r="P235" s="189"/>
      <c r="Q235" s="432"/>
      <c r="R235" s="584" t="s">
        <v>2692</v>
      </c>
      <c r="S235" s="584" t="s">
        <v>2105</v>
      </c>
      <c r="U235" s="484" t="s">
        <v>1827</v>
      </c>
      <c r="V235" s="484" t="s">
        <v>3886</v>
      </c>
      <c r="X235" s="484"/>
      <c r="Y235" s="484"/>
    </row>
    <row r="236" spans="3:25" ht="10.5" customHeight="1">
      <c r="C236" s="418" t="s">
        <v>2514</v>
      </c>
      <c r="D236" s="500">
        <v>39100</v>
      </c>
      <c r="F236" s="672"/>
      <c r="G236" s="432" t="s">
        <v>2719</v>
      </c>
      <c r="H236" s="432" t="s">
        <v>1375</v>
      </c>
      <c r="I236" s="670" t="s">
        <v>804</v>
      </c>
      <c r="J236" s="670" t="s">
        <v>2740</v>
      </c>
      <c r="K236" s="676" t="s">
        <v>2703</v>
      </c>
      <c r="L236" s="677" t="s">
        <v>438</v>
      </c>
      <c r="M236" s="678" t="s">
        <v>1251</v>
      </c>
      <c r="N236" s="669" t="s">
        <v>1305</v>
      </c>
      <c r="O236" s="328"/>
      <c r="P236" s="189"/>
      <c r="Q236" s="432"/>
      <c r="R236" s="584" t="s">
        <v>2168</v>
      </c>
      <c r="S236" s="584" t="s">
        <v>205</v>
      </c>
      <c r="U236" s="484" t="s">
        <v>661</v>
      </c>
      <c r="V236" s="484" t="s">
        <v>3886</v>
      </c>
      <c r="X236" s="484"/>
      <c r="Y236" s="484"/>
    </row>
    <row r="237" spans="3:25" ht="10.5" customHeight="1">
      <c r="C237" s="418" t="s">
        <v>2516</v>
      </c>
      <c r="D237" s="500">
        <v>51700</v>
      </c>
      <c r="F237" s="672"/>
      <c r="G237" s="432" t="s">
        <v>1141</v>
      </c>
      <c r="H237" s="432" t="s">
        <v>1399</v>
      </c>
      <c r="I237" s="670" t="s">
        <v>1142</v>
      </c>
      <c r="J237" s="670" t="s">
        <v>2739</v>
      </c>
      <c r="K237" s="676" t="s">
        <v>2049</v>
      </c>
      <c r="L237" s="677" t="s">
        <v>437</v>
      </c>
      <c r="M237" s="679" t="s">
        <v>2726</v>
      </c>
      <c r="N237" s="669" t="s">
        <v>1307</v>
      </c>
      <c r="O237" s="328"/>
      <c r="P237" s="189"/>
      <c r="Q237" s="432"/>
      <c r="R237" s="584" t="s">
        <v>3236</v>
      </c>
      <c r="S237" s="584" t="s">
        <v>697</v>
      </c>
      <c r="U237" s="484" t="s">
        <v>2396</v>
      </c>
      <c r="V237" s="484" t="s">
        <v>3886</v>
      </c>
      <c r="X237" s="484"/>
      <c r="Y237" s="484"/>
    </row>
    <row r="238" spans="3:25" ht="10.5" customHeight="1">
      <c r="F238" s="672"/>
      <c r="G238" s="432" t="s">
        <v>1143</v>
      </c>
      <c r="H238" s="432" t="s">
        <v>1375</v>
      </c>
      <c r="I238" s="670" t="s">
        <v>804</v>
      </c>
      <c r="J238" s="670" t="s">
        <v>2740</v>
      </c>
      <c r="K238" s="676" t="s">
        <v>2703</v>
      </c>
      <c r="L238" s="677" t="s">
        <v>438</v>
      </c>
      <c r="M238" s="678" t="s">
        <v>1251</v>
      </c>
      <c r="N238" s="669" t="s">
        <v>1309</v>
      </c>
      <c r="O238" s="328"/>
      <c r="P238" s="189"/>
      <c r="Q238" s="432"/>
      <c r="R238" s="584" t="s">
        <v>2170</v>
      </c>
      <c r="S238" s="584" t="s">
        <v>205</v>
      </c>
      <c r="U238" s="484" t="s">
        <v>1082</v>
      </c>
      <c r="V238" s="484" t="s">
        <v>3886</v>
      </c>
    </row>
    <row r="239" spans="3:25" ht="10.5" customHeight="1">
      <c r="F239" s="672"/>
      <c r="G239" s="432" t="s">
        <v>1144</v>
      </c>
      <c r="H239" s="432" t="s">
        <v>1269</v>
      </c>
      <c r="I239" s="668" t="s">
        <v>1145</v>
      </c>
      <c r="J239" s="668" t="s">
        <v>2739</v>
      </c>
      <c r="K239" s="676" t="s">
        <v>2050</v>
      </c>
      <c r="L239" s="677" t="s">
        <v>437</v>
      </c>
      <c r="M239" s="679" t="s">
        <v>2726</v>
      </c>
      <c r="N239" s="669" t="s">
        <v>1310</v>
      </c>
      <c r="O239" s="328"/>
      <c r="P239" s="189"/>
      <c r="Q239" s="432"/>
      <c r="R239" s="584" t="s">
        <v>711</v>
      </c>
      <c r="S239" s="584" t="s">
        <v>2105</v>
      </c>
      <c r="U239" s="484" t="s">
        <v>2040</v>
      </c>
      <c r="V239" s="484" t="s">
        <v>3886</v>
      </c>
    </row>
    <row r="240" spans="3:25" ht="10.5" customHeight="1">
      <c r="F240" s="672"/>
      <c r="G240" s="432" t="s">
        <v>1146</v>
      </c>
      <c r="H240" s="432" t="s">
        <v>1399</v>
      </c>
      <c r="I240" s="670" t="s">
        <v>804</v>
      </c>
      <c r="J240" s="670" t="s">
        <v>2740</v>
      </c>
      <c r="K240" s="676" t="s">
        <v>2703</v>
      </c>
      <c r="L240" s="677" t="s">
        <v>438</v>
      </c>
      <c r="M240" s="678" t="s">
        <v>1251</v>
      </c>
      <c r="N240" s="669" t="s">
        <v>1312</v>
      </c>
      <c r="O240" s="328"/>
      <c r="P240" s="189"/>
      <c r="Q240" s="432"/>
      <c r="R240" s="584" t="s">
        <v>2439</v>
      </c>
      <c r="S240" s="584" t="s">
        <v>124</v>
      </c>
      <c r="U240" s="484" t="s">
        <v>514</v>
      </c>
      <c r="V240" s="484" t="s">
        <v>3886</v>
      </c>
    </row>
    <row r="241" spans="6:22" ht="10.5" customHeight="1">
      <c r="F241" s="672"/>
      <c r="G241" s="432" t="s">
        <v>1147</v>
      </c>
      <c r="H241" s="432" t="s">
        <v>1375</v>
      </c>
      <c r="I241" s="668" t="s">
        <v>1148</v>
      </c>
      <c r="J241" s="668" t="s">
        <v>2739</v>
      </c>
      <c r="K241" s="676" t="s">
        <v>2051</v>
      </c>
      <c r="L241" s="677" t="s">
        <v>437</v>
      </c>
      <c r="M241" s="679" t="s">
        <v>2726</v>
      </c>
      <c r="N241" s="669" t="s">
        <v>2616</v>
      </c>
      <c r="O241" s="328"/>
      <c r="P241" s="189"/>
      <c r="Q241" s="432"/>
      <c r="R241" s="584" t="s">
        <v>1306</v>
      </c>
      <c r="S241" s="584" t="s">
        <v>658</v>
      </c>
      <c r="U241" s="484" t="s">
        <v>1725</v>
      </c>
      <c r="V241" s="484" t="s">
        <v>3886</v>
      </c>
    </row>
    <row r="242" spans="6:22" ht="10.5" customHeight="1">
      <c r="F242" s="672"/>
      <c r="G242" s="432" t="s">
        <v>1149</v>
      </c>
      <c r="H242" s="432" t="s">
        <v>1269</v>
      </c>
      <c r="I242" s="670" t="s">
        <v>1150</v>
      </c>
      <c r="J242" s="670" t="s">
        <v>2739</v>
      </c>
      <c r="K242" s="676" t="s">
        <v>2052</v>
      </c>
      <c r="L242" s="677" t="s">
        <v>437</v>
      </c>
      <c r="M242" s="679" t="s">
        <v>2726</v>
      </c>
      <c r="N242" s="669" t="s">
        <v>84</v>
      </c>
      <c r="O242" s="328"/>
      <c r="P242" s="189"/>
      <c r="Q242" s="432"/>
      <c r="R242" s="584" t="s">
        <v>1308</v>
      </c>
      <c r="S242" s="584" t="s">
        <v>2352</v>
      </c>
      <c r="U242" s="484" t="s">
        <v>986</v>
      </c>
      <c r="V242" s="484" t="s">
        <v>3886</v>
      </c>
    </row>
    <row r="243" spans="6:22" ht="10.5" customHeight="1">
      <c r="F243" s="672"/>
      <c r="G243" s="432" t="s">
        <v>1151</v>
      </c>
      <c r="H243" s="432" t="s">
        <v>1399</v>
      </c>
      <c r="I243" s="670" t="s">
        <v>1152</v>
      </c>
      <c r="J243" s="670" t="s">
        <v>2739</v>
      </c>
      <c r="K243" s="676" t="s">
        <v>2053</v>
      </c>
      <c r="L243" s="677" t="s">
        <v>437</v>
      </c>
      <c r="M243" s="679" t="s">
        <v>2726</v>
      </c>
      <c r="N243" s="669" t="s">
        <v>85</v>
      </c>
      <c r="O243" s="328"/>
      <c r="P243" s="189"/>
      <c r="Q243" s="432"/>
      <c r="R243" s="584" t="s">
        <v>2605</v>
      </c>
      <c r="S243" s="584" t="s">
        <v>1155</v>
      </c>
      <c r="U243" s="484" t="s">
        <v>2415</v>
      </c>
      <c r="V243" s="484" t="s">
        <v>3886</v>
      </c>
    </row>
    <row r="244" spans="6:22" ht="10.5" customHeight="1">
      <c r="F244" s="672"/>
      <c r="G244" s="432" t="s">
        <v>1153</v>
      </c>
      <c r="H244" s="432" t="s">
        <v>1269</v>
      </c>
      <c r="I244" s="668" t="s">
        <v>1154</v>
      </c>
      <c r="J244" s="668" t="s">
        <v>2739</v>
      </c>
      <c r="K244" s="676" t="s">
        <v>1871</v>
      </c>
      <c r="L244" s="677" t="s">
        <v>437</v>
      </c>
      <c r="M244" s="679" t="s">
        <v>2726</v>
      </c>
      <c r="N244" s="669" t="s">
        <v>86</v>
      </c>
      <c r="O244" s="328"/>
      <c r="P244" s="189"/>
      <c r="Q244" s="432"/>
      <c r="R244" s="584" t="s">
        <v>1311</v>
      </c>
      <c r="S244" s="584" t="s">
        <v>324</v>
      </c>
      <c r="U244" s="484" t="s">
        <v>336</v>
      </c>
      <c r="V244" s="484" t="s">
        <v>3886</v>
      </c>
    </row>
    <row r="245" spans="6:22" ht="10.5" customHeight="1">
      <c r="F245" s="672"/>
      <c r="G245" s="432" t="s">
        <v>1155</v>
      </c>
      <c r="H245" s="432" t="s">
        <v>1375</v>
      </c>
      <c r="I245" s="668" t="s">
        <v>1156</v>
      </c>
      <c r="J245" s="668" t="s">
        <v>2739</v>
      </c>
      <c r="K245" s="676" t="s">
        <v>1872</v>
      </c>
      <c r="L245" s="677" t="s">
        <v>437</v>
      </c>
      <c r="M245" s="679" t="s">
        <v>2726</v>
      </c>
      <c r="N245" s="669" t="s">
        <v>88</v>
      </c>
      <c r="O245" s="328"/>
      <c r="P245" s="189"/>
      <c r="Q245" s="432"/>
      <c r="R245" s="584" t="s">
        <v>2615</v>
      </c>
      <c r="S245" s="584" t="s">
        <v>116</v>
      </c>
      <c r="U245" s="484" t="s">
        <v>338</v>
      </c>
      <c r="V245" s="484" t="s">
        <v>3886</v>
      </c>
    </row>
    <row r="246" spans="6:22" ht="10.5" customHeight="1">
      <c r="F246" s="672"/>
      <c r="G246" s="432" t="s">
        <v>1157</v>
      </c>
      <c r="H246" s="432" t="s">
        <v>1269</v>
      </c>
      <c r="I246" s="668" t="s">
        <v>1158</v>
      </c>
      <c r="J246" s="668" t="s">
        <v>2739</v>
      </c>
      <c r="K246" s="676" t="s">
        <v>1873</v>
      </c>
      <c r="L246" s="677" t="s">
        <v>437</v>
      </c>
      <c r="M246" s="679" t="s">
        <v>2726</v>
      </c>
      <c r="N246" s="669" t="s">
        <v>1285</v>
      </c>
      <c r="O246" s="328"/>
      <c r="P246" s="189"/>
      <c r="Q246" s="432"/>
      <c r="R246" s="584" t="s">
        <v>83</v>
      </c>
      <c r="S246" s="584" t="s">
        <v>202</v>
      </c>
      <c r="U246" s="484" t="s">
        <v>341</v>
      </c>
      <c r="V246" s="484" t="s">
        <v>3886</v>
      </c>
    </row>
    <row r="247" spans="6:22" ht="10.5" customHeight="1">
      <c r="F247" s="672"/>
      <c r="G247" s="432" t="s">
        <v>1159</v>
      </c>
      <c r="H247" s="432" t="s">
        <v>1399</v>
      </c>
      <c r="I247" s="670" t="s">
        <v>805</v>
      </c>
      <c r="J247" s="670" t="s">
        <v>2740</v>
      </c>
      <c r="K247" s="676" t="s">
        <v>2725</v>
      </c>
      <c r="L247" s="677" t="s">
        <v>438</v>
      </c>
      <c r="M247" s="679" t="s">
        <v>1251</v>
      </c>
      <c r="N247" s="669" t="s">
        <v>1287</v>
      </c>
      <c r="O247" s="328"/>
      <c r="P247" s="189"/>
      <c r="Q247" s="432"/>
      <c r="R247" s="584" t="s">
        <v>87</v>
      </c>
      <c r="S247" s="584" t="s">
        <v>2285</v>
      </c>
      <c r="U247" s="484" t="s">
        <v>1843</v>
      </c>
      <c r="V247" s="484" t="s">
        <v>3886</v>
      </c>
    </row>
    <row r="248" spans="6:22" ht="10.5" customHeight="1">
      <c r="F248" s="672"/>
      <c r="G248" s="432" t="s">
        <v>1160</v>
      </c>
      <c r="H248" s="432" t="s">
        <v>1399</v>
      </c>
      <c r="I248" s="670" t="s">
        <v>804</v>
      </c>
      <c r="J248" s="670" t="s">
        <v>2740</v>
      </c>
      <c r="K248" s="676" t="s">
        <v>2703</v>
      </c>
      <c r="L248" s="677" t="s">
        <v>438</v>
      </c>
      <c r="M248" s="678" t="s">
        <v>1251</v>
      </c>
      <c r="N248" s="669" t="s">
        <v>1289</v>
      </c>
      <c r="O248" s="328"/>
      <c r="P248" s="189"/>
      <c r="Q248" s="432"/>
      <c r="R248" s="584" t="s">
        <v>89</v>
      </c>
      <c r="S248" s="584" t="s">
        <v>1385</v>
      </c>
      <c r="U248" s="484" t="s">
        <v>727</v>
      </c>
      <c r="V248" s="484" t="s">
        <v>3886</v>
      </c>
    </row>
    <row r="249" spans="6:22" ht="10.5" customHeight="1">
      <c r="F249" s="672"/>
      <c r="G249" s="432" t="s">
        <v>1161</v>
      </c>
      <c r="H249" s="432" t="s">
        <v>1399</v>
      </c>
      <c r="I249" s="668" t="s">
        <v>2269</v>
      </c>
      <c r="J249" s="668" t="s">
        <v>2739</v>
      </c>
      <c r="K249" s="676" t="s">
        <v>1874</v>
      </c>
      <c r="L249" s="677" t="s">
        <v>437</v>
      </c>
      <c r="M249" s="679" t="s">
        <v>2726</v>
      </c>
      <c r="N249" s="669" t="s">
        <v>1291</v>
      </c>
      <c r="O249" s="328"/>
      <c r="P249" s="189"/>
      <c r="Q249" s="432"/>
      <c r="R249" s="584" t="s">
        <v>1286</v>
      </c>
      <c r="S249" s="584" t="s">
        <v>2046</v>
      </c>
      <c r="U249" s="484" t="s">
        <v>2463</v>
      </c>
      <c r="V249" s="484" t="s">
        <v>3886</v>
      </c>
    </row>
    <row r="250" spans="6:22" ht="10.5" customHeight="1">
      <c r="F250" s="672"/>
      <c r="G250" s="432" t="s">
        <v>2270</v>
      </c>
      <c r="H250" s="432" t="s">
        <v>1269</v>
      </c>
      <c r="I250" s="668" t="s">
        <v>2271</v>
      </c>
      <c r="J250" s="668" t="s">
        <v>2739</v>
      </c>
      <c r="K250" s="676" t="s">
        <v>1875</v>
      </c>
      <c r="L250" s="677" t="s">
        <v>437</v>
      </c>
      <c r="M250" s="679" t="s">
        <v>2726</v>
      </c>
      <c r="N250" s="669" t="s">
        <v>1293</v>
      </c>
      <c r="O250" s="328"/>
      <c r="P250" s="189"/>
      <c r="Q250" s="432"/>
      <c r="R250" s="584" t="s">
        <v>1288</v>
      </c>
      <c r="S250" s="584" t="s">
        <v>184</v>
      </c>
      <c r="U250" s="484" t="s">
        <v>496</v>
      </c>
      <c r="V250" s="484" t="s">
        <v>3886</v>
      </c>
    </row>
    <row r="251" spans="6:22" ht="10.5" customHeight="1">
      <c r="F251" s="672"/>
      <c r="G251" s="432" t="s">
        <v>1685</v>
      </c>
      <c r="H251" s="432" t="s">
        <v>1685</v>
      </c>
      <c r="I251" s="432" t="s">
        <v>1685</v>
      </c>
      <c r="J251" s="668"/>
      <c r="K251" s="676"/>
      <c r="L251" s="677"/>
      <c r="M251" s="679" t="s">
        <v>3068</v>
      </c>
      <c r="N251" s="669" t="s">
        <v>1295</v>
      </c>
      <c r="O251" s="328"/>
      <c r="P251" s="189"/>
      <c r="Q251" s="432"/>
      <c r="R251" s="584" t="s">
        <v>1290</v>
      </c>
      <c r="S251" s="584" t="s">
        <v>1157</v>
      </c>
      <c r="U251" s="484" t="s">
        <v>3879</v>
      </c>
      <c r="V251" s="484" t="s">
        <v>3886</v>
      </c>
    </row>
    <row r="252" spans="6:22" ht="10.5" customHeight="1">
      <c r="F252" s="672"/>
      <c r="G252" s="432" t="s">
        <v>2272</v>
      </c>
      <c r="H252" s="432" t="s">
        <v>1269</v>
      </c>
      <c r="I252" s="670" t="s">
        <v>2273</v>
      </c>
      <c r="J252" s="668" t="s">
        <v>2739</v>
      </c>
      <c r="K252" s="676" t="s">
        <v>475</v>
      </c>
      <c r="L252" s="677" t="s">
        <v>437</v>
      </c>
      <c r="M252" s="679" t="s">
        <v>2726</v>
      </c>
      <c r="N252" s="669" t="s">
        <v>934</v>
      </c>
      <c r="O252" s="328"/>
      <c r="P252" s="189"/>
      <c r="Q252" s="432"/>
      <c r="R252" s="671" t="s">
        <v>1292</v>
      </c>
      <c r="S252" s="671" t="s">
        <v>1264</v>
      </c>
      <c r="U252" s="484" t="s">
        <v>3880</v>
      </c>
      <c r="V252" s="484" t="s">
        <v>3886</v>
      </c>
    </row>
    <row r="253" spans="6:22" ht="10.5" customHeight="1">
      <c r="F253" s="672"/>
      <c r="G253" s="432" t="s">
        <v>2274</v>
      </c>
      <c r="H253" s="432" t="s">
        <v>1399</v>
      </c>
      <c r="I253" s="670" t="s">
        <v>804</v>
      </c>
      <c r="J253" s="670" t="s">
        <v>2740</v>
      </c>
      <c r="K253" s="676" t="s">
        <v>2703</v>
      </c>
      <c r="L253" s="677" t="s">
        <v>438</v>
      </c>
      <c r="M253" s="678" t="s">
        <v>1251</v>
      </c>
      <c r="N253" s="669" t="s">
        <v>935</v>
      </c>
      <c r="O253" s="328"/>
      <c r="P253" s="189"/>
      <c r="Q253" s="432"/>
      <c r="R253" s="584" t="s">
        <v>1294</v>
      </c>
      <c r="S253" s="584" t="s">
        <v>2285</v>
      </c>
      <c r="U253" s="484" t="s">
        <v>80</v>
      </c>
      <c r="V253" s="484" t="s">
        <v>3886</v>
      </c>
    </row>
    <row r="254" spans="6:22" ht="10.5" customHeight="1">
      <c r="F254" s="672"/>
      <c r="G254" s="432" t="s">
        <v>2275</v>
      </c>
      <c r="H254" s="432" t="s">
        <v>1375</v>
      </c>
      <c r="I254" s="670" t="s">
        <v>2276</v>
      </c>
      <c r="J254" s="670" t="s">
        <v>2739</v>
      </c>
      <c r="K254" s="676" t="s">
        <v>230</v>
      </c>
      <c r="L254" s="677" t="s">
        <v>437</v>
      </c>
      <c r="M254" s="679" t="s">
        <v>2726</v>
      </c>
      <c r="N254" s="669" t="s">
        <v>937</v>
      </c>
      <c r="O254" s="328"/>
      <c r="P254" s="189"/>
      <c r="Q254" s="432"/>
      <c r="R254" s="584" t="s">
        <v>2611</v>
      </c>
      <c r="S254" s="584" t="s">
        <v>1709</v>
      </c>
      <c r="U254" s="484" t="s">
        <v>2532</v>
      </c>
      <c r="V254" s="484" t="s">
        <v>3886</v>
      </c>
    </row>
    <row r="255" spans="6:22" ht="10.5" customHeight="1">
      <c r="F255" s="672"/>
      <c r="G255" s="432" t="s">
        <v>2277</v>
      </c>
      <c r="H255" s="432" t="s">
        <v>1269</v>
      </c>
      <c r="I255" s="668" t="s">
        <v>2278</v>
      </c>
      <c r="J255" s="670" t="s">
        <v>2739</v>
      </c>
      <c r="K255" s="676" t="s">
        <v>1491</v>
      </c>
      <c r="L255" s="677" t="s">
        <v>437</v>
      </c>
      <c r="M255" s="679" t="s">
        <v>2726</v>
      </c>
      <c r="N255" s="669" t="s">
        <v>939</v>
      </c>
      <c r="O255" s="328"/>
      <c r="P255" s="189"/>
      <c r="Q255" s="432"/>
      <c r="R255" s="584" t="s">
        <v>166</v>
      </c>
      <c r="S255" s="584" t="s">
        <v>2715</v>
      </c>
      <c r="U255" s="484" t="s">
        <v>643</v>
      </c>
      <c r="V255" s="484" t="s">
        <v>3886</v>
      </c>
    </row>
    <row r="256" spans="6:22" ht="10.5" customHeight="1">
      <c r="F256" s="672"/>
      <c r="G256" s="432" t="s">
        <v>2279</v>
      </c>
      <c r="H256" s="432" t="s">
        <v>1269</v>
      </c>
      <c r="I256" s="668" t="s">
        <v>2280</v>
      </c>
      <c r="J256" s="668" t="s">
        <v>2739</v>
      </c>
      <c r="K256" s="676" t="s">
        <v>1492</v>
      </c>
      <c r="L256" s="677" t="s">
        <v>437</v>
      </c>
      <c r="M256" s="679" t="s">
        <v>2726</v>
      </c>
      <c r="N256" s="669" t="s">
        <v>2238</v>
      </c>
      <c r="O256" s="328"/>
      <c r="P256" s="189"/>
      <c r="Q256" s="432"/>
      <c r="R256" s="584" t="s">
        <v>936</v>
      </c>
      <c r="S256" s="584" t="s">
        <v>184</v>
      </c>
      <c r="U256" s="484" t="s">
        <v>1012</v>
      </c>
      <c r="V256" s="484" t="s">
        <v>3886</v>
      </c>
    </row>
    <row r="257" spans="6:22" ht="10.5" customHeight="1">
      <c r="F257" s="672"/>
      <c r="G257" s="432" t="s">
        <v>2281</v>
      </c>
      <c r="H257" s="432" t="s">
        <v>1399</v>
      </c>
      <c r="I257" s="668" t="s">
        <v>2282</v>
      </c>
      <c r="J257" s="668" t="s">
        <v>2739</v>
      </c>
      <c r="K257" s="676" t="s">
        <v>1493</v>
      </c>
      <c r="L257" s="677" t="s">
        <v>437</v>
      </c>
      <c r="M257" s="679" t="s">
        <v>2726</v>
      </c>
      <c r="N257" s="669" t="s">
        <v>2239</v>
      </c>
      <c r="O257" s="328"/>
      <c r="P257" s="189"/>
      <c r="Q257" s="432"/>
      <c r="R257" s="584" t="s">
        <v>938</v>
      </c>
      <c r="S257" s="584" t="s">
        <v>336</v>
      </c>
      <c r="U257" s="484" t="s">
        <v>1567</v>
      </c>
      <c r="V257" s="484" t="s">
        <v>3886</v>
      </c>
    </row>
    <row r="258" spans="6:22" ht="10.5" customHeight="1">
      <c r="F258" s="672"/>
      <c r="G258" s="432" t="s">
        <v>2283</v>
      </c>
      <c r="H258" s="432" t="s">
        <v>1399</v>
      </c>
      <c r="I258" s="668" t="s">
        <v>2284</v>
      </c>
      <c r="J258" s="668" t="s">
        <v>2739</v>
      </c>
      <c r="K258" s="676" t="s">
        <v>2110</v>
      </c>
      <c r="L258" s="677" t="s">
        <v>437</v>
      </c>
      <c r="M258" s="679" t="s">
        <v>2726</v>
      </c>
      <c r="N258" s="669" t="s">
        <v>2155</v>
      </c>
      <c r="O258" s="328"/>
      <c r="P258" s="189"/>
      <c r="Q258" s="432"/>
      <c r="R258" s="671" t="s">
        <v>940</v>
      </c>
      <c r="S258" s="671" t="s">
        <v>1146</v>
      </c>
      <c r="U258" s="484" t="s">
        <v>2446</v>
      </c>
      <c r="V258" s="484" t="s">
        <v>3886</v>
      </c>
    </row>
    <row r="259" spans="6:22" ht="10.5" customHeight="1">
      <c r="F259" s="672"/>
      <c r="G259" s="432" t="s">
        <v>2285</v>
      </c>
      <c r="H259" s="432" t="s">
        <v>1269</v>
      </c>
      <c r="I259" s="668" t="s">
        <v>2286</v>
      </c>
      <c r="J259" s="668" t="s">
        <v>2739</v>
      </c>
      <c r="K259" s="676" t="s">
        <v>2111</v>
      </c>
      <c r="L259" s="677" t="s">
        <v>437</v>
      </c>
      <c r="M259" s="679" t="s">
        <v>2726</v>
      </c>
      <c r="N259" s="669" t="s">
        <v>2157</v>
      </c>
      <c r="O259" s="328"/>
      <c r="P259" s="189"/>
      <c r="Q259" s="432"/>
      <c r="R259" s="584" t="s">
        <v>2693</v>
      </c>
      <c r="S259" s="584" t="s">
        <v>2605</v>
      </c>
      <c r="U259" s="484" t="s">
        <v>862</v>
      </c>
      <c r="V259" s="484" t="s">
        <v>3886</v>
      </c>
    </row>
    <row r="260" spans="6:22" ht="10.5" customHeight="1">
      <c r="F260" s="672"/>
      <c r="G260" s="432" t="s">
        <v>2287</v>
      </c>
      <c r="H260" s="432" t="s">
        <v>1399</v>
      </c>
      <c r="I260" s="668" t="s">
        <v>912</v>
      </c>
      <c r="J260" s="668" t="s">
        <v>2739</v>
      </c>
      <c r="K260" s="676" t="s">
        <v>2112</v>
      </c>
      <c r="L260" s="677" t="s">
        <v>437</v>
      </c>
      <c r="M260" s="679" t="s">
        <v>2726</v>
      </c>
      <c r="N260" s="669" t="s">
        <v>627</v>
      </c>
      <c r="O260" s="328"/>
      <c r="P260" s="189"/>
      <c r="Q260" s="432"/>
      <c r="R260" s="584" t="s">
        <v>2240</v>
      </c>
      <c r="S260" s="584" t="s">
        <v>1160</v>
      </c>
      <c r="U260" s="484" t="s">
        <v>865</v>
      </c>
      <c r="V260" s="484" t="s">
        <v>3886</v>
      </c>
    </row>
    <row r="261" spans="6:22" ht="10.5" customHeight="1">
      <c r="F261" s="672"/>
      <c r="G261" s="432" t="s">
        <v>913</v>
      </c>
      <c r="H261" s="432" t="s">
        <v>1269</v>
      </c>
      <c r="I261" s="668" t="s">
        <v>914</v>
      </c>
      <c r="J261" s="668" t="s">
        <v>2739</v>
      </c>
      <c r="K261" s="676" t="s">
        <v>2113</v>
      </c>
      <c r="L261" s="677" t="s">
        <v>437</v>
      </c>
      <c r="M261" s="679" t="s">
        <v>2726</v>
      </c>
      <c r="N261" s="669" t="s">
        <v>628</v>
      </c>
      <c r="O261" s="328"/>
      <c r="P261" s="189"/>
      <c r="Q261" s="432"/>
      <c r="R261" s="584" t="s">
        <v>2156</v>
      </c>
      <c r="S261" s="584" t="s">
        <v>1745</v>
      </c>
      <c r="U261" s="484" t="s">
        <v>1584</v>
      </c>
      <c r="V261" s="484" t="s">
        <v>3886</v>
      </c>
    </row>
    <row r="262" spans="6:22" ht="10.5" customHeight="1">
      <c r="F262" s="672"/>
      <c r="G262" s="432" t="s">
        <v>1744</v>
      </c>
      <c r="H262" s="432" t="s">
        <v>1269</v>
      </c>
      <c r="I262" s="670" t="s">
        <v>1869</v>
      </c>
      <c r="J262" s="668" t="s">
        <v>2740</v>
      </c>
      <c r="K262" s="676" t="s">
        <v>1215</v>
      </c>
      <c r="L262" s="677" t="s">
        <v>438</v>
      </c>
      <c r="M262" s="678" t="s">
        <v>1251</v>
      </c>
      <c r="N262" s="669" t="s">
        <v>630</v>
      </c>
      <c r="O262" s="328"/>
      <c r="P262" s="189"/>
      <c r="Q262" s="432"/>
      <c r="R262" s="584" t="s">
        <v>2158</v>
      </c>
      <c r="S262" s="584" t="s">
        <v>2659</v>
      </c>
      <c r="U262" s="484" t="s">
        <v>504</v>
      </c>
      <c r="V262" s="484" t="s">
        <v>3886</v>
      </c>
    </row>
    <row r="263" spans="6:22" ht="10.5" customHeight="1">
      <c r="F263" s="672"/>
      <c r="G263" s="432" t="s">
        <v>1745</v>
      </c>
      <c r="H263" s="432" t="s">
        <v>1269</v>
      </c>
      <c r="I263" s="670" t="s">
        <v>1746</v>
      </c>
      <c r="J263" s="670" t="s">
        <v>2739</v>
      </c>
      <c r="K263" s="676" t="s">
        <v>2114</v>
      </c>
      <c r="L263" s="677" t="s">
        <v>437</v>
      </c>
      <c r="M263" s="679" t="s">
        <v>2726</v>
      </c>
      <c r="N263" s="669" t="s">
        <v>632</v>
      </c>
      <c r="O263" s="328"/>
      <c r="P263" s="189"/>
      <c r="Q263" s="432"/>
      <c r="R263" s="584" t="s">
        <v>867</v>
      </c>
      <c r="S263" s="584" t="s">
        <v>331</v>
      </c>
      <c r="U263" s="484" t="s">
        <v>1461</v>
      </c>
      <c r="V263" s="484" t="s">
        <v>3886</v>
      </c>
    </row>
    <row r="264" spans="6:22" ht="10.5" customHeight="1">
      <c r="F264" s="672"/>
      <c r="G264" s="432" t="s">
        <v>1747</v>
      </c>
      <c r="H264" s="432" t="s">
        <v>1269</v>
      </c>
      <c r="I264" s="670" t="s">
        <v>2004</v>
      </c>
      <c r="J264" s="670" t="s">
        <v>2739</v>
      </c>
      <c r="K264" s="676" t="s">
        <v>1220</v>
      </c>
      <c r="L264" s="677" t="s">
        <v>437</v>
      </c>
      <c r="M264" s="679" t="s">
        <v>2726</v>
      </c>
      <c r="N264" s="669" t="s">
        <v>633</v>
      </c>
      <c r="O264" s="328"/>
      <c r="P264" s="189"/>
      <c r="Q264" s="432"/>
      <c r="R264" s="584" t="s">
        <v>629</v>
      </c>
      <c r="S264" s="584" t="s">
        <v>124</v>
      </c>
      <c r="U264" s="484" t="s">
        <v>1463</v>
      </c>
      <c r="V264" s="484" t="s">
        <v>3886</v>
      </c>
    </row>
    <row r="265" spans="6:22" ht="10.5" customHeight="1">
      <c r="F265" s="672"/>
      <c r="G265" s="432" t="s">
        <v>2005</v>
      </c>
      <c r="H265" s="432" t="s">
        <v>1269</v>
      </c>
      <c r="I265" s="670" t="s">
        <v>2006</v>
      </c>
      <c r="J265" s="670" t="s">
        <v>2739</v>
      </c>
      <c r="K265" s="676" t="s">
        <v>1221</v>
      </c>
      <c r="L265" s="677" t="s">
        <v>437</v>
      </c>
      <c r="M265" s="679" t="s">
        <v>2726</v>
      </c>
      <c r="N265" s="669" t="s">
        <v>634</v>
      </c>
      <c r="O265" s="328"/>
      <c r="P265" s="189"/>
      <c r="Q265" s="432"/>
      <c r="R265" s="584" t="s">
        <v>2694</v>
      </c>
      <c r="S265" s="584" t="s">
        <v>1391</v>
      </c>
      <c r="U265" s="484" t="s">
        <v>2614</v>
      </c>
      <c r="V265" s="484" t="s">
        <v>3886</v>
      </c>
    </row>
    <row r="266" spans="6:22" ht="10.5" customHeight="1">
      <c r="F266" s="672"/>
      <c r="G266" s="432" t="s">
        <v>2007</v>
      </c>
      <c r="H266" s="432" t="s">
        <v>1375</v>
      </c>
      <c r="I266" s="670" t="s">
        <v>2008</v>
      </c>
      <c r="J266" s="670" t="s">
        <v>2739</v>
      </c>
      <c r="K266" s="676" t="s">
        <v>1222</v>
      </c>
      <c r="L266" s="677" t="s">
        <v>437</v>
      </c>
      <c r="M266" s="679" t="s">
        <v>2726</v>
      </c>
      <c r="N266" s="669" t="s">
        <v>636</v>
      </c>
      <c r="O266" s="328"/>
      <c r="P266" s="189"/>
      <c r="Q266" s="432"/>
      <c r="R266" s="584" t="s">
        <v>631</v>
      </c>
      <c r="S266" s="584" t="s">
        <v>2716</v>
      </c>
      <c r="U266" s="484" t="s">
        <v>1107</v>
      </c>
      <c r="V266" s="484" t="s">
        <v>3886</v>
      </c>
    </row>
    <row r="267" spans="6:22" ht="10.5" customHeight="1">
      <c r="F267" s="672"/>
      <c r="G267" s="432" t="s">
        <v>2009</v>
      </c>
      <c r="H267" s="432" t="s">
        <v>1269</v>
      </c>
      <c r="I267" s="670" t="s">
        <v>2010</v>
      </c>
      <c r="J267" s="670" t="s">
        <v>2739</v>
      </c>
      <c r="K267" s="676" t="s">
        <v>1223</v>
      </c>
      <c r="L267" s="677" t="s">
        <v>437</v>
      </c>
      <c r="M267" s="679" t="s">
        <v>2726</v>
      </c>
      <c r="N267" s="669" t="s">
        <v>638</v>
      </c>
      <c r="O267" s="328"/>
      <c r="P267" s="189"/>
      <c r="Q267" s="432"/>
      <c r="R267" s="584" t="s">
        <v>2658</v>
      </c>
      <c r="S267" s="584" t="s">
        <v>2718</v>
      </c>
      <c r="U267" s="484" t="s">
        <v>1384</v>
      </c>
      <c r="V267" s="484" t="s">
        <v>3886</v>
      </c>
    </row>
    <row r="268" spans="6:22" ht="10.5" customHeight="1">
      <c r="F268" s="672"/>
      <c r="G268" s="432" t="s">
        <v>2011</v>
      </c>
      <c r="H268" s="432" t="s">
        <v>1399</v>
      </c>
      <c r="I268" s="668" t="s">
        <v>2012</v>
      </c>
      <c r="J268" s="670" t="s">
        <v>2739</v>
      </c>
      <c r="K268" s="676" t="s">
        <v>1224</v>
      </c>
      <c r="L268" s="677" t="s">
        <v>437</v>
      </c>
      <c r="M268" s="679" t="s">
        <v>2726</v>
      </c>
      <c r="N268" s="669" t="s">
        <v>570</v>
      </c>
      <c r="O268" s="328"/>
      <c r="P268" s="189"/>
      <c r="Q268" s="432"/>
      <c r="R268" s="584" t="s">
        <v>635</v>
      </c>
      <c r="S268" s="584" t="s">
        <v>2283</v>
      </c>
      <c r="U268" s="484" t="s">
        <v>184</v>
      </c>
      <c r="V268" s="484" t="s">
        <v>3886</v>
      </c>
    </row>
    <row r="269" spans="6:22" ht="10.5" customHeight="1">
      <c r="F269" s="672"/>
      <c r="G269" s="432" t="s">
        <v>2013</v>
      </c>
      <c r="H269" s="432" t="s">
        <v>1269</v>
      </c>
      <c r="I269" s="670" t="s">
        <v>2014</v>
      </c>
      <c r="J269" s="668" t="s">
        <v>2739</v>
      </c>
      <c r="K269" s="676" t="s">
        <v>1225</v>
      </c>
      <c r="L269" s="677" t="s">
        <v>437</v>
      </c>
      <c r="M269" s="679" t="s">
        <v>2726</v>
      </c>
      <c r="N269" s="669" t="s">
        <v>1210</v>
      </c>
      <c r="O269" s="328"/>
      <c r="P269" s="189"/>
      <c r="Q269" s="432"/>
      <c r="R269" s="584" t="s">
        <v>3237</v>
      </c>
      <c r="S269" s="584" t="s">
        <v>1151</v>
      </c>
      <c r="U269" s="484" t="s">
        <v>1651</v>
      </c>
      <c r="V269" s="484" t="s">
        <v>3886</v>
      </c>
    </row>
    <row r="270" spans="6:22" ht="10.5" customHeight="1">
      <c r="F270" s="672"/>
      <c r="G270" s="432" t="s">
        <v>2015</v>
      </c>
      <c r="H270" s="432" t="s">
        <v>1399</v>
      </c>
      <c r="I270" s="670" t="s">
        <v>1384</v>
      </c>
      <c r="J270" s="670" t="s">
        <v>2740</v>
      </c>
      <c r="K270" s="676" t="s">
        <v>2706</v>
      </c>
      <c r="L270" s="677" t="s">
        <v>438</v>
      </c>
      <c r="M270" s="678" t="s">
        <v>1251</v>
      </c>
      <c r="N270" s="669" t="s">
        <v>786</v>
      </c>
      <c r="O270" s="328"/>
      <c r="P270" s="189"/>
      <c r="Q270" s="432"/>
      <c r="R270" s="584" t="s">
        <v>637</v>
      </c>
      <c r="S270" s="584" t="s">
        <v>1713</v>
      </c>
      <c r="U270" s="484" t="s">
        <v>391</v>
      </c>
      <c r="V270" s="484" t="s">
        <v>3886</v>
      </c>
    </row>
    <row r="271" spans="6:22" ht="10.5" customHeight="1">
      <c r="F271" s="672"/>
      <c r="G271" s="432" t="s">
        <v>2016</v>
      </c>
      <c r="H271" s="432" t="s">
        <v>1375</v>
      </c>
      <c r="I271" s="670" t="s">
        <v>2017</v>
      </c>
      <c r="J271" s="670" t="s">
        <v>2739</v>
      </c>
      <c r="K271" s="676" t="s">
        <v>1226</v>
      </c>
      <c r="L271" s="677" t="s">
        <v>437</v>
      </c>
      <c r="M271" s="679" t="s">
        <v>2726</v>
      </c>
      <c r="N271" s="669" t="s">
        <v>38</v>
      </c>
      <c r="O271" s="328"/>
      <c r="P271" s="189"/>
      <c r="Q271" s="432"/>
      <c r="R271" s="584" t="s">
        <v>569</v>
      </c>
      <c r="S271" s="584" t="s">
        <v>694</v>
      </c>
      <c r="U271" s="484" t="s">
        <v>393</v>
      </c>
      <c r="V271" s="484" t="s">
        <v>3886</v>
      </c>
    </row>
    <row r="272" spans="6:22" ht="10.5" customHeight="1">
      <c r="F272" s="672"/>
      <c r="G272" s="432" t="s">
        <v>2103</v>
      </c>
      <c r="H272" s="432" t="s">
        <v>1399</v>
      </c>
      <c r="I272" s="668" t="s">
        <v>2104</v>
      </c>
      <c r="J272" s="670" t="s">
        <v>2739</v>
      </c>
      <c r="K272" s="676" t="s">
        <v>1227</v>
      </c>
      <c r="L272" s="677" t="s">
        <v>437</v>
      </c>
      <c r="M272" s="679" t="s">
        <v>2726</v>
      </c>
      <c r="N272" s="669" t="s">
        <v>2061</v>
      </c>
      <c r="O272" s="328"/>
      <c r="P272" s="189"/>
      <c r="Q272" s="432"/>
      <c r="R272" s="584" t="s">
        <v>571</v>
      </c>
      <c r="S272" s="584" t="s">
        <v>165</v>
      </c>
      <c r="U272" s="484" t="s">
        <v>1684</v>
      </c>
      <c r="V272" s="484" t="s">
        <v>3886</v>
      </c>
    </row>
    <row r="273" spans="6:22" ht="10.5" customHeight="1">
      <c r="F273" s="672"/>
      <c r="G273" s="432" t="s">
        <v>2105</v>
      </c>
      <c r="H273" s="432" t="s">
        <v>1375</v>
      </c>
      <c r="I273" s="670" t="s">
        <v>1596</v>
      </c>
      <c r="J273" s="668" t="s">
        <v>2740</v>
      </c>
      <c r="K273" s="676" t="s">
        <v>1764</v>
      </c>
      <c r="L273" s="677" t="s">
        <v>438</v>
      </c>
      <c r="M273" s="678" t="s">
        <v>1251</v>
      </c>
      <c r="N273" s="669" t="s">
        <v>2063</v>
      </c>
      <c r="O273" s="328"/>
      <c r="P273" s="189"/>
      <c r="Q273" s="432"/>
      <c r="R273" s="584" t="s">
        <v>785</v>
      </c>
      <c r="S273" s="584" t="s">
        <v>1157</v>
      </c>
      <c r="U273" s="484" t="s">
        <v>1138</v>
      </c>
      <c r="V273" s="484" t="s">
        <v>3886</v>
      </c>
    </row>
    <row r="274" spans="6:22" ht="10.5" customHeight="1">
      <c r="F274" s="672"/>
      <c r="G274" s="432" t="s">
        <v>2106</v>
      </c>
      <c r="H274" s="432" t="s">
        <v>1399</v>
      </c>
      <c r="I274" s="670" t="s">
        <v>804</v>
      </c>
      <c r="J274" s="670" t="s">
        <v>2740</v>
      </c>
      <c r="K274" s="676" t="s">
        <v>2703</v>
      </c>
      <c r="L274" s="677" t="s">
        <v>438</v>
      </c>
      <c r="M274" s="678" t="s">
        <v>1251</v>
      </c>
      <c r="N274" s="669" t="s">
        <v>347</v>
      </c>
      <c r="O274" s="328"/>
      <c r="P274" s="189"/>
      <c r="Q274" s="432"/>
      <c r="R274" s="584" t="s">
        <v>787</v>
      </c>
      <c r="S274" s="584" t="s">
        <v>123</v>
      </c>
      <c r="U274" s="484" t="s">
        <v>3881</v>
      </c>
      <c r="V274" s="484" t="s">
        <v>3886</v>
      </c>
    </row>
    <row r="275" spans="6:22" ht="10.5" customHeight="1">
      <c r="F275" s="672"/>
      <c r="G275" s="432" t="s">
        <v>2107</v>
      </c>
      <c r="H275" s="432" t="s">
        <v>1269</v>
      </c>
      <c r="I275" s="670" t="s">
        <v>105</v>
      </c>
      <c r="J275" s="670" t="s">
        <v>2739</v>
      </c>
      <c r="K275" s="676" t="s">
        <v>1228</v>
      </c>
      <c r="L275" s="677" t="s">
        <v>437</v>
      </c>
      <c r="M275" s="679" t="s">
        <v>2726</v>
      </c>
      <c r="N275" s="669" t="s">
        <v>349</v>
      </c>
      <c r="O275" s="328"/>
      <c r="P275" s="189"/>
      <c r="Q275" s="432"/>
      <c r="R275" s="584" t="s">
        <v>39</v>
      </c>
      <c r="S275" s="584" t="s">
        <v>181</v>
      </c>
      <c r="U275" s="484" t="s">
        <v>3882</v>
      </c>
      <c r="V275" s="484" t="s">
        <v>3886</v>
      </c>
    </row>
    <row r="276" spans="6:22" ht="10.5" customHeight="1">
      <c r="F276" s="672"/>
      <c r="G276" s="432" t="s">
        <v>106</v>
      </c>
      <c r="H276" s="432" t="s">
        <v>1399</v>
      </c>
      <c r="I276" s="670" t="s">
        <v>107</v>
      </c>
      <c r="J276" s="670" t="s">
        <v>2739</v>
      </c>
      <c r="K276" s="676" t="s">
        <v>1229</v>
      </c>
      <c r="L276" s="677" t="s">
        <v>437</v>
      </c>
      <c r="M276" s="679" t="s">
        <v>2726</v>
      </c>
      <c r="N276" s="669" t="s">
        <v>351</v>
      </c>
      <c r="O276" s="328"/>
      <c r="P276" s="189"/>
      <c r="Q276" s="432"/>
      <c r="R276" s="584" t="s">
        <v>2062</v>
      </c>
      <c r="S276" s="584" t="s">
        <v>2352</v>
      </c>
      <c r="U276" s="484" t="s">
        <v>544</v>
      </c>
      <c r="V276" s="484" t="s">
        <v>3886</v>
      </c>
    </row>
    <row r="277" spans="6:22" ht="10.5" customHeight="1">
      <c r="F277" s="672"/>
      <c r="G277" s="432" t="s">
        <v>108</v>
      </c>
      <c r="H277" s="432" t="s">
        <v>1269</v>
      </c>
      <c r="I277" s="670" t="s">
        <v>109</v>
      </c>
      <c r="J277" s="670" t="s">
        <v>2739</v>
      </c>
      <c r="K277" s="676" t="s">
        <v>1230</v>
      </c>
      <c r="L277" s="677" t="s">
        <v>437</v>
      </c>
      <c r="M277" s="679" t="s">
        <v>2726</v>
      </c>
      <c r="N277" s="669" t="s">
        <v>353</v>
      </c>
      <c r="O277" s="328"/>
      <c r="P277" s="189"/>
      <c r="Q277" s="432"/>
      <c r="R277" s="584" t="s">
        <v>2064</v>
      </c>
      <c r="S277" s="584" t="s">
        <v>2719</v>
      </c>
      <c r="U277" s="484" t="s">
        <v>546</v>
      </c>
      <c r="V277" s="484" t="s">
        <v>3886</v>
      </c>
    </row>
    <row r="278" spans="6:22" ht="10.5" customHeight="1">
      <c r="F278" s="672"/>
      <c r="G278" s="432" t="s">
        <v>110</v>
      </c>
      <c r="H278" s="432" t="s">
        <v>1269</v>
      </c>
      <c r="I278" s="670" t="s">
        <v>111</v>
      </c>
      <c r="J278" s="670" t="s">
        <v>2739</v>
      </c>
      <c r="K278" s="676" t="s">
        <v>1231</v>
      </c>
      <c r="L278" s="677" t="s">
        <v>437</v>
      </c>
      <c r="M278" s="679" t="s">
        <v>2726</v>
      </c>
      <c r="N278" s="669" t="s">
        <v>355</v>
      </c>
      <c r="O278" s="328"/>
      <c r="P278" s="189"/>
      <c r="Q278" s="432"/>
      <c r="R278" s="584" t="s">
        <v>348</v>
      </c>
      <c r="S278" s="584" t="s">
        <v>2046</v>
      </c>
      <c r="U278" s="484" t="s">
        <v>552</v>
      </c>
      <c r="V278" s="484" t="s">
        <v>3886</v>
      </c>
    </row>
    <row r="279" spans="6:22" ht="10.5" customHeight="1">
      <c r="F279" s="672"/>
      <c r="G279" s="432" t="s">
        <v>112</v>
      </c>
      <c r="H279" s="432" t="s">
        <v>1269</v>
      </c>
      <c r="I279" s="670" t="s">
        <v>113</v>
      </c>
      <c r="J279" s="670" t="s">
        <v>2739</v>
      </c>
      <c r="K279" s="676" t="s">
        <v>1232</v>
      </c>
      <c r="L279" s="677" t="s">
        <v>437</v>
      </c>
      <c r="M279" s="679" t="s">
        <v>2726</v>
      </c>
      <c r="N279" s="669" t="s">
        <v>357</v>
      </c>
      <c r="O279" s="328"/>
      <c r="P279" s="189"/>
      <c r="Q279" s="432"/>
      <c r="R279" s="584" t="s">
        <v>350</v>
      </c>
      <c r="S279" s="584" t="s">
        <v>916</v>
      </c>
      <c r="U279" s="484" t="s">
        <v>565</v>
      </c>
      <c r="V279" s="484" t="s">
        <v>3886</v>
      </c>
    </row>
    <row r="280" spans="6:22" ht="10.5" customHeight="1">
      <c r="F280" s="672"/>
      <c r="G280" s="432" t="s">
        <v>114</v>
      </c>
      <c r="H280" s="432" t="s">
        <v>1269</v>
      </c>
      <c r="I280" s="670" t="s">
        <v>115</v>
      </c>
      <c r="J280" s="670" t="s">
        <v>2739</v>
      </c>
      <c r="K280" s="676" t="s">
        <v>2468</v>
      </c>
      <c r="L280" s="677" t="s">
        <v>437</v>
      </c>
      <c r="M280" s="679" t="s">
        <v>2726</v>
      </c>
      <c r="N280" s="669" t="s">
        <v>2036</v>
      </c>
      <c r="O280" s="328"/>
      <c r="P280" s="189"/>
      <c r="Q280" s="432"/>
      <c r="R280" s="584" t="s">
        <v>352</v>
      </c>
      <c r="S280" s="584" t="s">
        <v>184</v>
      </c>
      <c r="U280" s="484" t="s">
        <v>1713</v>
      </c>
      <c r="V280" s="484" t="s">
        <v>3886</v>
      </c>
    </row>
    <row r="281" spans="6:22" ht="10.5" customHeight="1">
      <c r="F281" s="672"/>
      <c r="G281" s="432" t="s">
        <v>116</v>
      </c>
      <c r="H281" s="432" t="s">
        <v>1375</v>
      </c>
      <c r="I281" s="670" t="s">
        <v>117</v>
      </c>
      <c r="J281" s="670" t="s">
        <v>2739</v>
      </c>
      <c r="K281" s="676" t="s">
        <v>2469</v>
      </c>
      <c r="L281" s="677" t="s">
        <v>437</v>
      </c>
      <c r="M281" s="679" t="s">
        <v>2726</v>
      </c>
      <c r="N281" s="669" t="s">
        <v>2038</v>
      </c>
      <c r="O281" s="328"/>
      <c r="P281" s="189"/>
      <c r="Q281" s="432"/>
      <c r="R281" s="584" t="s">
        <v>354</v>
      </c>
      <c r="S281" s="584" t="s">
        <v>2515</v>
      </c>
      <c r="U281" s="484" t="s">
        <v>2195</v>
      </c>
      <c r="V281" s="484" t="s">
        <v>3886</v>
      </c>
    </row>
    <row r="282" spans="6:22" ht="10.5" customHeight="1">
      <c r="F282" s="672"/>
      <c r="G282" s="432" t="s">
        <v>2046</v>
      </c>
      <c r="H282" s="432" t="s">
        <v>1375</v>
      </c>
      <c r="I282" s="668" t="s">
        <v>348</v>
      </c>
      <c r="J282" s="670" t="s">
        <v>2740</v>
      </c>
      <c r="K282" s="676" t="s">
        <v>2470</v>
      </c>
      <c r="L282" s="677" t="s">
        <v>438</v>
      </c>
      <c r="M282" s="679" t="s">
        <v>1251</v>
      </c>
      <c r="N282" s="669" t="s">
        <v>2254</v>
      </c>
      <c r="O282" s="328"/>
      <c r="P282" s="189"/>
      <c r="Q282" s="432"/>
      <c r="R282" s="671" t="s">
        <v>356</v>
      </c>
      <c r="S282" s="671" t="s">
        <v>1973</v>
      </c>
      <c r="U282" s="484" t="s">
        <v>3883</v>
      </c>
      <c r="V282" s="484" t="s">
        <v>3886</v>
      </c>
    </row>
    <row r="283" spans="6:22" ht="10.5" customHeight="1">
      <c r="F283" s="672"/>
      <c r="G283" s="432" t="s">
        <v>2047</v>
      </c>
      <c r="H283" s="432" t="s">
        <v>1269</v>
      </c>
      <c r="I283" s="670" t="s">
        <v>2512</v>
      </c>
      <c r="J283" s="668" t="s">
        <v>2739</v>
      </c>
      <c r="K283" s="676" t="s">
        <v>2471</v>
      </c>
      <c r="L283" s="677" t="s">
        <v>437</v>
      </c>
      <c r="M283" s="679" t="s">
        <v>2726</v>
      </c>
      <c r="N283" s="669" t="s">
        <v>158</v>
      </c>
      <c r="O283" s="328"/>
      <c r="P283" s="189"/>
      <c r="Q283" s="432"/>
      <c r="R283" s="584" t="s">
        <v>358</v>
      </c>
      <c r="S283" s="584" t="s">
        <v>180</v>
      </c>
      <c r="U283" s="484" t="s">
        <v>2356</v>
      </c>
      <c r="V283" s="484" t="s">
        <v>3886</v>
      </c>
    </row>
    <row r="284" spans="6:22" ht="10.5" customHeight="1">
      <c r="F284" s="672"/>
      <c r="G284" s="432" t="s">
        <v>2513</v>
      </c>
      <c r="H284" s="432" t="s">
        <v>1399</v>
      </c>
      <c r="I284" s="670" t="s">
        <v>2514</v>
      </c>
      <c r="J284" s="670" t="s">
        <v>2739</v>
      </c>
      <c r="K284" s="676" t="s">
        <v>435</v>
      </c>
      <c r="L284" s="677" t="s">
        <v>437</v>
      </c>
      <c r="M284" s="679" t="s">
        <v>2726</v>
      </c>
      <c r="N284" s="669" t="s">
        <v>159</v>
      </c>
      <c r="O284" s="328"/>
      <c r="P284" s="189"/>
      <c r="Q284" s="432"/>
      <c r="R284" s="584" t="s">
        <v>2037</v>
      </c>
      <c r="S284" s="584" t="s">
        <v>108</v>
      </c>
      <c r="U284" s="484" t="s">
        <v>412</v>
      </c>
      <c r="V284" s="484" t="s">
        <v>3886</v>
      </c>
    </row>
    <row r="285" spans="6:22" ht="10.5" customHeight="1">
      <c r="F285" s="672"/>
      <c r="G285" s="432" t="s">
        <v>2515</v>
      </c>
      <c r="H285" s="432" t="s">
        <v>1399</v>
      </c>
      <c r="I285" s="670" t="s">
        <v>2516</v>
      </c>
      <c r="J285" s="670" t="s">
        <v>2739</v>
      </c>
      <c r="K285" s="676" t="s">
        <v>436</v>
      </c>
      <c r="L285" s="677" t="s">
        <v>437</v>
      </c>
      <c r="M285" s="679" t="s">
        <v>2726</v>
      </c>
      <c r="N285" s="669" t="s">
        <v>1656</v>
      </c>
      <c r="O285" s="328"/>
      <c r="P285" s="189"/>
      <c r="Q285" s="432"/>
      <c r="R285" s="584" t="s">
        <v>201</v>
      </c>
      <c r="S285" s="584" t="s">
        <v>1744</v>
      </c>
      <c r="U285" s="484" t="s">
        <v>1931</v>
      </c>
      <c r="V285" s="484" t="s">
        <v>3886</v>
      </c>
    </row>
    <row r="286" spans="6:22" ht="10.5" customHeight="1">
      <c r="F286" s="371"/>
      <c r="G286" s="432" t="s">
        <v>2517</v>
      </c>
      <c r="H286" s="432" t="s">
        <v>1269</v>
      </c>
      <c r="I286" s="670" t="s">
        <v>1869</v>
      </c>
      <c r="J286" s="670" t="s">
        <v>2740</v>
      </c>
      <c r="K286" s="676" t="s">
        <v>1215</v>
      </c>
      <c r="L286" s="677" t="s">
        <v>438</v>
      </c>
      <c r="M286" s="678" t="s">
        <v>1251</v>
      </c>
      <c r="N286" s="669" t="s">
        <v>831</v>
      </c>
      <c r="O286" s="328"/>
      <c r="P286" s="189"/>
      <c r="Q286" s="432"/>
      <c r="R286" s="584" t="s">
        <v>2255</v>
      </c>
      <c r="S286" s="584" t="s">
        <v>201</v>
      </c>
      <c r="U286" s="484" t="s">
        <v>2380</v>
      </c>
      <c r="V286" s="484" t="s">
        <v>3886</v>
      </c>
    </row>
    <row r="287" spans="6:22" ht="10.5" customHeight="1">
      <c r="F287" s="371"/>
      <c r="G287" s="348"/>
      <c r="H287" s="348"/>
      <c r="I287" s="348"/>
      <c r="J287" s="418"/>
      <c r="K287" s="348"/>
      <c r="L287" s="348"/>
      <c r="M287" s="403"/>
      <c r="N287" s="669" t="s">
        <v>833</v>
      </c>
      <c r="O287" s="328"/>
      <c r="P287" s="189"/>
      <c r="Q287" s="432"/>
      <c r="R287" s="584" t="s">
        <v>725</v>
      </c>
      <c r="S287" s="584" t="s">
        <v>2279</v>
      </c>
      <c r="U287" s="484" t="s">
        <v>585</v>
      </c>
      <c r="V287" s="484" t="s">
        <v>3886</v>
      </c>
    </row>
    <row r="288" spans="6:22" ht="10.5" customHeight="1">
      <c r="F288" s="371"/>
      <c r="G288" s="348"/>
      <c r="H288" s="348"/>
      <c r="I288" s="348"/>
      <c r="J288" s="348"/>
      <c r="K288" s="348"/>
      <c r="L288" s="348"/>
      <c r="M288" s="348"/>
      <c r="N288" s="669" t="s">
        <v>835</v>
      </c>
      <c r="O288" s="328"/>
      <c r="P288" s="189"/>
      <c r="Q288" s="432"/>
      <c r="R288" s="671" t="s">
        <v>160</v>
      </c>
      <c r="S288" s="671" t="s">
        <v>1972</v>
      </c>
      <c r="U288" s="484" t="s">
        <v>1524</v>
      </c>
      <c r="V288" s="484" t="s">
        <v>3886</v>
      </c>
    </row>
    <row r="289" spans="6:22" ht="10.5" customHeight="1">
      <c r="F289" s="371"/>
      <c r="G289" s="348"/>
      <c r="H289" s="348"/>
      <c r="I289" s="348"/>
      <c r="J289" s="348"/>
      <c r="K289" s="348"/>
      <c r="L289" s="348"/>
      <c r="M289" s="348"/>
      <c r="N289" s="669" t="s">
        <v>2542</v>
      </c>
      <c r="O289" s="328"/>
      <c r="P289" s="189"/>
      <c r="Q289" s="432"/>
      <c r="R289" s="584" t="s">
        <v>202</v>
      </c>
      <c r="S289" s="584" t="s">
        <v>658</v>
      </c>
      <c r="U289" s="484" t="s">
        <v>1658</v>
      </c>
      <c r="V289" s="484" t="s">
        <v>3886</v>
      </c>
    </row>
    <row r="290" spans="6:22" ht="10.5" customHeight="1">
      <c r="F290" s="371"/>
      <c r="G290" s="348"/>
      <c r="H290" s="348"/>
      <c r="I290" s="348"/>
      <c r="J290" s="348"/>
      <c r="K290" s="348"/>
      <c r="L290" s="348"/>
      <c r="M290" s="348"/>
      <c r="N290" s="669" t="s">
        <v>2543</v>
      </c>
      <c r="O290" s="328"/>
      <c r="P290" s="189"/>
      <c r="Q290" s="432"/>
      <c r="R290" s="584" t="s">
        <v>2695</v>
      </c>
      <c r="S290" s="584" t="s">
        <v>2107</v>
      </c>
      <c r="U290" s="484" t="s">
        <v>2220</v>
      </c>
      <c r="V290" s="484" t="s">
        <v>3886</v>
      </c>
    </row>
    <row r="291" spans="6:22" ht="10.5" customHeight="1">
      <c r="F291" s="371"/>
      <c r="G291" s="348"/>
      <c r="H291" s="348"/>
      <c r="I291" s="348"/>
      <c r="J291" s="348"/>
      <c r="K291" s="348"/>
      <c r="L291" s="348"/>
      <c r="M291" s="348"/>
      <c r="N291" s="669" t="s">
        <v>2545</v>
      </c>
      <c r="O291" s="328"/>
      <c r="P291" s="189"/>
      <c r="Q291" s="432"/>
      <c r="R291" s="584" t="s">
        <v>832</v>
      </c>
      <c r="S291" s="584" t="s">
        <v>108</v>
      </c>
      <c r="U291" s="484" t="s">
        <v>2222</v>
      </c>
      <c r="V291" s="484" t="s">
        <v>3886</v>
      </c>
    </row>
    <row r="292" spans="6:22" ht="10.5" customHeight="1">
      <c r="F292" s="371"/>
      <c r="G292" s="348"/>
      <c r="H292" s="348"/>
      <c r="I292" s="348"/>
      <c r="J292" s="348"/>
      <c r="K292" s="348"/>
      <c r="L292" s="348"/>
      <c r="M292" s="348"/>
      <c r="N292" s="669" t="s">
        <v>2547</v>
      </c>
      <c r="O292" s="328"/>
      <c r="P292" s="189"/>
      <c r="Q292" s="432"/>
      <c r="R292" s="584" t="s">
        <v>834</v>
      </c>
      <c r="S292" s="584" t="s">
        <v>124</v>
      </c>
      <c r="U292" s="484" t="s">
        <v>1513</v>
      </c>
      <c r="V292" s="484" t="s">
        <v>3886</v>
      </c>
    </row>
    <row r="293" spans="6:22" ht="10.5" customHeight="1">
      <c r="F293" s="371"/>
      <c r="G293" s="348"/>
      <c r="H293" s="348"/>
      <c r="I293" s="348"/>
      <c r="J293" s="348"/>
      <c r="K293" s="348"/>
      <c r="L293" s="348"/>
      <c r="M293" s="348"/>
      <c r="N293" s="669" t="s">
        <v>2548</v>
      </c>
      <c r="O293" s="328"/>
      <c r="P293" s="189"/>
      <c r="Q293" s="432"/>
      <c r="R293" s="584" t="s">
        <v>836</v>
      </c>
      <c r="S293" s="584" t="s">
        <v>339</v>
      </c>
      <c r="U293" s="484" t="s">
        <v>1632</v>
      </c>
      <c r="V293" s="484" t="s">
        <v>3886</v>
      </c>
    </row>
    <row r="294" spans="6:22" ht="10.5" customHeight="1">
      <c r="F294" s="371"/>
      <c r="G294" s="348"/>
      <c r="H294" s="348"/>
      <c r="I294" s="348"/>
      <c r="J294" s="348"/>
      <c r="K294" s="348"/>
      <c r="L294" s="348"/>
      <c r="M294" s="348"/>
      <c r="N294" s="669" t="s">
        <v>395</v>
      </c>
      <c r="O294" s="328"/>
      <c r="P294" s="189"/>
      <c r="Q294" s="432"/>
      <c r="R294" s="584" t="s">
        <v>3238</v>
      </c>
      <c r="S294" s="584" t="s">
        <v>920</v>
      </c>
      <c r="U294" s="484" t="s">
        <v>1238</v>
      </c>
      <c r="V294" s="484" t="s">
        <v>3886</v>
      </c>
    </row>
    <row r="295" spans="6:22" ht="10.5" customHeight="1">
      <c r="F295" s="371"/>
      <c r="G295" s="348"/>
      <c r="H295" s="348"/>
      <c r="I295" s="348"/>
      <c r="J295" s="348"/>
      <c r="K295" s="348"/>
      <c r="L295" s="348"/>
      <c r="M295" s="348"/>
      <c r="N295" s="669" t="s">
        <v>49</v>
      </c>
      <c r="O295" s="328"/>
      <c r="P295" s="189"/>
      <c r="Q295" s="432"/>
      <c r="R295" s="671" t="s">
        <v>2544</v>
      </c>
      <c r="S295" s="671" t="s">
        <v>1526</v>
      </c>
      <c r="U295" s="484" t="s">
        <v>1837</v>
      </c>
      <c r="V295" s="484" t="s">
        <v>3886</v>
      </c>
    </row>
    <row r="296" spans="6:22" ht="10.5" customHeight="1">
      <c r="F296" s="371"/>
      <c r="G296" s="348"/>
      <c r="H296" s="348"/>
      <c r="I296" s="348"/>
      <c r="J296" s="348"/>
      <c r="K296" s="348"/>
      <c r="L296" s="348"/>
      <c r="M296" s="348"/>
      <c r="N296" s="669" t="s">
        <v>51</v>
      </c>
      <c r="O296" s="328"/>
      <c r="P296" s="189"/>
      <c r="Q296" s="432"/>
      <c r="R296" s="584" t="s">
        <v>2546</v>
      </c>
      <c r="S296" s="584" t="s">
        <v>1155</v>
      </c>
      <c r="U296" s="484" t="s">
        <v>1905</v>
      </c>
      <c r="V296" s="484" t="s">
        <v>3886</v>
      </c>
    </row>
    <row r="297" spans="6:22" ht="10.5" customHeight="1">
      <c r="F297" s="371"/>
      <c r="G297" s="348"/>
      <c r="H297" s="348"/>
      <c r="I297" s="348"/>
      <c r="J297" s="348"/>
      <c r="K297" s="348"/>
      <c r="L297" s="348"/>
      <c r="M297" s="348"/>
      <c r="N297" s="669" t="s">
        <v>2018</v>
      </c>
      <c r="O297" s="328"/>
      <c r="P297" s="189"/>
      <c r="Q297" s="432"/>
      <c r="R297" s="584" t="s">
        <v>2696</v>
      </c>
      <c r="S297" s="584" t="s">
        <v>701</v>
      </c>
      <c r="U297" s="484" t="s">
        <v>1153</v>
      </c>
      <c r="V297" s="484" t="s">
        <v>3886</v>
      </c>
    </row>
    <row r="298" spans="6:22" ht="10.5" customHeight="1">
      <c r="F298" s="371"/>
      <c r="G298" s="348"/>
      <c r="H298" s="348"/>
      <c r="I298" s="348"/>
      <c r="J298" s="348"/>
      <c r="K298" s="348"/>
      <c r="L298" s="348"/>
      <c r="M298" s="348"/>
      <c r="N298" s="669" t="s">
        <v>2019</v>
      </c>
      <c r="O298" s="328"/>
      <c r="P298" s="189"/>
      <c r="Q298" s="432"/>
      <c r="R298" s="584" t="s">
        <v>394</v>
      </c>
      <c r="S298" s="584" t="s">
        <v>2611</v>
      </c>
      <c r="U298" s="484" t="s">
        <v>3884</v>
      </c>
      <c r="V298" s="484" t="s">
        <v>3886</v>
      </c>
    </row>
    <row r="299" spans="6:22" ht="10.5" customHeight="1">
      <c r="F299" s="371"/>
      <c r="G299" s="348"/>
      <c r="H299" s="348"/>
      <c r="I299" s="348"/>
      <c r="J299" s="348"/>
      <c r="K299" s="348"/>
      <c r="L299" s="348"/>
      <c r="M299" s="348"/>
      <c r="N299" s="669" t="s">
        <v>2021</v>
      </c>
      <c r="O299" s="328"/>
      <c r="P299" s="189"/>
      <c r="Q299" s="432"/>
      <c r="R299" s="673" t="s">
        <v>396</v>
      </c>
      <c r="S299" s="584" t="s">
        <v>2272</v>
      </c>
      <c r="U299" s="484" t="s">
        <v>2244</v>
      </c>
      <c r="V299" s="484" t="s">
        <v>3886</v>
      </c>
    </row>
    <row r="300" spans="6:22" ht="10.5" customHeight="1">
      <c r="F300" s="371"/>
      <c r="G300" s="348"/>
      <c r="H300" s="348"/>
      <c r="I300" s="348"/>
      <c r="J300" s="348"/>
      <c r="K300" s="348"/>
      <c r="L300" s="348"/>
      <c r="M300" s="348"/>
      <c r="N300" s="669" t="s">
        <v>2022</v>
      </c>
      <c r="O300" s="328"/>
      <c r="P300" s="189"/>
      <c r="Q300" s="432"/>
      <c r="R300" s="584" t="s">
        <v>50</v>
      </c>
      <c r="S300" s="584" t="s">
        <v>997</v>
      </c>
      <c r="U300" s="484" t="s">
        <v>1594</v>
      </c>
      <c r="V300" s="484" t="s">
        <v>3886</v>
      </c>
    </row>
    <row r="301" spans="6:22" ht="10.5" customHeight="1">
      <c r="F301" s="371"/>
      <c r="G301" s="348"/>
      <c r="H301" s="348"/>
      <c r="I301" s="348"/>
      <c r="J301" s="348"/>
      <c r="K301" s="348"/>
      <c r="L301" s="348"/>
      <c r="M301" s="348"/>
      <c r="N301" s="669" t="s">
        <v>2023</v>
      </c>
      <c r="O301" s="328"/>
      <c r="P301" s="189"/>
      <c r="Q301" s="432"/>
      <c r="R301" s="584" t="s">
        <v>52</v>
      </c>
      <c r="S301" s="584" t="s">
        <v>658</v>
      </c>
      <c r="U301" s="484" t="s">
        <v>65</v>
      </c>
      <c r="V301" s="484" t="s">
        <v>3886</v>
      </c>
    </row>
    <row r="302" spans="6:22" ht="10.5" customHeight="1">
      <c r="F302" s="371"/>
      <c r="G302" s="348"/>
      <c r="H302" s="348"/>
      <c r="I302" s="348"/>
      <c r="J302" s="348"/>
      <c r="K302" s="348"/>
      <c r="L302" s="348"/>
      <c r="M302" s="348"/>
      <c r="N302" s="669" t="s">
        <v>2025</v>
      </c>
      <c r="O302" s="328"/>
      <c r="P302" s="189"/>
      <c r="Q302" s="432"/>
      <c r="R302" s="584" t="s">
        <v>915</v>
      </c>
      <c r="S302" s="584" t="s">
        <v>2609</v>
      </c>
      <c r="U302" s="484" t="s">
        <v>69</v>
      </c>
      <c r="V302" s="484" t="s">
        <v>3886</v>
      </c>
    </row>
    <row r="303" spans="6:22" ht="10.5" customHeight="1">
      <c r="F303" s="371"/>
      <c r="G303" s="348"/>
      <c r="H303" s="348"/>
      <c r="I303" s="348"/>
      <c r="J303" s="348"/>
      <c r="K303" s="348"/>
      <c r="L303" s="348"/>
      <c r="M303" s="348"/>
      <c r="N303" s="669" t="s">
        <v>753</v>
      </c>
      <c r="O303" s="328"/>
      <c r="P303" s="189"/>
      <c r="Q303" s="432"/>
      <c r="R303" s="671" t="s">
        <v>2020</v>
      </c>
      <c r="S303" s="671" t="s">
        <v>915</v>
      </c>
      <c r="U303" s="484" t="s">
        <v>71</v>
      </c>
      <c r="V303" s="484" t="s">
        <v>3886</v>
      </c>
    </row>
    <row r="304" spans="6:22" ht="10.5" customHeight="1">
      <c r="F304" s="371"/>
      <c r="G304" s="348"/>
      <c r="H304" s="348"/>
      <c r="I304" s="348"/>
      <c r="J304" s="348"/>
      <c r="K304" s="348"/>
      <c r="L304" s="348"/>
      <c r="M304" s="348"/>
      <c r="N304" s="669" t="s">
        <v>1193</v>
      </c>
      <c r="O304" s="328"/>
      <c r="P304" s="189"/>
      <c r="Q304" s="432"/>
      <c r="R304" s="671" t="s">
        <v>2697</v>
      </c>
      <c r="S304" s="671" t="s">
        <v>658</v>
      </c>
      <c r="U304" s="484" t="s">
        <v>817</v>
      </c>
      <c r="V304" s="484" t="s">
        <v>3886</v>
      </c>
    </row>
    <row r="305" spans="6:22" ht="10.5" customHeight="1">
      <c r="F305" s="371"/>
      <c r="G305" s="348"/>
      <c r="H305" s="348"/>
      <c r="I305" s="348"/>
      <c r="J305" s="348"/>
      <c r="K305" s="348"/>
      <c r="L305" s="348"/>
      <c r="M305" s="348"/>
      <c r="N305" s="669" t="s">
        <v>1195</v>
      </c>
      <c r="O305" s="328"/>
      <c r="P305" s="189"/>
      <c r="Q305" s="432"/>
      <c r="R305" s="584" t="s">
        <v>3239</v>
      </c>
      <c r="S305" s="584" t="s">
        <v>2606</v>
      </c>
      <c r="U305" s="484" t="s">
        <v>984</v>
      </c>
      <c r="V305" s="484" t="s">
        <v>3886</v>
      </c>
    </row>
    <row r="306" spans="6:22" ht="10.5" customHeight="1">
      <c r="F306" s="371"/>
      <c r="G306" s="348"/>
      <c r="H306" s="348"/>
      <c r="I306" s="348"/>
      <c r="J306" s="348"/>
      <c r="K306" s="348"/>
      <c r="L306" s="348"/>
      <c r="M306" s="348"/>
      <c r="N306" s="669" t="s">
        <v>1197</v>
      </c>
      <c r="O306" s="328"/>
      <c r="P306" s="189"/>
      <c r="Q306" s="432"/>
      <c r="R306" s="584" t="s">
        <v>2024</v>
      </c>
      <c r="S306" s="584" t="s">
        <v>1526</v>
      </c>
      <c r="U306" s="484" t="s">
        <v>1092</v>
      </c>
      <c r="V306" s="484" t="s">
        <v>3886</v>
      </c>
    </row>
    <row r="307" spans="6:22" ht="10.5" customHeight="1">
      <c r="F307" s="371"/>
      <c r="G307" s="348"/>
      <c r="H307" s="348"/>
      <c r="I307" s="348"/>
      <c r="J307" s="348"/>
      <c r="K307" s="348"/>
      <c r="L307" s="348"/>
      <c r="M307" s="348"/>
      <c r="N307" s="669" t="s">
        <v>2638</v>
      </c>
      <c r="O307" s="328"/>
      <c r="P307" s="189"/>
      <c r="Q307" s="432"/>
      <c r="R307" s="584" t="s">
        <v>2026</v>
      </c>
      <c r="S307" s="584" t="s">
        <v>1526</v>
      </c>
      <c r="U307" s="484" t="s">
        <v>2376</v>
      </c>
      <c r="V307" s="484" t="s">
        <v>3886</v>
      </c>
    </row>
    <row r="308" spans="6:22" ht="10.5" customHeight="1">
      <c r="F308" s="371"/>
      <c r="G308" s="348"/>
      <c r="H308" s="348"/>
      <c r="I308" s="348"/>
      <c r="J308" s="348"/>
      <c r="K308" s="348"/>
      <c r="L308" s="348"/>
      <c r="M308" s="348"/>
      <c r="N308" s="669" t="s">
        <v>2640</v>
      </c>
      <c r="O308" s="328"/>
      <c r="P308" s="189"/>
      <c r="Q308" s="432"/>
      <c r="R308" s="584" t="s">
        <v>754</v>
      </c>
      <c r="S308" s="584" t="s">
        <v>123</v>
      </c>
      <c r="U308" s="484" t="s">
        <v>2646</v>
      </c>
      <c r="V308" s="484" t="s">
        <v>3886</v>
      </c>
    </row>
    <row r="309" spans="6:22" ht="10.5" customHeight="1">
      <c r="F309" s="371"/>
      <c r="G309" s="348"/>
      <c r="H309" s="348"/>
      <c r="I309" s="348"/>
      <c r="J309" s="348"/>
      <c r="K309" s="348"/>
      <c r="L309" s="348"/>
      <c r="M309" s="348"/>
      <c r="N309" s="669" t="s">
        <v>193</v>
      </c>
      <c r="O309" s="328"/>
      <c r="P309" s="189"/>
      <c r="Q309" s="432"/>
      <c r="R309" s="584" t="s">
        <v>726</v>
      </c>
      <c r="S309" s="584" t="s">
        <v>658</v>
      </c>
      <c r="U309" s="484" t="s">
        <v>2265</v>
      </c>
      <c r="V309" s="484" t="s">
        <v>3886</v>
      </c>
    </row>
    <row r="310" spans="6:22" ht="10.5" customHeight="1">
      <c r="F310" s="371"/>
      <c r="G310" s="348"/>
      <c r="H310" s="348"/>
      <c r="I310" s="348"/>
      <c r="J310" s="348"/>
      <c r="K310" s="348"/>
      <c r="L310" s="348"/>
      <c r="M310" s="348"/>
      <c r="N310" s="669" t="s">
        <v>195</v>
      </c>
      <c r="O310" s="328"/>
      <c r="P310" s="189"/>
      <c r="Q310" s="432"/>
      <c r="R310" s="584" t="s">
        <v>3240</v>
      </c>
      <c r="S310" s="584" t="s">
        <v>164</v>
      </c>
      <c r="U310" s="484" t="s">
        <v>1691</v>
      </c>
      <c r="V310" s="484" t="s">
        <v>3886</v>
      </c>
    </row>
    <row r="311" spans="6:22" ht="10.5" customHeight="1">
      <c r="F311" s="371"/>
      <c r="G311" s="348"/>
      <c r="H311" s="348"/>
      <c r="I311" s="348"/>
      <c r="J311" s="348"/>
      <c r="K311" s="348"/>
      <c r="L311" s="348"/>
      <c r="M311" s="348"/>
      <c r="N311" s="669" t="s">
        <v>1915</v>
      </c>
      <c r="O311" s="328"/>
      <c r="P311" s="189"/>
      <c r="Q311" s="432"/>
      <c r="R311" s="584" t="s">
        <v>3241</v>
      </c>
      <c r="S311" s="584" t="s">
        <v>329</v>
      </c>
      <c r="U311" s="484" t="s">
        <v>2535</v>
      </c>
      <c r="V311" s="484" t="s">
        <v>3886</v>
      </c>
    </row>
    <row r="312" spans="6:22" ht="10.5" customHeight="1">
      <c r="F312" s="371"/>
      <c r="G312" s="348"/>
      <c r="H312" s="348"/>
      <c r="I312" s="348"/>
      <c r="J312" s="348"/>
      <c r="K312" s="348"/>
      <c r="L312" s="348"/>
      <c r="M312" s="348"/>
      <c r="N312" s="669" t="s">
        <v>1917</v>
      </c>
      <c r="O312" s="328"/>
      <c r="P312" s="189"/>
      <c r="Q312" s="432"/>
      <c r="R312" s="584" t="s">
        <v>1194</v>
      </c>
      <c r="S312" s="584" t="s">
        <v>1526</v>
      </c>
      <c r="U312" s="484" t="s">
        <v>856</v>
      </c>
      <c r="V312" s="484" t="s">
        <v>3886</v>
      </c>
    </row>
    <row r="313" spans="6:22" ht="10.5" customHeight="1">
      <c r="F313" s="371"/>
      <c r="G313" s="348"/>
      <c r="H313" s="348"/>
      <c r="I313" s="348"/>
      <c r="J313" s="348"/>
      <c r="K313" s="348"/>
      <c r="L313" s="348"/>
      <c r="M313" s="348"/>
      <c r="N313" s="669" t="s">
        <v>1987</v>
      </c>
      <c r="O313" s="328"/>
      <c r="P313" s="189"/>
      <c r="Q313" s="432"/>
      <c r="R313" s="584" t="s">
        <v>1196</v>
      </c>
      <c r="S313" s="584" t="s">
        <v>697</v>
      </c>
      <c r="U313" s="484" t="s">
        <v>173</v>
      </c>
      <c r="V313" s="484" t="s">
        <v>3886</v>
      </c>
    </row>
    <row r="314" spans="6:22" ht="10.5" customHeight="1">
      <c r="F314" s="371"/>
      <c r="G314" s="348"/>
      <c r="H314" s="348"/>
      <c r="I314" s="348"/>
      <c r="J314" s="348"/>
      <c r="K314" s="348"/>
      <c r="L314" s="348"/>
      <c r="M314" s="348"/>
      <c r="N314" s="669" t="s">
        <v>1989</v>
      </c>
      <c r="O314" s="328"/>
      <c r="P314" s="189"/>
      <c r="Q314" s="432"/>
      <c r="R314" s="584" t="s">
        <v>2698</v>
      </c>
      <c r="S314" s="584" t="s">
        <v>2274</v>
      </c>
      <c r="U314" s="484" t="s">
        <v>1390</v>
      </c>
      <c r="V314" s="484" t="s">
        <v>3886</v>
      </c>
    </row>
    <row r="315" spans="6:22" ht="10.5" customHeight="1">
      <c r="F315" s="371"/>
      <c r="G315" s="348"/>
      <c r="H315" s="348"/>
      <c r="I315" s="348"/>
      <c r="J315" s="348"/>
      <c r="K315" s="348"/>
      <c r="L315" s="348"/>
      <c r="M315" s="348"/>
      <c r="N315" s="669" t="s">
        <v>1990</v>
      </c>
      <c r="O315" s="328"/>
      <c r="P315" s="189"/>
      <c r="Q315" s="432"/>
      <c r="R315" s="584" t="s">
        <v>2699</v>
      </c>
      <c r="S315" s="584" t="s">
        <v>2657</v>
      </c>
      <c r="U315" s="484" t="s">
        <v>1122</v>
      </c>
      <c r="V315" s="484" t="s">
        <v>3886</v>
      </c>
    </row>
    <row r="316" spans="6:22" ht="10.5" customHeight="1">
      <c r="F316" s="371"/>
      <c r="G316" s="348"/>
      <c r="H316" s="348"/>
      <c r="I316" s="348"/>
      <c r="J316" s="348"/>
      <c r="K316" s="348"/>
      <c r="L316" s="348"/>
      <c r="M316" s="348"/>
      <c r="N316" s="669" t="s">
        <v>1992</v>
      </c>
      <c r="O316" s="328"/>
      <c r="P316" s="189"/>
      <c r="Q316" s="432"/>
      <c r="R316" s="584" t="s">
        <v>1198</v>
      </c>
      <c r="S316" s="584" t="s">
        <v>1264</v>
      </c>
      <c r="U316" s="484" t="s">
        <v>2090</v>
      </c>
      <c r="V316" s="484" t="s">
        <v>3886</v>
      </c>
    </row>
    <row r="317" spans="6:22" ht="10.5" customHeight="1">
      <c r="F317" s="371"/>
      <c r="G317" s="348"/>
      <c r="H317" s="348"/>
      <c r="I317" s="348"/>
      <c r="J317" s="348"/>
      <c r="K317" s="348"/>
      <c r="L317" s="348"/>
      <c r="M317" s="348"/>
      <c r="N317" s="669" t="s">
        <v>1994</v>
      </c>
      <c r="O317" s="328"/>
      <c r="P317" s="189"/>
      <c r="Q317" s="432"/>
      <c r="R317" s="584" t="s">
        <v>2639</v>
      </c>
      <c r="S317" s="584" t="s">
        <v>205</v>
      </c>
      <c r="U317" s="484" t="s">
        <v>1984</v>
      </c>
      <c r="V317" s="484" t="s">
        <v>3886</v>
      </c>
    </row>
    <row r="318" spans="6:22" ht="10.5" customHeight="1">
      <c r="F318" s="371"/>
      <c r="G318" s="348"/>
      <c r="H318" s="348"/>
      <c r="I318" s="348"/>
      <c r="J318" s="348"/>
      <c r="K318" s="348"/>
      <c r="L318" s="348"/>
      <c r="M318" s="348"/>
      <c r="N318" s="669" t="s">
        <v>2028</v>
      </c>
      <c r="O318" s="328"/>
      <c r="P318" s="189"/>
      <c r="Q318" s="432"/>
      <c r="R318" s="584" t="s">
        <v>474</v>
      </c>
      <c r="S318" s="584" t="s">
        <v>1151</v>
      </c>
      <c r="U318" s="484" t="s">
        <v>2662</v>
      </c>
      <c r="V318" s="484" t="s">
        <v>3886</v>
      </c>
    </row>
    <row r="319" spans="6:22" ht="10.5" customHeight="1">
      <c r="F319" s="371"/>
      <c r="G319" s="348"/>
      <c r="H319" s="348"/>
      <c r="I319" s="348"/>
      <c r="J319" s="348"/>
      <c r="K319" s="348"/>
      <c r="L319" s="348"/>
      <c r="M319" s="348"/>
      <c r="N319" s="669" t="s">
        <v>2030</v>
      </c>
      <c r="O319" s="328"/>
      <c r="P319" s="189"/>
      <c r="Q319" s="432"/>
      <c r="R319" s="671" t="s">
        <v>194</v>
      </c>
      <c r="S319" s="671" t="s">
        <v>699</v>
      </c>
      <c r="U319" s="484" t="s">
        <v>1209</v>
      </c>
      <c r="V319" s="484" t="s">
        <v>3886</v>
      </c>
    </row>
    <row r="320" spans="6:22" ht="10.5" customHeight="1">
      <c r="F320" s="371"/>
      <c r="G320" s="348"/>
      <c r="H320" s="348"/>
      <c r="I320" s="348"/>
      <c r="J320" s="348"/>
      <c r="K320" s="348"/>
      <c r="L320" s="348"/>
      <c r="M320" s="348"/>
      <c r="N320" s="669" t="s">
        <v>2031</v>
      </c>
      <c r="O320" s="328"/>
      <c r="P320" s="189"/>
      <c r="Q320" s="432"/>
      <c r="R320" s="671" t="s">
        <v>314</v>
      </c>
      <c r="S320" s="671" t="s">
        <v>1396</v>
      </c>
      <c r="U320" s="484" t="s">
        <v>2642</v>
      </c>
      <c r="V320" s="484" t="s">
        <v>3886</v>
      </c>
    </row>
    <row r="321" spans="6:22" ht="10.5" customHeight="1">
      <c r="F321" s="371"/>
      <c r="G321" s="348"/>
      <c r="H321" s="348"/>
      <c r="I321" s="348"/>
      <c r="J321" s="348"/>
      <c r="K321" s="348"/>
      <c r="L321" s="348"/>
      <c r="M321" s="348"/>
      <c r="N321" s="669" t="s">
        <v>2033</v>
      </c>
      <c r="O321" s="328"/>
      <c r="P321" s="189"/>
      <c r="Q321" s="432"/>
      <c r="R321" s="671" t="s">
        <v>1916</v>
      </c>
      <c r="S321" s="671" t="s">
        <v>920</v>
      </c>
      <c r="U321" s="484" t="s">
        <v>857</v>
      </c>
      <c r="V321" s="484" t="s">
        <v>3886</v>
      </c>
    </row>
    <row r="322" spans="6:22" ht="10.5" customHeight="1">
      <c r="F322" s="371"/>
      <c r="G322" s="348"/>
      <c r="H322" s="348"/>
      <c r="I322" s="348"/>
      <c r="J322" s="348"/>
      <c r="K322" s="348"/>
      <c r="L322" s="348"/>
      <c r="M322" s="348"/>
      <c r="N322" s="669" t="s">
        <v>2035</v>
      </c>
      <c r="O322" s="328"/>
      <c r="P322" s="189"/>
      <c r="Q322" s="432"/>
      <c r="R322" s="584" t="s">
        <v>1918</v>
      </c>
      <c r="S322" s="584" t="s">
        <v>1161</v>
      </c>
      <c r="U322" s="484" t="s">
        <v>2202</v>
      </c>
      <c r="V322" s="484" t="s">
        <v>3886</v>
      </c>
    </row>
    <row r="323" spans="6:22" ht="10.5" customHeight="1">
      <c r="F323" s="371"/>
      <c r="G323" s="348"/>
      <c r="H323" s="348"/>
      <c r="I323" s="348"/>
      <c r="J323" s="348"/>
      <c r="K323" s="348"/>
      <c r="L323" s="348"/>
      <c r="M323" s="348"/>
      <c r="N323" s="669" t="s">
        <v>433</v>
      </c>
      <c r="O323" s="328"/>
      <c r="P323" s="189"/>
      <c r="Q323" s="432"/>
      <c r="R323" s="584" t="s">
        <v>1988</v>
      </c>
      <c r="S323" s="584" t="s">
        <v>2611</v>
      </c>
      <c r="U323" s="484" t="s">
        <v>982</v>
      </c>
      <c r="V323" s="484" t="s">
        <v>3886</v>
      </c>
    </row>
    <row r="324" spans="6:22" ht="10.5" customHeight="1">
      <c r="F324" s="371"/>
      <c r="G324" s="348"/>
      <c r="H324" s="348"/>
      <c r="I324" s="348"/>
      <c r="J324" s="348"/>
      <c r="K324" s="348"/>
      <c r="L324" s="348"/>
      <c r="M324" s="348"/>
      <c r="N324" s="669" t="s">
        <v>135</v>
      </c>
      <c r="O324" s="328"/>
      <c r="P324" s="189"/>
      <c r="Q324" s="432"/>
      <c r="R324" s="671" t="s">
        <v>1991</v>
      </c>
      <c r="S324" s="671" t="s">
        <v>697</v>
      </c>
      <c r="U324" s="484" t="s">
        <v>2624</v>
      </c>
      <c r="V324" s="484" t="s">
        <v>3886</v>
      </c>
    </row>
    <row r="325" spans="6:22" ht="10.5" customHeight="1">
      <c r="F325" s="371"/>
      <c r="G325" s="348"/>
      <c r="H325" s="348"/>
      <c r="I325" s="348"/>
      <c r="J325" s="348"/>
      <c r="K325" s="348"/>
      <c r="L325" s="348"/>
      <c r="M325" s="348"/>
      <c r="N325" s="669" t="s">
        <v>1758</v>
      </c>
      <c r="O325" s="328"/>
      <c r="P325" s="189"/>
      <c r="Q325" s="432"/>
      <c r="R325" s="584" t="s">
        <v>1993</v>
      </c>
      <c r="S325" s="584" t="s">
        <v>1378</v>
      </c>
      <c r="U325" s="484" t="s">
        <v>2001</v>
      </c>
      <c r="V325" s="484" t="s">
        <v>3886</v>
      </c>
    </row>
    <row r="326" spans="6:22" ht="10.5" customHeight="1">
      <c r="F326" s="371"/>
      <c r="G326" s="348"/>
      <c r="H326" s="348"/>
      <c r="I326" s="348"/>
      <c r="J326" s="348"/>
      <c r="K326" s="348"/>
      <c r="L326" s="348"/>
      <c r="M326" s="348"/>
      <c r="N326" s="669" t="s">
        <v>1835</v>
      </c>
      <c r="O326" s="328"/>
      <c r="P326" s="189"/>
      <c r="Q326" s="432"/>
      <c r="R326" s="584" t="s">
        <v>3242</v>
      </c>
      <c r="S326" s="584" t="s">
        <v>205</v>
      </c>
      <c r="U326" s="484" t="s">
        <v>1483</v>
      </c>
      <c r="V326" s="484" t="s">
        <v>3886</v>
      </c>
    </row>
    <row r="327" spans="6:22" ht="10.5" customHeight="1">
      <c r="F327" s="371"/>
      <c r="G327" s="348"/>
      <c r="H327" s="348"/>
      <c r="I327" s="348"/>
      <c r="J327" s="348"/>
      <c r="K327" s="348"/>
      <c r="L327" s="348"/>
      <c r="M327" s="348"/>
      <c r="N327" s="669" t="s">
        <v>2386</v>
      </c>
      <c r="O327" s="328"/>
      <c r="P327" s="189"/>
      <c r="Q327" s="432"/>
      <c r="R327" s="584" t="s">
        <v>1995</v>
      </c>
      <c r="S327" s="584" t="s">
        <v>1381</v>
      </c>
      <c r="U327" s="484" t="s">
        <v>2366</v>
      </c>
      <c r="V327" s="484" t="s">
        <v>3886</v>
      </c>
    </row>
    <row r="328" spans="6:22" ht="10.5" customHeight="1">
      <c r="F328" s="371"/>
      <c r="G328" s="348"/>
      <c r="H328" s="348"/>
      <c r="I328" s="348"/>
      <c r="J328" s="348"/>
      <c r="K328" s="348"/>
      <c r="L328" s="348"/>
      <c r="M328" s="348"/>
      <c r="N328" s="669" t="s">
        <v>2388</v>
      </c>
      <c r="O328" s="328"/>
      <c r="P328" s="189"/>
      <c r="Q328" s="432"/>
      <c r="R328" s="584" t="s">
        <v>2029</v>
      </c>
      <c r="S328" s="584" t="s">
        <v>331</v>
      </c>
      <c r="U328" s="484" t="s">
        <v>2368</v>
      </c>
      <c r="V328" s="484" t="s">
        <v>3886</v>
      </c>
    </row>
    <row r="329" spans="6:22" ht="10.5" customHeight="1">
      <c r="F329" s="371"/>
      <c r="G329" s="348"/>
      <c r="H329" s="348"/>
      <c r="I329" s="348"/>
      <c r="J329" s="348"/>
      <c r="K329" s="348"/>
      <c r="L329" s="348"/>
      <c r="M329" s="348"/>
      <c r="N329" s="669" t="s">
        <v>1039</v>
      </c>
      <c r="O329" s="328"/>
      <c r="P329" s="189"/>
      <c r="Q329" s="432"/>
      <c r="R329" s="584" t="s">
        <v>3243</v>
      </c>
      <c r="S329" s="584" t="s">
        <v>690</v>
      </c>
      <c r="U329" s="484" t="s">
        <v>1166</v>
      </c>
      <c r="V329" s="484" t="s">
        <v>3886</v>
      </c>
    </row>
    <row r="330" spans="6:22" ht="10.5" customHeight="1">
      <c r="F330" s="371"/>
      <c r="G330" s="348"/>
      <c r="H330" s="348"/>
      <c r="I330" s="348"/>
      <c r="J330" s="348"/>
      <c r="K330" s="348"/>
      <c r="L330" s="348"/>
      <c r="M330" s="348"/>
      <c r="N330" s="669" t="s">
        <v>712</v>
      </c>
      <c r="O330" s="328"/>
      <c r="P330" s="189"/>
      <c r="Q330" s="432"/>
      <c r="R330" s="584" t="s">
        <v>2032</v>
      </c>
      <c r="S330" s="584" t="s">
        <v>2713</v>
      </c>
      <c r="U330" s="484" t="s">
        <v>2225</v>
      </c>
      <c r="V330" s="484" t="s">
        <v>3886</v>
      </c>
    </row>
    <row r="331" spans="6:22" ht="10.5" customHeight="1">
      <c r="F331" s="371"/>
      <c r="G331" s="348"/>
      <c r="H331" s="348"/>
      <c r="I331" s="348"/>
      <c r="J331" s="348"/>
      <c r="K331" s="348"/>
      <c r="L331" s="348"/>
      <c r="M331" s="348"/>
      <c r="N331" s="669" t="s">
        <v>595</v>
      </c>
      <c r="O331" s="328"/>
      <c r="P331" s="189"/>
      <c r="Q331" s="432"/>
      <c r="R331" s="584" t="s">
        <v>2034</v>
      </c>
      <c r="S331" s="584" t="s">
        <v>1378</v>
      </c>
      <c r="U331" s="484" t="s">
        <v>2226</v>
      </c>
      <c r="V331" s="484" t="s">
        <v>3886</v>
      </c>
    </row>
    <row r="332" spans="6:22" ht="10.5" customHeight="1">
      <c r="F332" s="371"/>
      <c r="G332" s="348"/>
      <c r="H332" s="348"/>
      <c r="I332" s="348"/>
      <c r="J332" s="348"/>
      <c r="K332" s="348"/>
      <c r="L332" s="348"/>
      <c r="M332" s="348"/>
      <c r="N332" s="669" t="s">
        <v>708</v>
      </c>
      <c r="O332" s="328"/>
      <c r="P332" s="189"/>
      <c r="Q332" s="432"/>
      <c r="R332" s="584" t="s">
        <v>2352</v>
      </c>
      <c r="S332" s="584" t="s">
        <v>2654</v>
      </c>
      <c r="U332" s="484" t="s">
        <v>2227</v>
      </c>
      <c r="V332" s="484" t="s">
        <v>3886</v>
      </c>
    </row>
    <row r="333" spans="6:22" ht="10.5" customHeight="1">
      <c r="F333" s="371"/>
      <c r="G333" s="348"/>
      <c r="H333" s="348"/>
      <c r="I333" s="348"/>
      <c r="J333" s="348"/>
      <c r="K333" s="348"/>
      <c r="L333" s="348"/>
      <c r="M333" s="348"/>
      <c r="N333" s="669" t="s">
        <v>2503</v>
      </c>
      <c r="O333" s="328"/>
      <c r="P333" s="189"/>
      <c r="Q333" s="432"/>
      <c r="R333" s="584" t="s">
        <v>2700</v>
      </c>
      <c r="S333" s="584" t="s">
        <v>2274</v>
      </c>
      <c r="U333" s="484" t="s">
        <v>2441</v>
      </c>
      <c r="V333" s="484" t="s">
        <v>3886</v>
      </c>
    </row>
    <row r="334" spans="6:22" ht="10.5" customHeight="1">
      <c r="F334" s="371"/>
      <c r="G334" s="348"/>
      <c r="H334" s="348"/>
      <c r="I334" s="348"/>
      <c r="J334" s="348"/>
      <c r="K334" s="348"/>
      <c r="L334" s="348"/>
      <c r="M334" s="348"/>
      <c r="N334" s="669" t="s">
        <v>228</v>
      </c>
      <c r="O334" s="328"/>
      <c r="P334" s="189"/>
      <c r="Q334" s="432"/>
      <c r="R334" s="584" t="s">
        <v>2701</v>
      </c>
      <c r="S334" s="584" t="s">
        <v>2608</v>
      </c>
      <c r="U334" s="484" t="s">
        <v>2443</v>
      </c>
      <c r="V334" s="484" t="s">
        <v>3886</v>
      </c>
    </row>
    <row r="335" spans="6:22" ht="10.5" customHeight="1">
      <c r="F335" s="371"/>
      <c r="G335" s="348"/>
      <c r="H335" s="348"/>
      <c r="I335" s="348"/>
      <c r="J335" s="348"/>
      <c r="K335" s="348"/>
      <c r="L335" s="348"/>
      <c r="M335" s="348"/>
      <c r="N335" s="669" t="s">
        <v>821</v>
      </c>
      <c r="O335" s="328"/>
      <c r="P335" s="189"/>
      <c r="Q335" s="432"/>
      <c r="R335" s="584" t="s">
        <v>434</v>
      </c>
      <c r="S335" s="584" t="s">
        <v>1264</v>
      </c>
      <c r="U335" s="484" t="s">
        <v>2369</v>
      </c>
      <c r="V335" s="484" t="s">
        <v>3886</v>
      </c>
    </row>
    <row r="336" spans="6:22" ht="10.5" customHeight="1">
      <c r="F336" s="371"/>
      <c r="G336" s="348"/>
      <c r="H336" s="348"/>
      <c r="I336" s="348"/>
      <c r="J336" s="348"/>
      <c r="K336" s="348"/>
      <c r="L336" s="348"/>
      <c r="M336" s="348"/>
      <c r="N336" s="669" t="s">
        <v>822</v>
      </c>
      <c r="O336" s="328"/>
      <c r="P336" s="189"/>
      <c r="Q336" s="432"/>
      <c r="R336" s="671" t="s">
        <v>236</v>
      </c>
      <c r="S336" s="671" t="s">
        <v>702</v>
      </c>
      <c r="U336" s="484" t="s">
        <v>1704</v>
      </c>
      <c r="V336" s="484" t="s">
        <v>3886</v>
      </c>
    </row>
    <row r="337" spans="6:22" ht="10.5" customHeight="1">
      <c r="F337" s="371"/>
      <c r="G337" s="348"/>
      <c r="H337" s="348"/>
      <c r="I337" s="348"/>
      <c r="J337" s="348"/>
      <c r="K337" s="348"/>
      <c r="L337" s="348"/>
      <c r="M337" s="348"/>
      <c r="N337" s="669" t="s">
        <v>240</v>
      </c>
      <c r="O337" s="328"/>
      <c r="P337" s="189"/>
      <c r="Q337" s="432"/>
      <c r="R337" s="584" t="s">
        <v>2702</v>
      </c>
      <c r="S337" s="584" t="s">
        <v>2105</v>
      </c>
      <c r="U337" s="484" t="s">
        <v>1770</v>
      </c>
      <c r="V337" s="484" t="s">
        <v>3886</v>
      </c>
    </row>
    <row r="338" spans="6:22" ht="10.5" customHeight="1">
      <c r="F338" s="371"/>
      <c r="G338" s="348"/>
      <c r="H338" s="348"/>
      <c r="I338" s="348"/>
      <c r="J338" s="348"/>
      <c r="K338" s="348"/>
      <c r="L338" s="348"/>
      <c r="M338" s="348"/>
      <c r="N338" s="669" t="s">
        <v>242</v>
      </c>
      <c r="O338" s="328"/>
      <c r="P338" s="189"/>
      <c r="Q338" s="432"/>
      <c r="R338" s="584" t="s">
        <v>1759</v>
      </c>
      <c r="S338" s="584" t="s">
        <v>2606</v>
      </c>
      <c r="U338" s="484" t="s">
        <v>1127</v>
      </c>
      <c r="V338" s="484" t="s">
        <v>3886</v>
      </c>
    </row>
    <row r="339" spans="6:22" ht="10.5" customHeight="1">
      <c r="F339" s="371"/>
      <c r="G339" s="348"/>
      <c r="H339" s="348"/>
      <c r="I339" s="348"/>
      <c r="J339" s="348"/>
      <c r="K339" s="348"/>
      <c r="L339" s="348"/>
      <c r="M339" s="348"/>
      <c r="N339" s="669" t="s">
        <v>244</v>
      </c>
      <c r="O339" s="328"/>
      <c r="P339" s="189"/>
      <c r="Q339" s="432"/>
      <c r="R339" s="584" t="s">
        <v>2387</v>
      </c>
      <c r="S339" s="584" t="s">
        <v>692</v>
      </c>
      <c r="U339" s="484" t="s">
        <v>1777</v>
      </c>
      <c r="V339" s="484" t="s">
        <v>3886</v>
      </c>
    </row>
    <row r="340" spans="6:22" ht="10.5" customHeight="1">
      <c r="F340" s="371"/>
      <c r="G340" s="348"/>
      <c r="H340" s="348"/>
      <c r="I340" s="348"/>
      <c r="J340" s="348"/>
      <c r="K340" s="348"/>
      <c r="L340" s="348"/>
      <c r="M340" s="348"/>
      <c r="N340" s="669" t="s">
        <v>826</v>
      </c>
      <c r="O340" s="328"/>
      <c r="P340" s="189"/>
      <c r="Q340" s="432"/>
      <c r="R340" s="584" t="s">
        <v>2389</v>
      </c>
      <c r="S340" s="584" t="s">
        <v>1379</v>
      </c>
      <c r="U340" s="484" t="s">
        <v>1778</v>
      </c>
      <c r="V340" s="484" t="s">
        <v>3886</v>
      </c>
    </row>
    <row r="341" spans="6:22" ht="10.5" customHeight="1">
      <c r="F341" s="371"/>
      <c r="G341" s="348"/>
      <c r="H341" s="348"/>
      <c r="I341" s="348"/>
      <c r="J341" s="348"/>
      <c r="K341" s="348"/>
      <c r="L341" s="348"/>
      <c r="M341" s="348"/>
      <c r="N341" s="669" t="s">
        <v>827</v>
      </c>
      <c r="O341" s="328"/>
      <c r="P341" s="189"/>
      <c r="Q341" s="432"/>
      <c r="R341" s="584" t="s">
        <v>1040</v>
      </c>
      <c r="S341" s="584" t="s">
        <v>1529</v>
      </c>
      <c r="U341" s="484" t="s">
        <v>1780</v>
      </c>
      <c r="V341" s="484" t="s">
        <v>3886</v>
      </c>
    </row>
    <row r="342" spans="6:22" ht="10.5" customHeight="1">
      <c r="F342" s="371"/>
      <c r="G342" s="348"/>
      <c r="H342" s="348"/>
      <c r="I342" s="348"/>
      <c r="J342" s="348"/>
      <c r="K342" s="348"/>
      <c r="L342" s="348"/>
      <c r="M342" s="348"/>
      <c r="N342" s="669" t="s">
        <v>829</v>
      </c>
      <c r="O342" s="328"/>
      <c r="P342" s="189"/>
      <c r="Q342" s="432"/>
      <c r="R342" s="584" t="s">
        <v>596</v>
      </c>
      <c r="S342" s="584" t="s">
        <v>1395</v>
      </c>
      <c r="U342" s="484" t="s">
        <v>1783</v>
      </c>
      <c r="V342" s="484" t="s">
        <v>3886</v>
      </c>
    </row>
    <row r="343" spans="6:22" ht="10.5" customHeight="1">
      <c r="F343" s="371"/>
      <c r="G343" s="348"/>
      <c r="H343" s="348"/>
      <c r="I343" s="348"/>
      <c r="J343" s="348"/>
      <c r="K343" s="348"/>
      <c r="L343" s="348"/>
      <c r="M343" s="348"/>
      <c r="N343" s="669" t="s">
        <v>1630</v>
      </c>
      <c r="O343" s="328"/>
      <c r="P343" s="189"/>
      <c r="Q343" s="432"/>
      <c r="R343" s="584" t="s">
        <v>709</v>
      </c>
      <c r="S343" s="584" t="s">
        <v>324</v>
      </c>
      <c r="U343" s="484" t="s">
        <v>1785</v>
      </c>
      <c r="V343" s="484" t="s">
        <v>3886</v>
      </c>
    </row>
    <row r="344" spans="6:22" ht="10.5" customHeight="1">
      <c r="F344" s="371"/>
      <c r="G344" s="348"/>
      <c r="H344" s="348"/>
      <c r="I344" s="348"/>
      <c r="J344" s="348"/>
      <c r="K344" s="348"/>
      <c r="L344" s="348"/>
      <c r="M344" s="348"/>
      <c r="N344" s="669" t="s">
        <v>1278</v>
      </c>
      <c r="O344" s="328"/>
      <c r="P344" s="189"/>
      <c r="Q344" s="432"/>
      <c r="R344" s="584" t="s">
        <v>2504</v>
      </c>
      <c r="S344" s="584" t="s">
        <v>162</v>
      </c>
      <c r="U344" s="484" t="s">
        <v>1786</v>
      </c>
      <c r="V344" s="484" t="s">
        <v>3886</v>
      </c>
    </row>
    <row r="345" spans="6:22" ht="10.5" customHeight="1">
      <c r="F345" s="371"/>
      <c r="G345" s="348"/>
      <c r="H345" s="348"/>
      <c r="I345" s="348"/>
      <c r="J345" s="348"/>
      <c r="K345" s="348"/>
      <c r="L345" s="348"/>
      <c r="M345" s="348"/>
      <c r="N345" s="669" t="s">
        <v>1280</v>
      </c>
      <c r="O345" s="328"/>
      <c r="P345" s="189"/>
      <c r="Q345" s="432"/>
      <c r="R345" s="584" t="s">
        <v>229</v>
      </c>
      <c r="S345" s="584" t="s">
        <v>2605</v>
      </c>
      <c r="U345" s="484" t="s">
        <v>1788</v>
      </c>
      <c r="V345" s="484" t="s">
        <v>3886</v>
      </c>
    </row>
    <row r="346" spans="6:22" ht="10.5" customHeight="1">
      <c r="F346" s="371"/>
      <c r="G346" s="348"/>
      <c r="H346" s="348"/>
      <c r="I346" s="348"/>
      <c r="J346" s="348"/>
      <c r="K346" s="348"/>
      <c r="L346" s="348"/>
      <c r="M346" s="348"/>
      <c r="N346" s="669" t="s">
        <v>941</v>
      </c>
      <c r="O346" s="328"/>
      <c r="P346" s="189"/>
      <c r="Q346" s="432"/>
      <c r="R346" s="584" t="s">
        <v>694</v>
      </c>
      <c r="S346" s="584" t="s">
        <v>1713</v>
      </c>
      <c r="U346" s="484" t="s">
        <v>1792</v>
      </c>
      <c r="V346" s="484" t="s">
        <v>3886</v>
      </c>
    </row>
    <row r="347" spans="6:22" ht="10.5" customHeight="1">
      <c r="F347" s="371"/>
      <c r="G347" s="348"/>
      <c r="H347" s="348"/>
      <c r="I347" s="348"/>
      <c r="J347" s="348"/>
      <c r="K347" s="348"/>
      <c r="L347" s="348"/>
      <c r="M347" s="348"/>
      <c r="N347" s="669" t="s">
        <v>2583</v>
      </c>
      <c r="O347" s="328"/>
      <c r="P347" s="189"/>
      <c r="Q347" s="432"/>
      <c r="R347" s="584" t="s">
        <v>2474</v>
      </c>
      <c r="S347" s="584" t="s">
        <v>2603</v>
      </c>
      <c r="U347" s="484" t="s">
        <v>1793</v>
      </c>
      <c r="V347" s="484" t="s">
        <v>3886</v>
      </c>
    </row>
    <row r="348" spans="6:22" ht="10.5" customHeight="1">
      <c r="F348" s="371"/>
      <c r="G348" s="348"/>
      <c r="H348" s="348"/>
      <c r="I348" s="348"/>
      <c r="J348" s="348"/>
      <c r="K348" s="348"/>
      <c r="L348" s="348"/>
      <c r="M348" s="348"/>
      <c r="N348" s="669" t="s">
        <v>944</v>
      </c>
      <c r="O348" s="328"/>
      <c r="P348" s="189"/>
      <c r="Q348" s="432"/>
      <c r="R348" s="584" t="s">
        <v>241</v>
      </c>
      <c r="S348" s="584" t="s">
        <v>1595</v>
      </c>
      <c r="U348" s="484" t="s">
        <v>1794</v>
      </c>
      <c r="V348" s="484" t="s">
        <v>3886</v>
      </c>
    </row>
    <row r="349" spans="6:22" ht="10.5" customHeight="1">
      <c r="F349" s="371"/>
      <c r="G349" s="348"/>
      <c r="H349" s="348"/>
      <c r="I349" s="348"/>
      <c r="J349" s="348"/>
      <c r="K349" s="348"/>
      <c r="L349" s="348"/>
      <c r="M349" s="348"/>
      <c r="N349" s="669" t="s">
        <v>946</v>
      </c>
      <c r="O349" s="328"/>
      <c r="P349" s="189"/>
      <c r="Q349" s="432"/>
      <c r="R349" s="584" t="s">
        <v>1095</v>
      </c>
      <c r="S349" s="584" t="s">
        <v>1529</v>
      </c>
      <c r="U349" s="484" t="s">
        <v>108</v>
      </c>
      <c r="V349" s="484" t="s">
        <v>3886</v>
      </c>
    </row>
    <row r="350" spans="6:22" ht="10.5" customHeight="1">
      <c r="F350" s="371"/>
      <c r="G350" s="348"/>
      <c r="H350" s="348"/>
      <c r="I350" s="348"/>
      <c r="J350" s="348"/>
      <c r="K350" s="348"/>
      <c r="L350" s="348"/>
      <c r="M350" s="348"/>
      <c r="N350" s="669" t="s">
        <v>948</v>
      </c>
      <c r="O350" s="328"/>
      <c r="P350" s="189"/>
      <c r="Q350" s="432"/>
      <c r="R350" s="584" t="s">
        <v>243</v>
      </c>
      <c r="S350" s="584" t="s">
        <v>1141</v>
      </c>
      <c r="U350" s="484" t="s">
        <v>309</v>
      </c>
      <c r="V350" s="484" t="s">
        <v>3886</v>
      </c>
    </row>
    <row r="351" spans="6:22" ht="10.5" customHeight="1">
      <c r="F351" s="371"/>
      <c r="G351" s="348"/>
      <c r="H351" s="348"/>
      <c r="I351" s="348"/>
      <c r="J351" s="348"/>
      <c r="K351" s="348"/>
      <c r="L351" s="348"/>
      <c r="M351" s="348"/>
      <c r="N351" s="669" t="s">
        <v>950</v>
      </c>
      <c r="O351" s="328"/>
      <c r="P351" s="189"/>
      <c r="Q351" s="432"/>
      <c r="R351" s="584" t="s">
        <v>695</v>
      </c>
      <c r="S351" s="584" t="s">
        <v>331</v>
      </c>
      <c r="U351" s="484" t="s">
        <v>310</v>
      </c>
      <c r="V351" s="484" t="s">
        <v>3886</v>
      </c>
    </row>
    <row r="352" spans="6:22" ht="10.5" customHeight="1">
      <c r="F352" s="371"/>
      <c r="G352" s="348"/>
      <c r="H352" s="348"/>
      <c r="I352" s="348"/>
      <c r="J352" s="348"/>
      <c r="K352" s="348"/>
      <c r="L352" s="348"/>
      <c r="M352" s="348"/>
      <c r="N352" s="669" t="s">
        <v>952</v>
      </c>
      <c r="O352" s="328"/>
      <c r="P352" s="189"/>
      <c r="Q352" s="432"/>
      <c r="R352" s="584" t="s">
        <v>828</v>
      </c>
      <c r="S352" s="584" t="s">
        <v>695</v>
      </c>
      <c r="U352" s="484" t="s">
        <v>311</v>
      </c>
      <c r="V352" s="484" t="s">
        <v>3886</v>
      </c>
    </row>
    <row r="353" spans="6:22" ht="10.5" customHeight="1">
      <c r="F353" s="371"/>
      <c r="G353" s="348"/>
      <c r="H353" s="348"/>
      <c r="I353" s="348"/>
      <c r="J353" s="348"/>
      <c r="K353" s="348"/>
      <c r="L353" s="348"/>
      <c r="M353" s="348"/>
      <c r="N353" s="669" t="s">
        <v>714</v>
      </c>
      <c r="O353" s="328"/>
      <c r="P353" s="189"/>
      <c r="Q353" s="432"/>
      <c r="R353" s="584" t="s">
        <v>1277</v>
      </c>
      <c r="S353" s="584" t="s">
        <v>2611</v>
      </c>
      <c r="U353" s="484" t="s">
        <v>1617</v>
      </c>
      <c r="V353" s="484" t="s">
        <v>3886</v>
      </c>
    </row>
    <row r="354" spans="6:22" ht="10.5" customHeight="1">
      <c r="F354" s="371"/>
      <c r="G354" s="348"/>
      <c r="H354" s="348"/>
      <c r="I354" s="348"/>
      <c r="J354" s="348"/>
      <c r="K354" s="348"/>
      <c r="L354" s="348"/>
      <c r="M354" s="348"/>
      <c r="N354" s="669" t="s">
        <v>56</v>
      </c>
      <c r="O354" s="328"/>
      <c r="P354" s="189"/>
      <c r="Q354" s="432"/>
      <c r="R354" s="584" t="s">
        <v>1279</v>
      </c>
      <c r="S354" s="584" t="s">
        <v>324</v>
      </c>
      <c r="U354" s="484" t="s">
        <v>1618</v>
      </c>
      <c r="V354" s="484" t="s">
        <v>3886</v>
      </c>
    </row>
    <row r="355" spans="6:22" ht="10.5" customHeight="1">
      <c r="F355" s="371"/>
      <c r="G355" s="348"/>
      <c r="H355" s="348"/>
      <c r="I355" s="348"/>
      <c r="J355" s="348"/>
      <c r="K355" s="348"/>
      <c r="L355" s="348"/>
      <c r="M355" s="348"/>
      <c r="N355" s="669" t="s">
        <v>1005</v>
      </c>
      <c r="O355" s="328"/>
      <c r="P355" s="189"/>
      <c r="Q355" s="432"/>
      <c r="R355" s="584" t="s">
        <v>1281</v>
      </c>
      <c r="S355" s="584" t="s">
        <v>164</v>
      </c>
      <c r="U355" s="484" t="s">
        <v>1619</v>
      </c>
      <c r="V355" s="484" t="s">
        <v>3886</v>
      </c>
    </row>
    <row r="356" spans="6:22" ht="10.5" customHeight="1">
      <c r="F356" s="371"/>
      <c r="G356" s="348"/>
      <c r="H356" s="348"/>
      <c r="I356" s="348"/>
      <c r="J356" s="348"/>
      <c r="K356" s="348"/>
      <c r="L356" s="348"/>
      <c r="M356" s="348"/>
      <c r="N356" s="669" t="s">
        <v>1828</v>
      </c>
      <c r="O356" s="328"/>
      <c r="P356" s="189"/>
      <c r="Q356" s="432"/>
      <c r="R356" s="584" t="s">
        <v>942</v>
      </c>
      <c r="S356" s="584" t="s">
        <v>2350</v>
      </c>
      <c r="U356" s="484" t="s">
        <v>1624</v>
      </c>
      <c r="V356" s="484" t="s">
        <v>3886</v>
      </c>
    </row>
    <row r="357" spans="6:22" ht="10.5" customHeight="1">
      <c r="F357" s="371"/>
      <c r="G357" s="348"/>
      <c r="H357" s="348"/>
      <c r="I357" s="348"/>
      <c r="J357" s="348"/>
      <c r="K357" s="348"/>
      <c r="L357" s="348"/>
      <c r="M357" s="348"/>
      <c r="N357" s="669" t="s">
        <v>1045</v>
      </c>
      <c r="O357" s="328"/>
      <c r="P357" s="189"/>
      <c r="Q357" s="432"/>
      <c r="R357" s="584" t="s">
        <v>2584</v>
      </c>
      <c r="S357" s="584" t="s">
        <v>1974</v>
      </c>
      <c r="U357" s="484" t="s">
        <v>2496</v>
      </c>
      <c r="V357" s="484" t="s">
        <v>3886</v>
      </c>
    </row>
    <row r="358" spans="6:22" ht="10.5" customHeight="1">
      <c r="F358" s="371"/>
      <c r="G358" s="348"/>
      <c r="H358" s="348"/>
      <c r="I358" s="348"/>
      <c r="J358" s="348"/>
      <c r="K358" s="348"/>
      <c r="L358" s="348"/>
      <c r="M358" s="348"/>
      <c r="N358" s="669" t="s">
        <v>1046</v>
      </c>
      <c r="O358" s="328"/>
      <c r="P358" s="189"/>
      <c r="Q358" s="432"/>
      <c r="R358" s="584" t="s">
        <v>945</v>
      </c>
      <c r="S358" s="584" t="s">
        <v>2281</v>
      </c>
      <c r="U358" s="484" t="s">
        <v>875</v>
      </c>
      <c r="V358" s="484" t="s">
        <v>3886</v>
      </c>
    </row>
    <row r="359" spans="6:22" ht="10.5" customHeight="1">
      <c r="F359" s="371"/>
      <c r="G359" s="348"/>
      <c r="H359" s="348"/>
      <c r="I359" s="348"/>
      <c r="J359" s="348"/>
      <c r="K359" s="348"/>
      <c r="L359" s="348"/>
      <c r="M359" s="348"/>
      <c r="N359" s="669" t="s">
        <v>1048</v>
      </c>
      <c r="O359" s="328"/>
      <c r="P359" s="189"/>
      <c r="Q359" s="432"/>
      <c r="R359" s="671" t="s">
        <v>947</v>
      </c>
      <c r="S359" s="671" t="s">
        <v>1153</v>
      </c>
      <c r="U359" s="484" t="s">
        <v>877</v>
      </c>
      <c r="V359" s="484" t="s">
        <v>3886</v>
      </c>
    </row>
    <row r="360" spans="6:22" ht="10.5" customHeight="1">
      <c r="F360" s="371"/>
      <c r="G360" s="348"/>
      <c r="H360" s="348"/>
      <c r="I360" s="348"/>
      <c r="J360" s="348"/>
      <c r="K360" s="348"/>
      <c r="L360" s="348"/>
      <c r="M360" s="348"/>
      <c r="N360" s="669" t="s">
        <v>1027</v>
      </c>
      <c r="O360" s="328"/>
      <c r="P360" s="189"/>
      <c r="Q360" s="432"/>
      <c r="R360" s="584" t="s">
        <v>949</v>
      </c>
      <c r="S360" s="584" t="s">
        <v>699</v>
      </c>
    </row>
    <row r="361" spans="6:22" ht="10.5" customHeight="1">
      <c r="F361" s="371"/>
      <c r="G361" s="348"/>
      <c r="H361" s="348"/>
      <c r="I361" s="348"/>
      <c r="J361" s="348"/>
      <c r="K361" s="348"/>
      <c r="L361" s="348"/>
      <c r="M361" s="348"/>
      <c r="N361" s="669" t="s">
        <v>1029</v>
      </c>
      <c r="O361" s="328"/>
      <c r="P361" s="189"/>
      <c r="Q361" s="432"/>
      <c r="R361" s="584" t="s">
        <v>951</v>
      </c>
      <c r="S361" s="584" t="s">
        <v>324</v>
      </c>
    </row>
    <row r="362" spans="6:22" ht="10.5" customHeight="1">
      <c r="F362" s="371"/>
      <c r="G362" s="348"/>
      <c r="H362" s="348"/>
      <c r="I362" s="348"/>
      <c r="J362" s="348"/>
      <c r="K362" s="348"/>
      <c r="L362" s="348"/>
      <c r="M362" s="348"/>
      <c r="N362" s="669" t="s">
        <v>1031</v>
      </c>
      <c r="O362" s="328"/>
      <c r="P362" s="189"/>
      <c r="Q362" s="432"/>
      <c r="R362" s="584" t="s">
        <v>953</v>
      </c>
      <c r="S362" s="584" t="s">
        <v>1393</v>
      </c>
    </row>
    <row r="363" spans="6:22" ht="10.5" customHeight="1">
      <c r="F363" s="371"/>
      <c r="G363" s="348"/>
      <c r="H363" s="348"/>
      <c r="I363" s="348"/>
      <c r="J363" s="348"/>
      <c r="K363" s="348"/>
      <c r="L363" s="348"/>
      <c r="M363" s="348"/>
      <c r="N363" s="669" t="s">
        <v>1033</v>
      </c>
      <c r="O363" s="328"/>
      <c r="P363" s="189"/>
      <c r="Q363" s="432"/>
      <c r="R363" s="671" t="s">
        <v>715</v>
      </c>
      <c r="S363" s="671" t="s">
        <v>2285</v>
      </c>
    </row>
    <row r="364" spans="6:22" ht="10.5" customHeight="1">
      <c r="F364" s="371"/>
      <c r="G364" s="348"/>
      <c r="H364" s="348"/>
      <c r="I364" s="348"/>
      <c r="J364" s="348"/>
      <c r="K364" s="348"/>
      <c r="L364" s="348"/>
      <c r="M364" s="348"/>
      <c r="N364" s="669" t="s">
        <v>599</v>
      </c>
      <c r="O364" s="328"/>
      <c r="P364" s="189"/>
      <c r="Q364" s="432"/>
      <c r="R364" s="584" t="s">
        <v>57</v>
      </c>
      <c r="S364" s="584" t="s">
        <v>114</v>
      </c>
    </row>
    <row r="365" spans="6:22" ht="10.5" customHeight="1">
      <c r="F365" s="371"/>
      <c r="G365" s="348"/>
      <c r="H365" s="348"/>
      <c r="I365" s="348"/>
      <c r="J365" s="348"/>
      <c r="K365" s="348"/>
      <c r="L365" s="348"/>
      <c r="M365" s="348"/>
      <c r="N365" s="669" t="s">
        <v>385</v>
      </c>
      <c r="O365" s="328"/>
      <c r="P365" s="189"/>
      <c r="Q365" s="432"/>
      <c r="R365" s="584" t="s">
        <v>1006</v>
      </c>
      <c r="S365" s="584" t="s">
        <v>2106</v>
      </c>
    </row>
    <row r="366" spans="6:22" ht="10.5" customHeight="1">
      <c r="F366" s="371"/>
      <c r="G366" s="348"/>
      <c r="H366" s="348"/>
      <c r="I366" s="348"/>
      <c r="J366" s="348"/>
      <c r="K366" s="348"/>
      <c r="L366" s="348"/>
      <c r="M366" s="348"/>
      <c r="N366" s="669" t="s">
        <v>387</v>
      </c>
      <c r="O366" s="328"/>
      <c r="P366" s="189"/>
      <c r="Q366" s="432"/>
      <c r="R366" s="584" t="s">
        <v>702</v>
      </c>
      <c r="S366" s="584" t="s">
        <v>2515</v>
      </c>
    </row>
    <row r="367" spans="6:22" ht="10.5" customHeight="1">
      <c r="F367" s="371"/>
      <c r="G367" s="348"/>
      <c r="H367" s="348"/>
      <c r="I367" s="348"/>
      <c r="J367" s="348"/>
      <c r="K367" s="348"/>
      <c r="L367" s="348"/>
      <c r="M367" s="348"/>
      <c r="N367" s="669" t="s">
        <v>389</v>
      </c>
      <c r="O367" s="328"/>
      <c r="P367" s="189"/>
      <c r="Q367" s="432"/>
      <c r="R367" s="584" t="s">
        <v>1047</v>
      </c>
      <c r="S367" s="584" t="s">
        <v>1268</v>
      </c>
    </row>
    <row r="368" spans="6:22" ht="10.5" customHeight="1">
      <c r="F368" s="371"/>
      <c r="G368" s="348"/>
      <c r="H368" s="348"/>
      <c r="I368" s="348"/>
      <c r="J368" s="348"/>
      <c r="K368" s="348"/>
      <c r="L368" s="348"/>
      <c r="M368" s="348"/>
      <c r="N368" s="669" t="s">
        <v>626</v>
      </c>
      <c r="O368" s="328"/>
      <c r="P368" s="189"/>
      <c r="Q368" s="432"/>
      <c r="R368" s="584" t="s">
        <v>1049</v>
      </c>
      <c r="S368" s="584" t="s">
        <v>2657</v>
      </c>
    </row>
    <row r="369" spans="6:19" ht="10.5" customHeight="1">
      <c r="F369" s="371"/>
      <c r="G369" s="348"/>
      <c r="H369" s="348"/>
      <c r="I369" s="348"/>
      <c r="J369" s="348"/>
      <c r="K369" s="348"/>
      <c r="L369" s="348"/>
      <c r="M369" s="348"/>
      <c r="N369" s="669" t="s">
        <v>1486</v>
      </c>
      <c r="O369" s="328"/>
      <c r="P369" s="189"/>
      <c r="Q369" s="432"/>
      <c r="R369" s="671" t="s">
        <v>1028</v>
      </c>
      <c r="S369" s="671" t="s">
        <v>444</v>
      </c>
    </row>
    <row r="370" spans="6:19" ht="10.5" customHeight="1">
      <c r="F370" s="371"/>
      <c r="G370" s="348"/>
      <c r="H370" s="348"/>
      <c r="I370" s="348"/>
      <c r="J370" s="348"/>
      <c r="K370" s="348"/>
      <c r="L370" s="348"/>
      <c r="M370" s="348"/>
      <c r="N370" s="669" t="s">
        <v>1670</v>
      </c>
      <c r="O370" s="328"/>
      <c r="P370" s="189"/>
      <c r="Q370" s="432"/>
      <c r="R370" s="584" t="s">
        <v>1030</v>
      </c>
      <c r="S370" s="584" t="s">
        <v>123</v>
      </c>
    </row>
    <row r="371" spans="6:19" ht="10.5" customHeight="1">
      <c r="F371" s="371"/>
      <c r="G371" s="348"/>
      <c r="H371" s="348"/>
      <c r="I371" s="348"/>
      <c r="J371" s="348"/>
      <c r="K371" s="348"/>
      <c r="L371" s="348"/>
      <c r="M371" s="348"/>
      <c r="N371" s="669" t="s">
        <v>1055</v>
      </c>
      <c r="O371" s="328"/>
      <c r="P371" s="189"/>
      <c r="Q371" s="432"/>
      <c r="R371" s="584" t="s">
        <v>1032</v>
      </c>
      <c r="S371" s="584" t="s">
        <v>706</v>
      </c>
    </row>
    <row r="372" spans="6:19" ht="10.5" customHeight="1">
      <c r="F372" s="371"/>
      <c r="G372" s="348"/>
      <c r="H372" s="348"/>
      <c r="I372" s="348"/>
      <c r="J372" s="348"/>
      <c r="K372" s="348"/>
      <c r="L372" s="348"/>
      <c r="M372" s="348"/>
      <c r="N372" s="669" t="s">
        <v>1057</v>
      </c>
      <c r="O372" s="328"/>
      <c r="P372" s="189"/>
      <c r="Q372" s="432"/>
      <c r="R372" s="584" t="s">
        <v>1034</v>
      </c>
      <c r="S372" s="584" t="s">
        <v>1974</v>
      </c>
    </row>
    <row r="373" spans="6:19" ht="10.5" customHeight="1">
      <c r="F373" s="371"/>
      <c r="G373" s="348"/>
      <c r="H373" s="348"/>
      <c r="I373" s="348"/>
      <c r="J373" s="348"/>
      <c r="K373" s="348"/>
      <c r="L373" s="348"/>
      <c r="M373" s="348"/>
      <c r="N373" s="669" t="s">
        <v>1059</v>
      </c>
      <c r="O373" s="328"/>
      <c r="P373" s="189"/>
      <c r="Q373" s="432"/>
      <c r="R373" s="584" t="s">
        <v>1096</v>
      </c>
      <c r="S373" s="584" t="s">
        <v>658</v>
      </c>
    </row>
    <row r="374" spans="6:19" ht="10.5" customHeight="1">
      <c r="F374" s="371"/>
      <c r="G374" s="348"/>
      <c r="H374" s="348"/>
      <c r="I374" s="348"/>
      <c r="J374" s="348"/>
      <c r="K374" s="348"/>
      <c r="L374" s="348"/>
      <c r="M374" s="348"/>
      <c r="N374" s="669" t="s">
        <v>1760</v>
      </c>
      <c r="O374" s="328"/>
      <c r="P374" s="189"/>
      <c r="Q374" s="432"/>
      <c r="R374" s="584" t="s">
        <v>600</v>
      </c>
      <c r="S374" s="584" t="s">
        <v>2274</v>
      </c>
    </row>
    <row r="375" spans="6:19" ht="10.5" customHeight="1">
      <c r="F375" s="371"/>
      <c r="G375" s="348"/>
      <c r="H375" s="348"/>
      <c r="I375" s="348"/>
      <c r="J375" s="348"/>
      <c r="K375" s="348"/>
      <c r="L375" s="348"/>
      <c r="M375" s="348"/>
      <c r="N375" s="669" t="s">
        <v>1761</v>
      </c>
      <c r="O375" s="328"/>
      <c r="P375" s="189"/>
      <c r="Q375" s="432"/>
      <c r="R375" s="584" t="s">
        <v>386</v>
      </c>
      <c r="S375" s="584" t="s">
        <v>2654</v>
      </c>
    </row>
    <row r="376" spans="6:19" ht="10.5" customHeight="1">
      <c r="F376" s="371"/>
      <c r="G376" s="348"/>
      <c r="H376" s="348"/>
      <c r="I376" s="348"/>
      <c r="J376" s="348"/>
      <c r="K376" s="348"/>
      <c r="L376" s="348"/>
      <c r="M376" s="348"/>
      <c r="N376" s="669" t="s">
        <v>1762</v>
      </c>
      <c r="O376" s="328"/>
      <c r="P376" s="189"/>
      <c r="Q376" s="432"/>
      <c r="R376" s="584" t="s">
        <v>388</v>
      </c>
      <c r="S376" s="584" t="s">
        <v>1529</v>
      </c>
    </row>
    <row r="377" spans="6:19" ht="10.5" customHeight="1">
      <c r="F377" s="371"/>
      <c r="G377" s="348"/>
      <c r="H377" s="348"/>
      <c r="I377" s="348"/>
      <c r="J377" s="348"/>
      <c r="K377" s="348"/>
      <c r="L377" s="348"/>
      <c r="M377" s="348"/>
      <c r="N377" s="669" t="s">
        <v>904</v>
      </c>
      <c r="O377" s="328"/>
      <c r="P377" s="189"/>
      <c r="Q377" s="432"/>
      <c r="R377" s="584" t="s">
        <v>1097</v>
      </c>
      <c r="S377" s="584" t="s">
        <v>2007</v>
      </c>
    </row>
    <row r="378" spans="6:19" ht="10.5" customHeight="1">
      <c r="F378" s="371"/>
      <c r="G378" s="348"/>
      <c r="H378" s="348"/>
      <c r="I378" s="348"/>
      <c r="J378" s="348"/>
      <c r="K378" s="348"/>
      <c r="L378" s="348"/>
      <c r="M378" s="348"/>
      <c r="N378" s="669" t="s">
        <v>906</v>
      </c>
      <c r="O378" s="328"/>
      <c r="P378" s="189"/>
      <c r="Q378" s="432"/>
      <c r="R378" s="584" t="s">
        <v>390</v>
      </c>
      <c r="S378" s="584" t="s">
        <v>919</v>
      </c>
    </row>
    <row r="379" spans="6:19" ht="10.5" customHeight="1">
      <c r="F379" s="371"/>
      <c r="G379" s="348"/>
      <c r="H379" s="348"/>
      <c r="I379" s="348"/>
      <c r="J379" s="348"/>
      <c r="K379" s="348"/>
      <c r="L379" s="348"/>
      <c r="M379" s="348"/>
      <c r="N379" s="669" t="s">
        <v>908</v>
      </c>
      <c r="O379" s="328"/>
      <c r="P379" s="189"/>
      <c r="Q379" s="432"/>
      <c r="R379" s="584" t="s">
        <v>1487</v>
      </c>
      <c r="S379" s="584" t="s">
        <v>2352</v>
      </c>
    </row>
    <row r="380" spans="6:19" ht="10.5" customHeight="1">
      <c r="F380" s="371"/>
      <c r="G380" s="348"/>
      <c r="H380" s="348"/>
      <c r="I380" s="348"/>
      <c r="J380" s="348"/>
      <c r="K380" s="348"/>
      <c r="L380" s="348"/>
      <c r="M380" s="348"/>
      <c r="N380" s="669" t="s">
        <v>448</v>
      </c>
      <c r="O380" s="328"/>
      <c r="P380" s="189"/>
      <c r="Q380" s="432"/>
      <c r="R380" s="584" t="s">
        <v>1671</v>
      </c>
      <c r="S380" s="584" t="s">
        <v>180</v>
      </c>
    </row>
    <row r="381" spans="6:19" ht="10.5" customHeight="1">
      <c r="F381" s="371"/>
      <c r="G381" s="348"/>
      <c r="H381" s="348"/>
      <c r="I381" s="348"/>
      <c r="J381" s="348"/>
      <c r="K381" s="348"/>
      <c r="L381" s="348"/>
      <c r="M381" s="348"/>
      <c r="N381" s="669" t="s">
        <v>1808</v>
      </c>
      <c r="O381" s="328"/>
      <c r="P381" s="189"/>
      <c r="Q381" s="432"/>
      <c r="R381" s="584" t="s">
        <v>1056</v>
      </c>
      <c r="S381" s="584" t="s">
        <v>328</v>
      </c>
    </row>
    <row r="382" spans="6:19" ht="10.5" customHeight="1">
      <c r="F382" s="371"/>
      <c r="G382" s="348"/>
      <c r="H382" s="348"/>
      <c r="I382" s="348"/>
      <c r="J382" s="348"/>
      <c r="K382" s="348"/>
      <c r="L382" s="348"/>
      <c r="M382" s="348"/>
      <c r="N382" s="669" t="s">
        <v>2395</v>
      </c>
      <c r="O382" s="328"/>
      <c r="P382" s="189"/>
      <c r="Q382" s="432"/>
      <c r="R382" s="671" t="s">
        <v>1058</v>
      </c>
      <c r="S382" s="671" t="s">
        <v>332</v>
      </c>
    </row>
    <row r="383" spans="6:19" ht="10.5" customHeight="1">
      <c r="F383" s="371"/>
      <c r="G383" s="348"/>
      <c r="H383" s="348"/>
      <c r="I383" s="348"/>
      <c r="J383" s="348"/>
      <c r="K383" s="348"/>
      <c r="L383" s="348"/>
      <c r="M383" s="348"/>
      <c r="N383" s="669" t="s">
        <v>2101</v>
      </c>
      <c r="O383" s="328"/>
      <c r="P383" s="189"/>
      <c r="Q383" s="432"/>
      <c r="R383" s="584" t="s">
        <v>1098</v>
      </c>
      <c r="S383" s="584" t="s">
        <v>2103</v>
      </c>
    </row>
    <row r="384" spans="6:19" ht="10.5" customHeight="1">
      <c r="F384" s="371"/>
      <c r="G384" s="348"/>
      <c r="H384" s="348"/>
      <c r="I384" s="348"/>
      <c r="J384" s="348"/>
      <c r="K384" s="348"/>
      <c r="L384" s="348"/>
      <c r="M384" s="348"/>
      <c r="N384" s="669" t="s">
        <v>1081</v>
      </c>
      <c r="O384" s="328"/>
      <c r="P384" s="189"/>
      <c r="Q384" s="432"/>
      <c r="R384" s="584" t="s">
        <v>1060</v>
      </c>
      <c r="S384" s="584" t="s">
        <v>1264</v>
      </c>
    </row>
    <row r="385" spans="6:19" ht="10.5" customHeight="1">
      <c r="F385" s="371"/>
      <c r="G385" s="348"/>
      <c r="H385" s="348"/>
      <c r="I385" s="348"/>
      <c r="J385" s="348"/>
      <c r="K385" s="348"/>
      <c r="L385" s="348"/>
      <c r="M385" s="348"/>
      <c r="N385" s="669" t="s">
        <v>425</v>
      </c>
      <c r="O385" s="328"/>
      <c r="P385" s="189"/>
      <c r="Q385" s="432"/>
      <c r="R385" s="584" t="s">
        <v>327</v>
      </c>
      <c r="S385" s="584" t="s">
        <v>2657</v>
      </c>
    </row>
    <row r="386" spans="6:19" ht="10.5" customHeight="1">
      <c r="F386" s="371"/>
      <c r="G386" s="348"/>
      <c r="H386" s="348"/>
      <c r="I386" s="348"/>
      <c r="J386" s="348"/>
      <c r="K386" s="348"/>
      <c r="L386" s="348"/>
      <c r="M386" s="348"/>
      <c r="N386" s="669" t="s">
        <v>427</v>
      </c>
      <c r="O386" s="328"/>
      <c r="P386" s="189"/>
      <c r="Q386" s="432"/>
      <c r="R386" s="584" t="s">
        <v>3244</v>
      </c>
      <c r="S386" s="584" t="s">
        <v>1870</v>
      </c>
    </row>
    <row r="387" spans="6:19" ht="10.5" customHeight="1">
      <c r="F387" s="371"/>
      <c r="G387" s="348"/>
      <c r="H387" s="348"/>
      <c r="I387" s="348"/>
      <c r="J387" s="348"/>
      <c r="K387" s="348"/>
      <c r="L387" s="348"/>
      <c r="M387" s="348"/>
      <c r="N387" s="669" t="s">
        <v>428</v>
      </c>
      <c r="O387" s="328"/>
      <c r="P387" s="189"/>
      <c r="Q387" s="432"/>
      <c r="R387" s="584" t="s">
        <v>1763</v>
      </c>
      <c r="S387" s="584" t="s">
        <v>2654</v>
      </c>
    </row>
    <row r="388" spans="6:19" ht="10.5" customHeight="1">
      <c r="F388" s="371"/>
      <c r="G388" s="348"/>
      <c r="H388" s="348"/>
      <c r="I388" s="348"/>
      <c r="J388" s="348"/>
      <c r="K388" s="348"/>
      <c r="L388" s="348"/>
      <c r="M388" s="348"/>
      <c r="N388" s="669" t="s">
        <v>2039</v>
      </c>
      <c r="O388" s="328"/>
      <c r="P388" s="189"/>
      <c r="Q388" s="432"/>
      <c r="R388" s="584" t="s">
        <v>905</v>
      </c>
      <c r="S388" s="584" t="s">
        <v>108</v>
      </c>
    </row>
    <row r="389" spans="6:19" ht="10.5" customHeight="1">
      <c r="F389" s="371"/>
      <c r="G389" s="348"/>
      <c r="H389" s="348"/>
      <c r="I389" s="348"/>
      <c r="J389" s="348"/>
      <c r="K389" s="348"/>
      <c r="L389" s="348"/>
      <c r="M389" s="348"/>
      <c r="N389" s="669" t="s">
        <v>513</v>
      </c>
      <c r="O389" s="328"/>
      <c r="P389" s="189"/>
      <c r="Q389" s="432"/>
      <c r="R389" s="584" t="s">
        <v>907</v>
      </c>
      <c r="S389" s="584" t="s">
        <v>329</v>
      </c>
    </row>
    <row r="390" spans="6:19" ht="10.5" customHeight="1">
      <c r="F390" s="371"/>
      <c r="G390" s="348"/>
      <c r="H390" s="348"/>
      <c r="I390" s="348"/>
      <c r="J390" s="348"/>
      <c r="K390" s="348"/>
      <c r="L390" s="348"/>
      <c r="M390" s="348"/>
      <c r="N390" s="669" t="s">
        <v>2262</v>
      </c>
      <c r="O390" s="328"/>
      <c r="P390" s="189"/>
      <c r="Q390" s="432"/>
      <c r="R390" s="584" t="s">
        <v>1827</v>
      </c>
      <c r="S390" s="584" t="s">
        <v>1149</v>
      </c>
    </row>
    <row r="391" spans="6:19" ht="10.5" customHeight="1">
      <c r="F391" s="371"/>
      <c r="G391" s="348"/>
      <c r="H391" s="348"/>
      <c r="I391" s="348"/>
      <c r="J391" s="348"/>
      <c r="K391" s="348"/>
      <c r="L391" s="348"/>
      <c r="M391" s="348"/>
      <c r="N391" s="669" t="s">
        <v>1724</v>
      </c>
      <c r="O391" s="328"/>
      <c r="P391" s="189"/>
      <c r="Q391" s="432"/>
      <c r="R391" s="584" t="s">
        <v>661</v>
      </c>
      <c r="S391" s="584" t="s">
        <v>339</v>
      </c>
    </row>
    <row r="392" spans="6:19" ht="10.5" customHeight="1">
      <c r="F392" s="371"/>
      <c r="G392" s="348"/>
      <c r="H392" s="348"/>
      <c r="I392" s="348"/>
      <c r="J392" s="348"/>
      <c r="K392" s="348"/>
      <c r="L392" s="348"/>
      <c r="M392" s="348"/>
      <c r="N392" s="669" t="s">
        <v>1726</v>
      </c>
      <c r="O392" s="328"/>
      <c r="P392" s="189"/>
      <c r="Q392" s="432"/>
      <c r="R392" s="584" t="s">
        <v>1809</v>
      </c>
      <c r="S392" s="584" t="s">
        <v>116</v>
      </c>
    </row>
    <row r="393" spans="6:19" ht="10.5" customHeight="1">
      <c r="F393" s="371"/>
      <c r="G393" s="348"/>
      <c r="H393" s="348"/>
      <c r="I393" s="348"/>
      <c r="J393" s="348"/>
      <c r="K393" s="348"/>
      <c r="L393" s="348"/>
      <c r="M393" s="348"/>
      <c r="N393" s="669" t="s">
        <v>319</v>
      </c>
      <c r="O393" s="328"/>
      <c r="P393" s="189"/>
      <c r="Q393" s="432"/>
      <c r="R393" s="584" t="s">
        <v>2396</v>
      </c>
      <c r="S393" s="584" t="s">
        <v>913</v>
      </c>
    </row>
    <row r="394" spans="6:19" ht="10.5" customHeight="1">
      <c r="F394" s="371"/>
      <c r="G394" s="348"/>
      <c r="H394" s="348"/>
      <c r="I394" s="348"/>
      <c r="J394" s="348"/>
      <c r="K394" s="348"/>
      <c r="L394" s="348"/>
      <c r="M394" s="348"/>
      <c r="N394" s="669" t="s">
        <v>321</v>
      </c>
      <c r="O394" s="328"/>
      <c r="P394" s="189"/>
      <c r="Q394" s="432"/>
      <c r="R394" s="584" t="s">
        <v>3245</v>
      </c>
      <c r="S394" s="584" t="s">
        <v>164</v>
      </c>
    </row>
    <row r="395" spans="6:19" ht="10.5" customHeight="1">
      <c r="F395" s="371"/>
      <c r="G395" s="348"/>
      <c r="H395" s="348"/>
      <c r="I395" s="348"/>
      <c r="J395" s="348"/>
      <c r="K395" s="348"/>
      <c r="L395" s="348"/>
      <c r="M395" s="348"/>
      <c r="N395" s="669" t="s">
        <v>985</v>
      </c>
      <c r="O395" s="328"/>
      <c r="P395" s="189"/>
      <c r="Q395" s="432"/>
      <c r="R395" s="584" t="s">
        <v>2102</v>
      </c>
      <c r="S395" s="584" t="s">
        <v>1159</v>
      </c>
    </row>
    <row r="396" spans="6:19" ht="10.5" customHeight="1">
      <c r="F396" s="371"/>
      <c r="G396" s="348"/>
      <c r="H396" s="348"/>
      <c r="I396" s="348"/>
      <c r="J396" s="348"/>
      <c r="K396" s="348"/>
      <c r="L396" s="348"/>
      <c r="M396" s="348"/>
      <c r="N396" s="669" t="s">
        <v>2429</v>
      </c>
      <c r="O396" s="328"/>
      <c r="P396" s="189"/>
      <c r="Q396" s="432"/>
      <c r="R396" s="671" t="s">
        <v>3246</v>
      </c>
      <c r="S396" s="671" t="s">
        <v>332</v>
      </c>
    </row>
    <row r="397" spans="6:19" ht="10.5" customHeight="1">
      <c r="F397" s="371"/>
      <c r="G397" s="348"/>
      <c r="H397" s="348"/>
      <c r="I397" s="348"/>
      <c r="J397" s="348"/>
      <c r="K397" s="348"/>
      <c r="L397" s="348"/>
      <c r="M397" s="348"/>
      <c r="N397" s="669" t="s">
        <v>2430</v>
      </c>
      <c r="O397" s="328"/>
      <c r="P397" s="189"/>
      <c r="Q397" s="432"/>
      <c r="R397" s="584" t="s">
        <v>1082</v>
      </c>
      <c r="S397" s="584" t="s">
        <v>2007</v>
      </c>
    </row>
    <row r="398" spans="6:19" ht="10.5" customHeight="1">
      <c r="F398" s="371"/>
      <c r="G398" s="348"/>
      <c r="H398" s="348"/>
      <c r="I398" s="348"/>
      <c r="J398" s="348"/>
      <c r="K398" s="348"/>
      <c r="L398" s="348"/>
      <c r="M398" s="348"/>
      <c r="N398" s="669" t="s">
        <v>2411</v>
      </c>
      <c r="O398" s="328"/>
      <c r="P398" s="189"/>
      <c r="Q398" s="432"/>
      <c r="R398" s="671" t="s">
        <v>426</v>
      </c>
      <c r="S398" s="671" t="s">
        <v>189</v>
      </c>
    </row>
    <row r="399" spans="6:19" ht="10.5" customHeight="1">
      <c r="F399" s="371"/>
      <c r="G399" s="348"/>
      <c r="H399" s="348"/>
      <c r="I399" s="348"/>
      <c r="J399" s="348"/>
      <c r="K399" s="348"/>
      <c r="L399" s="348"/>
      <c r="M399" s="348"/>
      <c r="N399" s="669" t="s">
        <v>2412</v>
      </c>
      <c r="O399" s="328"/>
      <c r="P399" s="189"/>
      <c r="Q399" s="432"/>
      <c r="R399" s="584" t="s">
        <v>1099</v>
      </c>
      <c r="S399" s="584" t="s">
        <v>1146</v>
      </c>
    </row>
    <row r="400" spans="6:19" ht="10.5" customHeight="1">
      <c r="F400" s="371"/>
      <c r="G400" s="348"/>
      <c r="H400" s="348"/>
      <c r="I400" s="348"/>
      <c r="J400" s="348"/>
      <c r="K400" s="348"/>
      <c r="L400" s="348"/>
      <c r="M400" s="348"/>
      <c r="N400" s="669" t="s">
        <v>2414</v>
      </c>
      <c r="O400" s="328"/>
      <c r="P400" s="189"/>
      <c r="Q400" s="432"/>
      <c r="R400" s="671" t="s">
        <v>429</v>
      </c>
      <c r="S400" s="671" t="s">
        <v>2270</v>
      </c>
    </row>
    <row r="401" spans="6:19" ht="10.5" customHeight="1">
      <c r="F401" s="371"/>
      <c r="G401" s="348"/>
      <c r="H401" s="348"/>
      <c r="I401" s="348"/>
      <c r="J401" s="348"/>
      <c r="K401" s="348"/>
      <c r="L401" s="348"/>
      <c r="M401" s="348"/>
      <c r="N401" s="669" t="s">
        <v>532</v>
      </c>
      <c r="O401" s="328"/>
      <c r="P401" s="189"/>
      <c r="Q401" s="432"/>
      <c r="R401" s="584" t="s">
        <v>2040</v>
      </c>
      <c r="S401" s="584" t="s">
        <v>1529</v>
      </c>
    </row>
    <row r="402" spans="6:19" ht="10.5" customHeight="1">
      <c r="F402" s="371"/>
      <c r="G402" s="348"/>
      <c r="H402" s="348"/>
      <c r="I402" s="348"/>
      <c r="J402" s="348"/>
      <c r="K402" s="348"/>
      <c r="L402" s="348"/>
      <c r="M402" s="348"/>
      <c r="N402" s="669" t="s">
        <v>191</v>
      </c>
      <c r="O402" s="328"/>
      <c r="P402" s="189"/>
      <c r="Q402" s="432"/>
      <c r="R402" s="584" t="s">
        <v>514</v>
      </c>
      <c r="S402" s="584" t="s">
        <v>2719</v>
      </c>
    </row>
    <row r="403" spans="6:19" ht="10.5" customHeight="1">
      <c r="F403" s="371"/>
      <c r="G403" s="348"/>
      <c r="H403" s="348"/>
      <c r="I403" s="348"/>
      <c r="J403" s="348"/>
      <c r="K403" s="348"/>
      <c r="L403" s="348"/>
      <c r="M403" s="348"/>
      <c r="N403" s="669" t="s">
        <v>2214</v>
      </c>
      <c r="O403" s="328"/>
      <c r="P403" s="189"/>
      <c r="Q403" s="432"/>
      <c r="R403" s="584" t="s">
        <v>2263</v>
      </c>
      <c r="S403" s="584" t="s">
        <v>1387</v>
      </c>
    </row>
    <row r="404" spans="6:19" ht="10.5" customHeight="1">
      <c r="F404" s="371"/>
      <c r="G404" s="348"/>
      <c r="H404" s="348"/>
      <c r="I404" s="348"/>
      <c r="J404" s="348"/>
      <c r="K404" s="348"/>
      <c r="L404" s="348"/>
      <c r="M404" s="348"/>
      <c r="N404" s="669" t="s">
        <v>2072</v>
      </c>
      <c r="O404" s="328"/>
      <c r="P404" s="189"/>
      <c r="Q404" s="432"/>
      <c r="R404" s="584" t="s">
        <v>1725</v>
      </c>
      <c r="S404" s="584" t="s">
        <v>2011</v>
      </c>
    </row>
    <row r="405" spans="6:19" ht="10.5" customHeight="1">
      <c r="F405" s="371"/>
      <c r="G405" s="348"/>
      <c r="H405" s="348"/>
      <c r="I405" s="348"/>
      <c r="J405" s="348"/>
      <c r="K405" s="348"/>
      <c r="L405" s="348"/>
      <c r="M405" s="348"/>
      <c r="N405" s="669" t="s">
        <v>2074</v>
      </c>
      <c r="O405" s="328"/>
      <c r="P405" s="189"/>
      <c r="Q405" s="432"/>
      <c r="R405" s="584" t="s">
        <v>1727</v>
      </c>
      <c r="S405" s="584" t="s">
        <v>169</v>
      </c>
    </row>
    <row r="406" spans="6:19" ht="10.5" customHeight="1">
      <c r="F406" s="371"/>
      <c r="G406" s="348"/>
      <c r="H406" s="348"/>
      <c r="I406" s="348"/>
      <c r="J406" s="348"/>
      <c r="K406" s="348"/>
      <c r="L406" s="348"/>
      <c r="M406" s="348"/>
      <c r="N406" s="669" t="s">
        <v>1199</v>
      </c>
      <c r="O406" s="328"/>
      <c r="P406" s="189"/>
      <c r="Q406" s="432"/>
      <c r="R406" s="584" t="s">
        <v>320</v>
      </c>
      <c r="S406" s="584" t="s">
        <v>162</v>
      </c>
    </row>
    <row r="407" spans="6:19" ht="10.5" customHeight="1">
      <c r="F407" s="371"/>
      <c r="G407" s="348"/>
      <c r="H407" s="348"/>
      <c r="I407" s="348"/>
      <c r="J407" s="348"/>
      <c r="K407" s="348"/>
      <c r="L407" s="348"/>
      <c r="M407" s="348"/>
      <c r="N407" s="669" t="s">
        <v>1201</v>
      </c>
      <c r="O407" s="328"/>
      <c r="P407" s="189"/>
      <c r="Q407" s="432"/>
      <c r="R407" s="584" t="s">
        <v>322</v>
      </c>
      <c r="S407" s="584" t="s">
        <v>1374</v>
      </c>
    </row>
    <row r="408" spans="6:19" ht="10.5" customHeight="1">
      <c r="F408" s="371"/>
      <c r="G408" s="348"/>
      <c r="H408" s="348"/>
      <c r="I408" s="348"/>
      <c r="J408" s="348"/>
      <c r="K408" s="348"/>
      <c r="L408" s="348"/>
      <c r="M408" s="348"/>
      <c r="N408" s="669" t="s">
        <v>1163</v>
      </c>
      <c r="O408" s="328"/>
      <c r="P408" s="189"/>
      <c r="Q408" s="432"/>
      <c r="R408" s="584" t="s">
        <v>986</v>
      </c>
      <c r="S408" s="584" t="s">
        <v>2606</v>
      </c>
    </row>
    <row r="409" spans="6:19" ht="10.5" customHeight="1">
      <c r="F409" s="371"/>
      <c r="G409" s="348"/>
      <c r="H409" s="348"/>
      <c r="I409" s="348"/>
      <c r="J409" s="348"/>
      <c r="K409" s="348"/>
      <c r="L409" s="348"/>
      <c r="M409" s="348"/>
      <c r="N409" s="669" t="s">
        <v>1164</v>
      </c>
      <c r="O409" s="328"/>
      <c r="P409" s="189"/>
      <c r="Q409" s="432"/>
      <c r="R409" s="584" t="s">
        <v>2431</v>
      </c>
      <c r="S409" s="584" t="s">
        <v>336</v>
      </c>
    </row>
    <row r="410" spans="6:19" ht="10.5" customHeight="1">
      <c r="F410" s="371"/>
      <c r="G410" s="348"/>
      <c r="H410" s="348"/>
      <c r="I410" s="348"/>
      <c r="J410" s="348"/>
      <c r="K410" s="348"/>
      <c r="L410" s="348"/>
      <c r="M410" s="348"/>
      <c r="N410" s="669" t="s">
        <v>74</v>
      </c>
      <c r="O410" s="328"/>
      <c r="P410" s="189"/>
      <c r="Q410" s="432"/>
      <c r="R410" s="584" t="s">
        <v>3247</v>
      </c>
      <c r="S410" s="584" t="s">
        <v>2287</v>
      </c>
    </row>
    <row r="411" spans="6:19" ht="10.5" customHeight="1">
      <c r="F411" s="371"/>
      <c r="G411" s="348"/>
      <c r="H411" s="348"/>
      <c r="I411" s="348"/>
      <c r="J411" s="348"/>
      <c r="K411" s="348"/>
      <c r="L411" s="348"/>
      <c r="M411" s="348"/>
      <c r="N411" s="669" t="s">
        <v>381</v>
      </c>
      <c r="O411" s="328"/>
      <c r="P411" s="189"/>
      <c r="Q411" s="432"/>
      <c r="R411" s="673" t="s">
        <v>2413</v>
      </c>
      <c r="S411" s="584" t="s">
        <v>184</v>
      </c>
    </row>
    <row r="412" spans="6:19" ht="10.5" customHeight="1">
      <c r="F412" s="371"/>
      <c r="G412" s="348"/>
      <c r="H412" s="348"/>
      <c r="I412" s="348"/>
      <c r="J412" s="348"/>
      <c r="K412" s="348"/>
      <c r="L412" s="348"/>
      <c r="M412" s="348"/>
      <c r="N412" s="669" t="s">
        <v>2357</v>
      </c>
      <c r="O412" s="328"/>
      <c r="P412" s="189"/>
      <c r="Q412" s="432"/>
      <c r="R412" s="584" t="s">
        <v>2415</v>
      </c>
      <c r="S412" s="584" t="s">
        <v>1384</v>
      </c>
    </row>
    <row r="413" spans="6:19" ht="10.5" customHeight="1">
      <c r="F413" s="371"/>
      <c r="G413" s="348"/>
      <c r="H413" s="348"/>
      <c r="I413" s="348"/>
      <c r="J413" s="348"/>
      <c r="K413" s="348"/>
      <c r="L413" s="348"/>
      <c r="M413" s="348"/>
      <c r="N413" s="669" t="s">
        <v>1908</v>
      </c>
      <c r="O413" s="328"/>
      <c r="P413" s="189"/>
      <c r="Q413" s="432"/>
      <c r="R413" s="584" t="s">
        <v>533</v>
      </c>
      <c r="S413" s="584" t="s">
        <v>184</v>
      </c>
    </row>
    <row r="414" spans="6:19" ht="10.5" customHeight="1">
      <c r="F414" s="371"/>
      <c r="G414" s="348"/>
      <c r="H414" s="348"/>
      <c r="I414" s="348"/>
      <c r="J414" s="348"/>
      <c r="K414" s="348"/>
      <c r="L414" s="348"/>
      <c r="M414" s="348"/>
      <c r="N414" s="669" t="s">
        <v>1842</v>
      </c>
      <c r="O414" s="328"/>
      <c r="P414" s="189"/>
      <c r="Q414" s="432"/>
      <c r="R414" s="584" t="s">
        <v>1100</v>
      </c>
      <c r="S414" s="584" t="s">
        <v>1595</v>
      </c>
    </row>
    <row r="415" spans="6:19" ht="10.5" customHeight="1">
      <c r="F415" s="371"/>
      <c r="G415" s="348"/>
      <c r="H415" s="348"/>
      <c r="I415" s="348"/>
      <c r="J415" s="348"/>
      <c r="K415" s="348"/>
      <c r="L415" s="348"/>
      <c r="M415" s="348"/>
      <c r="N415" s="669" t="s">
        <v>286</v>
      </c>
      <c r="O415" s="328"/>
      <c r="P415" s="189"/>
      <c r="Q415" s="432"/>
      <c r="R415" s="584" t="s">
        <v>192</v>
      </c>
      <c r="S415" s="584" t="s">
        <v>2272</v>
      </c>
    </row>
    <row r="416" spans="6:19" ht="10.5" customHeight="1">
      <c r="F416" s="371"/>
      <c r="G416" s="348"/>
      <c r="H416" s="348"/>
      <c r="I416" s="348"/>
      <c r="J416" s="348"/>
      <c r="K416" s="348"/>
      <c r="L416" s="348"/>
      <c r="M416" s="348"/>
      <c r="N416" s="669" t="s">
        <v>2464</v>
      </c>
      <c r="O416" s="328"/>
      <c r="P416" s="189"/>
      <c r="Q416" s="432"/>
      <c r="R416" s="671" t="s">
        <v>1101</v>
      </c>
      <c r="S416" s="671" t="s">
        <v>2605</v>
      </c>
    </row>
    <row r="417" spans="6:19" ht="10.5" customHeight="1">
      <c r="F417" s="371"/>
      <c r="G417" s="348"/>
      <c r="H417" s="348"/>
      <c r="I417" s="348"/>
      <c r="J417" s="348"/>
      <c r="K417" s="348"/>
      <c r="L417" s="348"/>
      <c r="M417" s="348"/>
      <c r="N417" s="669" t="s">
        <v>490</v>
      </c>
      <c r="O417" s="328"/>
      <c r="P417" s="189"/>
      <c r="Q417" s="432"/>
      <c r="R417" s="584" t="s">
        <v>2071</v>
      </c>
      <c r="S417" s="584" t="s">
        <v>2515</v>
      </c>
    </row>
    <row r="418" spans="6:19" ht="10.5" customHeight="1">
      <c r="F418" s="371"/>
      <c r="G418" s="348"/>
      <c r="H418" s="348"/>
      <c r="I418" s="348"/>
      <c r="J418" s="348"/>
      <c r="K418" s="348"/>
      <c r="L418" s="348"/>
      <c r="M418" s="348"/>
      <c r="N418" s="669" t="s">
        <v>491</v>
      </c>
      <c r="O418" s="328"/>
      <c r="P418" s="189"/>
      <c r="Q418" s="432"/>
      <c r="R418" s="584" t="s">
        <v>1102</v>
      </c>
      <c r="S418" s="584" t="s">
        <v>164</v>
      </c>
    </row>
    <row r="419" spans="6:19" ht="10.5" customHeight="1">
      <c r="F419" s="371"/>
      <c r="G419" s="348"/>
      <c r="H419" s="348"/>
      <c r="I419" s="348"/>
      <c r="J419" s="348"/>
      <c r="K419" s="348"/>
      <c r="L419" s="348"/>
      <c r="M419" s="348"/>
      <c r="N419" s="669" t="s">
        <v>493</v>
      </c>
      <c r="O419" s="328"/>
      <c r="P419" s="189"/>
      <c r="Q419" s="432"/>
      <c r="R419" s="584" t="s">
        <v>2073</v>
      </c>
      <c r="S419" s="584" t="s">
        <v>2515</v>
      </c>
    </row>
    <row r="420" spans="6:19" ht="10.5" customHeight="1">
      <c r="F420" s="371"/>
      <c r="G420" s="348"/>
      <c r="H420" s="348"/>
      <c r="I420" s="348"/>
      <c r="J420" s="348"/>
      <c r="K420" s="348"/>
      <c r="L420" s="348"/>
      <c r="M420" s="348"/>
      <c r="N420" s="669" t="s">
        <v>495</v>
      </c>
      <c r="O420" s="328"/>
      <c r="P420" s="189"/>
      <c r="Q420" s="432"/>
      <c r="R420" s="584" t="s">
        <v>336</v>
      </c>
      <c r="S420" s="584" t="s">
        <v>1395</v>
      </c>
    </row>
    <row r="421" spans="6:19" ht="10.5" customHeight="1">
      <c r="F421" s="371"/>
      <c r="G421" s="348"/>
      <c r="H421" s="348"/>
      <c r="I421" s="348"/>
      <c r="J421" s="348"/>
      <c r="K421" s="348"/>
      <c r="L421" s="348"/>
      <c r="M421" s="348"/>
      <c r="N421" s="669" t="s">
        <v>1299</v>
      </c>
      <c r="O421" s="328"/>
      <c r="P421" s="189"/>
      <c r="Q421" s="432"/>
      <c r="R421" s="584" t="s">
        <v>1200</v>
      </c>
      <c r="S421" s="584" t="s">
        <v>913</v>
      </c>
    </row>
    <row r="422" spans="6:19" ht="10.5" customHeight="1">
      <c r="F422" s="371"/>
      <c r="G422" s="348"/>
      <c r="H422" s="348"/>
      <c r="I422" s="348"/>
      <c r="J422" s="348"/>
      <c r="K422" s="348"/>
      <c r="L422" s="348"/>
      <c r="M422" s="348"/>
      <c r="N422" s="669" t="s">
        <v>1301</v>
      </c>
      <c r="O422" s="328"/>
      <c r="P422" s="189"/>
      <c r="Q422" s="432"/>
      <c r="R422" s="584" t="s">
        <v>1162</v>
      </c>
      <c r="S422" s="584" t="s">
        <v>916</v>
      </c>
    </row>
    <row r="423" spans="6:19" ht="10.5" customHeight="1">
      <c r="F423" s="371"/>
      <c r="G423" s="348"/>
      <c r="H423" s="348"/>
      <c r="I423" s="348"/>
      <c r="J423" s="348"/>
      <c r="K423" s="348"/>
      <c r="L423" s="348"/>
      <c r="M423" s="348"/>
      <c r="N423" s="669" t="s">
        <v>2091</v>
      </c>
      <c r="O423" s="328"/>
      <c r="P423" s="189"/>
      <c r="Q423" s="432"/>
      <c r="R423" s="584" t="s">
        <v>338</v>
      </c>
      <c r="S423" s="584" t="s">
        <v>1143</v>
      </c>
    </row>
    <row r="424" spans="6:19" ht="10.5" customHeight="1">
      <c r="F424" s="371"/>
      <c r="G424" s="348"/>
      <c r="H424" s="348"/>
      <c r="I424" s="348"/>
      <c r="J424" s="348"/>
      <c r="K424" s="348"/>
      <c r="L424" s="348"/>
      <c r="M424" s="348"/>
      <c r="N424" s="669" t="s">
        <v>2092</v>
      </c>
      <c r="O424" s="328"/>
      <c r="P424" s="189"/>
      <c r="Q424" s="432"/>
      <c r="R424" s="584" t="s">
        <v>341</v>
      </c>
      <c r="S424" s="584" t="s">
        <v>336</v>
      </c>
    </row>
    <row r="425" spans="6:19" ht="10.5" customHeight="1">
      <c r="F425" s="371"/>
      <c r="G425" s="348"/>
      <c r="H425" s="348"/>
      <c r="I425" s="348"/>
      <c r="J425" s="348"/>
      <c r="K425" s="348"/>
      <c r="L425" s="348"/>
      <c r="M425" s="348"/>
      <c r="N425" s="669" t="s">
        <v>77</v>
      </c>
      <c r="O425" s="328"/>
      <c r="P425" s="189"/>
      <c r="Q425" s="432"/>
      <c r="R425" s="671" t="s">
        <v>75</v>
      </c>
      <c r="S425" s="671" t="s">
        <v>2015</v>
      </c>
    </row>
    <row r="426" spans="6:19" ht="10.5" customHeight="1">
      <c r="F426" s="371"/>
      <c r="G426" s="348"/>
      <c r="H426" s="348"/>
      <c r="I426" s="348"/>
      <c r="J426" s="348"/>
      <c r="K426" s="348"/>
      <c r="L426" s="348"/>
      <c r="M426" s="348"/>
      <c r="N426" s="669" t="s">
        <v>79</v>
      </c>
      <c r="O426" s="328"/>
      <c r="P426" s="189"/>
      <c r="Q426" s="432"/>
      <c r="R426" s="671" t="s">
        <v>2358</v>
      </c>
      <c r="S426" s="671" t="s">
        <v>1395</v>
      </c>
    </row>
    <row r="427" spans="6:19" ht="10.5" customHeight="1">
      <c r="F427" s="371"/>
      <c r="G427" s="348"/>
      <c r="H427" s="348"/>
      <c r="I427" s="348"/>
      <c r="J427" s="348"/>
      <c r="K427" s="348"/>
      <c r="L427" s="348"/>
      <c r="M427" s="348"/>
      <c r="N427" s="669" t="s">
        <v>2531</v>
      </c>
      <c r="O427" s="328"/>
      <c r="P427" s="189"/>
      <c r="Q427" s="432"/>
      <c r="R427" s="584" t="s">
        <v>1841</v>
      </c>
      <c r="S427" s="584" t="s">
        <v>2106</v>
      </c>
    </row>
    <row r="428" spans="6:19" ht="10.5" customHeight="1">
      <c r="F428" s="371"/>
      <c r="G428" s="348"/>
      <c r="H428" s="348"/>
      <c r="I428" s="348"/>
      <c r="J428" s="348"/>
      <c r="K428" s="348"/>
      <c r="L428" s="348"/>
      <c r="M428" s="348"/>
      <c r="N428" s="669" t="s">
        <v>2301</v>
      </c>
      <c r="O428" s="328"/>
      <c r="P428" s="189"/>
      <c r="Q428" s="432"/>
      <c r="R428" s="584" t="s">
        <v>1843</v>
      </c>
      <c r="S428" s="584" t="s">
        <v>110</v>
      </c>
    </row>
    <row r="429" spans="6:19" ht="10.5" customHeight="1">
      <c r="F429" s="371"/>
      <c r="G429" s="348"/>
      <c r="H429" s="348"/>
      <c r="I429" s="348"/>
      <c r="J429" s="348"/>
      <c r="K429" s="348"/>
      <c r="L429" s="348"/>
      <c r="M429" s="348"/>
      <c r="N429" s="669" t="s">
        <v>2302</v>
      </c>
      <c r="O429" s="328"/>
      <c r="P429" s="189"/>
      <c r="Q429" s="432"/>
      <c r="R429" s="584" t="s">
        <v>727</v>
      </c>
      <c r="S429" s="584" t="s">
        <v>1264</v>
      </c>
    </row>
    <row r="430" spans="6:19" ht="10.5" customHeight="1">
      <c r="F430" s="371"/>
      <c r="G430" s="348"/>
      <c r="H430" s="348"/>
      <c r="I430" s="348"/>
      <c r="J430" s="348"/>
      <c r="K430" s="348"/>
      <c r="L430" s="348"/>
      <c r="M430" s="348"/>
      <c r="N430" s="669" t="s">
        <v>1011</v>
      </c>
      <c r="O430" s="328"/>
      <c r="P430" s="189"/>
      <c r="Q430" s="432"/>
      <c r="R430" s="584" t="s">
        <v>2463</v>
      </c>
      <c r="S430" s="584" t="s">
        <v>2605</v>
      </c>
    </row>
    <row r="431" spans="6:19" ht="10.5" customHeight="1">
      <c r="F431" s="371"/>
      <c r="G431" s="348"/>
      <c r="H431" s="348"/>
      <c r="I431" s="348"/>
      <c r="J431" s="348"/>
      <c r="K431" s="348"/>
      <c r="L431" s="348"/>
      <c r="M431" s="348"/>
      <c r="N431" s="669" t="s">
        <v>1013</v>
      </c>
      <c r="O431" s="328"/>
      <c r="P431" s="189"/>
      <c r="Q431" s="432"/>
      <c r="R431" s="584" t="s">
        <v>2465</v>
      </c>
      <c r="S431" s="584" t="s">
        <v>2281</v>
      </c>
    </row>
    <row r="432" spans="6:19" ht="10.5" customHeight="1">
      <c r="F432" s="371"/>
      <c r="G432" s="348"/>
      <c r="H432" s="348"/>
      <c r="I432" s="348"/>
      <c r="J432" s="348"/>
      <c r="K432" s="348"/>
      <c r="L432" s="348"/>
      <c r="M432" s="348"/>
      <c r="N432" s="669" t="s">
        <v>1565</v>
      </c>
      <c r="O432" s="328"/>
      <c r="P432" s="189"/>
      <c r="Q432" s="432"/>
      <c r="R432" s="584" t="s">
        <v>492</v>
      </c>
      <c r="S432" s="584" t="s">
        <v>2608</v>
      </c>
    </row>
    <row r="433" spans="6:19" ht="10.5" customHeight="1">
      <c r="F433" s="371"/>
      <c r="G433" s="348"/>
      <c r="H433" s="348"/>
      <c r="I433" s="348"/>
      <c r="J433" s="348"/>
      <c r="K433" s="348"/>
      <c r="L433" s="348"/>
      <c r="M433" s="348"/>
      <c r="N433" s="669" t="s">
        <v>1566</v>
      </c>
      <c r="O433" s="328"/>
      <c r="P433" s="189"/>
      <c r="Q433" s="432"/>
      <c r="R433" s="584" t="s">
        <v>494</v>
      </c>
      <c r="S433" s="584" t="s">
        <v>1393</v>
      </c>
    </row>
    <row r="434" spans="6:19" ht="10.5" customHeight="1">
      <c r="F434" s="371"/>
      <c r="G434" s="348"/>
      <c r="H434" s="348"/>
      <c r="I434" s="348"/>
      <c r="J434" s="348"/>
      <c r="K434" s="348"/>
      <c r="L434" s="348"/>
      <c r="M434" s="348"/>
      <c r="N434" s="669" t="s">
        <v>1568</v>
      </c>
      <c r="O434" s="328"/>
      <c r="P434" s="189"/>
      <c r="Q434" s="432"/>
      <c r="R434" s="584" t="s">
        <v>1103</v>
      </c>
      <c r="S434" s="584" t="s">
        <v>1398</v>
      </c>
    </row>
    <row r="435" spans="6:19" ht="10.5" customHeight="1">
      <c r="F435" s="371"/>
      <c r="G435" s="348"/>
      <c r="H435" s="348"/>
      <c r="I435" s="348"/>
      <c r="J435" s="348"/>
      <c r="K435" s="348"/>
      <c r="L435" s="348"/>
      <c r="M435" s="348"/>
      <c r="N435" s="669" t="s">
        <v>1570</v>
      </c>
      <c r="O435" s="328"/>
      <c r="P435" s="189"/>
      <c r="Q435" s="432"/>
      <c r="R435" s="584" t="s">
        <v>496</v>
      </c>
      <c r="S435" s="584" t="s">
        <v>1398</v>
      </c>
    </row>
    <row r="436" spans="6:19" ht="10.5" customHeight="1">
      <c r="F436" s="371"/>
      <c r="G436" s="348"/>
      <c r="H436" s="348"/>
      <c r="I436" s="348"/>
      <c r="J436" s="348"/>
      <c r="K436" s="348"/>
      <c r="L436" s="348"/>
      <c r="M436" s="348"/>
      <c r="N436" s="669" t="s">
        <v>1572</v>
      </c>
      <c r="O436" s="328"/>
      <c r="P436" s="189"/>
      <c r="Q436" s="432"/>
      <c r="R436" s="671" t="s">
        <v>1300</v>
      </c>
      <c r="S436" s="671" t="s">
        <v>1378</v>
      </c>
    </row>
    <row r="437" spans="6:19" ht="10.5" customHeight="1">
      <c r="F437" s="371"/>
      <c r="G437" s="348"/>
      <c r="H437" s="348"/>
      <c r="I437" s="348"/>
      <c r="J437" s="348"/>
      <c r="K437" s="348"/>
      <c r="L437" s="348"/>
      <c r="M437" s="348"/>
      <c r="N437" s="669" t="s">
        <v>2447</v>
      </c>
      <c r="O437" s="328"/>
      <c r="P437" s="189"/>
      <c r="Q437" s="432"/>
      <c r="R437" s="584" t="s">
        <v>1302</v>
      </c>
      <c r="S437" s="584" t="s">
        <v>345</v>
      </c>
    </row>
    <row r="438" spans="6:19" ht="10.5" customHeight="1">
      <c r="F438" s="371"/>
      <c r="G438" s="348"/>
      <c r="H438" s="348"/>
      <c r="I438" s="348"/>
      <c r="J438" s="348"/>
      <c r="K438" s="348"/>
      <c r="L438" s="348"/>
      <c r="M438" s="348"/>
      <c r="N438" s="669" t="s">
        <v>2723</v>
      </c>
      <c r="O438" s="328"/>
      <c r="P438" s="189"/>
      <c r="Q438" s="432"/>
      <c r="R438" s="584" t="s">
        <v>3248</v>
      </c>
      <c r="S438" s="584" t="s">
        <v>2658</v>
      </c>
    </row>
    <row r="439" spans="6:19" ht="10.5" customHeight="1">
      <c r="F439" s="371"/>
      <c r="G439" s="348"/>
      <c r="H439" s="348"/>
      <c r="I439" s="348"/>
      <c r="J439" s="348"/>
      <c r="K439" s="348"/>
      <c r="L439" s="348"/>
      <c r="M439" s="348"/>
      <c r="N439" s="669" t="s">
        <v>1341</v>
      </c>
      <c r="O439" s="328"/>
      <c r="P439" s="189"/>
      <c r="Q439" s="432"/>
      <c r="R439" s="584" t="s">
        <v>2093</v>
      </c>
      <c r="S439" s="584" t="s">
        <v>2105</v>
      </c>
    </row>
    <row r="440" spans="6:19" ht="10.5" customHeight="1">
      <c r="F440" s="371"/>
      <c r="G440" s="348"/>
      <c r="H440" s="348"/>
      <c r="I440" s="348"/>
      <c r="J440" s="348"/>
      <c r="K440" s="348"/>
      <c r="L440" s="348"/>
      <c r="M440" s="348"/>
      <c r="N440" s="669" t="s">
        <v>1583</v>
      </c>
      <c r="O440" s="328"/>
      <c r="P440" s="189"/>
      <c r="Q440" s="432"/>
      <c r="R440" s="584" t="s">
        <v>78</v>
      </c>
      <c r="S440" s="584" t="s">
        <v>2011</v>
      </c>
    </row>
    <row r="441" spans="6:19" ht="10.5" customHeight="1">
      <c r="F441" s="371"/>
      <c r="G441" s="348"/>
      <c r="H441" s="348"/>
      <c r="I441" s="348"/>
      <c r="J441" s="348"/>
      <c r="K441" s="348"/>
      <c r="L441" s="348"/>
      <c r="M441" s="348"/>
      <c r="N441" s="669" t="s">
        <v>860</v>
      </c>
      <c r="O441" s="328"/>
      <c r="P441" s="189"/>
      <c r="Q441" s="432"/>
      <c r="R441" s="584" t="s">
        <v>662</v>
      </c>
      <c r="S441" s="584" t="s">
        <v>2605</v>
      </c>
    </row>
    <row r="442" spans="6:19" ht="10.5" customHeight="1">
      <c r="F442" s="371"/>
      <c r="G442" s="348"/>
      <c r="H442" s="348"/>
      <c r="I442" s="348"/>
      <c r="J442" s="348"/>
      <c r="K442" s="348"/>
      <c r="L442" s="348"/>
      <c r="M442" s="348"/>
      <c r="N442" s="669" t="s">
        <v>861</v>
      </c>
      <c r="O442" s="328"/>
      <c r="P442" s="189"/>
      <c r="Q442" s="432"/>
      <c r="R442" s="584" t="s">
        <v>80</v>
      </c>
      <c r="S442" s="584" t="s">
        <v>180</v>
      </c>
    </row>
    <row r="443" spans="6:19" ht="10.5" customHeight="1">
      <c r="F443" s="371"/>
      <c r="G443" s="348"/>
      <c r="H443" s="348"/>
      <c r="I443" s="348"/>
      <c r="J443" s="348"/>
      <c r="K443" s="348"/>
      <c r="L443" s="348"/>
      <c r="M443" s="348"/>
      <c r="N443" s="669" t="s">
        <v>863</v>
      </c>
      <c r="O443" s="328"/>
      <c r="P443" s="189"/>
      <c r="Q443" s="432"/>
      <c r="R443" s="584" t="s">
        <v>2532</v>
      </c>
      <c r="S443" s="584" t="s">
        <v>1525</v>
      </c>
    </row>
    <row r="444" spans="6:19" ht="10.5" customHeight="1">
      <c r="F444" s="371"/>
      <c r="G444" s="348"/>
      <c r="H444" s="348"/>
      <c r="I444" s="348"/>
      <c r="J444" s="348"/>
      <c r="K444" s="348"/>
      <c r="L444" s="348"/>
      <c r="M444" s="348"/>
      <c r="N444" s="669" t="s">
        <v>864</v>
      </c>
      <c r="O444" s="328"/>
      <c r="P444" s="189"/>
      <c r="Q444" s="432"/>
      <c r="R444" s="584" t="s">
        <v>1104</v>
      </c>
      <c r="S444" s="584" t="s">
        <v>1595</v>
      </c>
    </row>
    <row r="445" spans="6:19" ht="10.5" customHeight="1">
      <c r="F445" s="371"/>
      <c r="G445" s="348"/>
      <c r="H445" s="348"/>
      <c r="I445" s="348"/>
      <c r="J445" s="348"/>
      <c r="K445" s="348"/>
      <c r="L445" s="348"/>
      <c r="M445" s="348"/>
      <c r="N445" s="669" t="s">
        <v>121</v>
      </c>
      <c r="O445" s="328"/>
      <c r="P445" s="189"/>
      <c r="Q445" s="432"/>
      <c r="R445" s="584" t="s">
        <v>1105</v>
      </c>
      <c r="S445" s="584" t="s">
        <v>1160</v>
      </c>
    </row>
    <row r="446" spans="6:19" ht="10.5" customHeight="1">
      <c r="F446" s="371"/>
      <c r="G446" s="348"/>
      <c r="H446" s="348"/>
      <c r="I446" s="348"/>
      <c r="J446" s="348"/>
      <c r="K446" s="348"/>
      <c r="L446" s="348"/>
      <c r="M446" s="348"/>
      <c r="N446" s="669" t="s">
        <v>260</v>
      </c>
      <c r="O446" s="328"/>
      <c r="P446" s="189"/>
      <c r="Q446" s="432"/>
      <c r="R446" s="584" t="s">
        <v>643</v>
      </c>
      <c r="S446" s="584" t="s">
        <v>695</v>
      </c>
    </row>
    <row r="447" spans="6:19" ht="10.5" customHeight="1">
      <c r="F447" s="371"/>
      <c r="G447" s="348"/>
      <c r="H447" s="348"/>
      <c r="I447" s="348"/>
      <c r="J447" s="348"/>
      <c r="K447" s="348"/>
      <c r="L447" s="348"/>
      <c r="M447" s="348"/>
      <c r="N447" s="669" t="s">
        <v>1580</v>
      </c>
      <c r="O447" s="328"/>
      <c r="P447" s="189"/>
      <c r="Q447" s="432"/>
      <c r="R447" s="584" t="s">
        <v>1012</v>
      </c>
      <c r="S447" s="584" t="s">
        <v>123</v>
      </c>
    </row>
    <row r="448" spans="6:19" ht="10.5" customHeight="1">
      <c r="F448" s="371"/>
      <c r="G448" s="348"/>
      <c r="H448" s="348"/>
      <c r="I448" s="348"/>
      <c r="J448" s="348"/>
      <c r="K448" s="348"/>
      <c r="L448" s="348"/>
      <c r="M448" s="348"/>
      <c r="N448" s="669" t="s">
        <v>255</v>
      </c>
      <c r="O448" s="328"/>
      <c r="P448" s="189"/>
      <c r="Q448" s="432"/>
      <c r="R448" s="584" t="s">
        <v>1014</v>
      </c>
      <c r="S448" s="584" t="s">
        <v>1396</v>
      </c>
    </row>
    <row r="449" spans="6:19" ht="10.5" customHeight="1">
      <c r="F449" s="371"/>
      <c r="G449" s="348"/>
      <c r="H449" s="348"/>
      <c r="I449" s="348"/>
      <c r="J449" s="348"/>
      <c r="K449" s="348"/>
      <c r="L449" s="348"/>
      <c r="M449" s="348"/>
      <c r="N449" s="669" t="s">
        <v>1585</v>
      </c>
      <c r="O449" s="328"/>
      <c r="P449" s="189"/>
      <c r="Q449" s="432"/>
      <c r="R449" s="584" t="s">
        <v>1567</v>
      </c>
      <c r="S449" s="584" t="s">
        <v>1528</v>
      </c>
    </row>
    <row r="450" spans="6:19" ht="10.5" customHeight="1">
      <c r="F450" s="371"/>
      <c r="G450" s="348"/>
      <c r="H450" s="348"/>
      <c r="I450" s="348"/>
      <c r="J450" s="348"/>
      <c r="K450" s="348"/>
      <c r="L450" s="348"/>
      <c r="M450" s="348"/>
      <c r="N450" s="669" t="s">
        <v>1587</v>
      </c>
      <c r="O450" s="328"/>
      <c r="P450" s="189"/>
      <c r="Q450" s="432"/>
      <c r="R450" s="584" t="s">
        <v>1569</v>
      </c>
      <c r="S450" s="584" t="s">
        <v>2655</v>
      </c>
    </row>
    <row r="451" spans="6:19" ht="10.5" customHeight="1">
      <c r="F451" s="371"/>
      <c r="G451" s="348"/>
      <c r="H451" s="348"/>
      <c r="I451" s="348"/>
      <c r="J451" s="348"/>
      <c r="K451" s="348"/>
      <c r="L451" s="348"/>
      <c r="M451" s="348"/>
      <c r="N451" s="669" t="s">
        <v>1460</v>
      </c>
      <c r="O451" s="328"/>
      <c r="P451" s="189"/>
      <c r="Q451" s="432"/>
      <c r="R451" s="584" t="s">
        <v>1571</v>
      </c>
      <c r="S451" s="584" t="s">
        <v>2279</v>
      </c>
    </row>
    <row r="452" spans="6:19" ht="10.5" customHeight="1">
      <c r="F452" s="371"/>
      <c r="G452" s="348"/>
      <c r="H452" s="348"/>
      <c r="I452" s="348"/>
      <c r="J452" s="348"/>
      <c r="K452" s="348"/>
      <c r="L452" s="348"/>
      <c r="M452" s="348"/>
      <c r="N452" s="669" t="s">
        <v>1462</v>
      </c>
      <c r="O452" s="328"/>
      <c r="P452" s="189"/>
      <c r="Q452" s="432"/>
      <c r="R452" s="584" t="s">
        <v>2446</v>
      </c>
      <c r="S452" s="584" t="s">
        <v>2718</v>
      </c>
    </row>
    <row r="453" spans="6:19" ht="10.5" customHeight="1">
      <c r="F453" s="371"/>
      <c r="G453" s="348"/>
      <c r="H453" s="348"/>
      <c r="I453" s="348"/>
      <c r="J453" s="348"/>
      <c r="K453" s="348"/>
      <c r="L453" s="348"/>
      <c r="M453" s="348"/>
      <c r="N453" s="669" t="s">
        <v>1464</v>
      </c>
      <c r="O453" s="328"/>
      <c r="P453" s="189"/>
      <c r="Q453" s="432"/>
      <c r="R453" s="584" t="s">
        <v>2448</v>
      </c>
      <c r="S453" s="584" t="s">
        <v>123</v>
      </c>
    </row>
    <row r="454" spans="6:19" ht="10.5" customHeight="1">
      <c r="F454" s="371"/>
      <c r="G454" s="348"/>
      <c r="H454" s="348"/>
      <c r="I454" s="348"/>
      <c r="J454" s="348"/>
      <c r="K454" s="348"/>
      <c r="L454" s="348"/>
      <c r="M454" s="348"/>
      <c r="N454" s="669" t="s">
        <v>1465</v>
      </c>
      <c r="O454" s="328"/>
      <c r="P454" s="189"/>
      <c r="Q454" s="432"/>
      <c r="R454" s="671" t="s">
        <v>1340</v>
      </c>
      <c r="S454" s="671" t="s">
        <v>997</v>
      </c>
    </row>
    <row r="455" spans="6:19" ht="10.5" customHeight="1">
      <c r="F455" s="371"/>
      <c r="G455" s="348"/>
      <c r="H455" s="348"/>
      <c r="I455" s="348"/>
      <c r="J455" s="348"/>
      <c r="K455" s="348"/>
      <c r="L455" s="348"/>
      <c r="M455" s="348"/>
      <c r="N455" s="669" t="s">
        <v>1467</v>
      </c>
      <c r="O455" s="328"/>
      <c r="P455" s="189"/>
      <c r="Q455" s="432"/>
      <c r="R455" s="584" t="s">
        <v>1106</v>
      </c>
      <c r="S455" s="584" t="s">
        <v>2103</v>
      </c>
    </row>
    <row r="456" spans="6:19" ht="10.5" customHeight="1">
      <c r="F456" s="371"/>
      <c r="G456" s="348"/>
      <c r="H456" s="348"/>
      <c r="I456" s="348"/>
      <c r="J456" s="348"/>
      <c r="K456" s="348"/>
      <c r="L456" s="348"/>
      <c r="M456" s="348"/>
      <c r="N456" s="669" t="s">
        <v>1469</v>
      </c>
      <c r="O456" s="328"/>
      <c r="P456" s="189"/>
      <c r="Q456" s="432"/>
      <c r="R456" s="584" t="s">
        <v>1342</v>
      </c>
      <c r="S456" s="584" t="s">
        <v>1530</v>
      </c>
    </row>
    <row r="457" spans="6:19" ht="10.5" customHeight="1">
      <c r="F457" s="371"/>
      <c r="G457" s="348"/>
      <c r="H457" s="348"/>
      <c r="I457" s="348"/>
      <c r="J457" s="348"/>
      <c r="K457" s="348"/>
      <c r="L457" s="348"/>
      <c r="M457" s="348"/>
      <c r="N457" s="669" t="s">
        <v>1645</v>
      </c>
      <c r="O457" s="328"/>
      <c r="P457" s="189"/>
      <c r="Q457" s="432"/>
      <c r="R457" s="584" t="s">
        <v>868</v>
      </c>
      <c r="S457" s="584" t="s">
        <v>2105</v>
      </c>
    </row>
    <row r="458" spans="6:19" ht="10.5" customHeight="1">
      <c r="F458" s="371"/>
      <c r="G458" s="348"/>
      <c r="H458" s="348"/>
      <c r="I458" s="348"/>
      <c r="J458" s="348"/>
      <c r="K458" s="348"/>
      <c r="L458" s="348"/>
      <c r="M458" s="348"/>
      <c r="N458" s="669" t="s">
        <v>1646</v>
      </c>
      <c r="O458" s="328"/>
      <c r="P458" s="189"/>
      <c r="Q458" s="432"/>
      <c r="R458" s="584" t="s">
        <v>869</v>
      </c>
      <c r="S458" s="584" t="s">
        <v>915</v>
      </c>
    </row>
    <row r="459" spans="6:19" ht="10.5" customHeight="1">
      <c r="F459" s="371"/>
      <c r="G459" s="348"/>
      <c r="H459" s="348"/>
      <c r="I459" s="348"/>
      <c r="J459" s="348"/>
      <c r="K459" s="348"/>
      <c r="L459" s="348"/>
      <c r="M459" s="348"/>
      <c r="N459" s="669" t="s">
        <v>1647</v>
      </c>
      <c r="O459" s="328"/>
      <c r="P459" s="189"/>
      <c r="Q459" s="432"/>
      <c r="R459" s="584" t="s">
        <v>862</v>
      </c>
      <c r="S459" s="584" t="s">
        <v>658</v>
      </c>
    </row>
    <row r="460" spans="6:19" ht="10.5" customHeight="1">
      <c r="F460" s="371"/>
      <c r="G460" s="348"/>
      <c r="H460" s="348"/>
      <c r="I460" s="348"/>
      <c r="J460" s="348"/>
      <c r="K460" s="348"/>
      <c r="L460" s="348"/>
      <c r="M460" s="348"/>
      <c r="N460" s="669" t="s">
        <v>1648</v>
      </c>
      <c r="O460" s="328"/>
      <c r="P460" s="189"/>
      <c r="Q460" s="432"/>
      <c r="R460" s="584" t="s">
        <v>865</v>
      </c>
      <c r="S460" s="584" t="s">
        <v>332</v>
      </c>
    </row>
    <row r="461" spans="6:19" ht="10.5" customHeight="1">
      <c r="F461" s="371"/>
      <c r="G461" s="348"/>
      <c r="H461" s="348"/>
      <c r="I461" s="348"/>
      <c r="J461" s="348"/>
      <c r="K461" s="348"/>
      <c r="L461" s="348"/>
      <c r="M461" s="348"/>
      <c r="N461" s="669" t="s">
        <v>1650</v>
      </c>
      <c r="O461" s="328"/>
      <c r="P461" s="189"/>
      <c r="Q461" s="432"/>
      <c r="R461" s="584" t="s">
        <v>122</v>
      </c>
      <c r="S461" s="584" t="s">
        <v>2106</v>
      </c>
    </row>
    <row r="462" spans="6:19" ht="10.5" customHeight="1">
      <c r="F462" s="371"/>
      <c r="G462" s="348"/>
      <c r="H462" s="348"/>
      <c r="I462" s="348"/>
      <c r="J462" s="348"/>
      <c r="K462" s="348"/>
      <c r="L462" s="348"/>
      <c r="M462" s="348"/>
      <c r="N462" s="669" t="s">
        <v>1652</v>
      </c>
      <c r="O462" s="328"/>
      <c r="P462" s="189"/>
      <c r="Q462" s="432"/>
      <c r="R462" s="584" t="s">
        <v>261</v>
      </c>
      <c r="S462" s="584" t="s">
        <v>1974</v>
      </c>
    </row>
    <row r="463" spans="6:19" ht="10.5" customHeight="1">
      <c r="F463" s="371"/>
      <c r="G463" s="348"/>
      <c r="H463" s="348"/>
      <c r="I463" s="348"/>
      <c r="J463" s="348"/>
      <c r="K463" s="348"/>
      <c r="L463" s="348"/>
      <c r="M463" s="348"/>
      <c r="N463" s="669" t="s">
        <v>1653</v>
      </c>
      <c r="O463" s="328"/>
      <c r="P463" s="189"/>
      <c r="Q463" s="432"/>
      <c r="R463" s="671" t="s">
        <v>1581</v>
      </c>
      <c r="S463" s="671" t="s">
        <v>2105</v>
      </c>
    </row>
    <row r="464" spans="6:19" ht="10.5" customHeight="1">
      <c r="F464" s="371"/>
      <c r="G464" s="348"/>
      <c r="H464" s="348"/>
      <c r="I464" s="348"/>
      <c r="J464" s="348"/>
      <c r="K464" s="348"/>
      <c r="L464" s="348"/>
      <c r="M464" s="348"/>
      <c r="N464" s="669" t="s">
        <v>1655</v>
      </c>
      <c r="O464" s="328"/>
      <c r="P464" s="189"/>
      <c r="Q464" s="432"/>
      <c r="R464" s="584" t="s">
        <v>1584</v>
      </c>
      <c r="S464" s="584" t="s">
        <v>341</v>
      </c>
    </row>
    <row r="465" spans="6:19" ht="10.5" customHeight="1">
      <c r="F465" s="371"/>
      <c r="G465" s="348"/>
      <c r="H465" s="348"/>
      <c r="I465" s="348"/>
      <c r="J465" s="348"/>
      <c r="K465" s="348"/>
      <c r="L465" s="348"/>
      <c r="M465" s="348"/>
      <c r="N465" s="669" t="s">
        <v>392</v>
      </c>
      <c r="O465" s="328"/>
      <c r="P465" s="189"/>
      <c r="Q465" s="432"/>
      <c r="R465" s="584" t="s">
        <v>1586</v>
      </c>
      <c r="S465" s="584" t="s">
        <v>2605</v>
      </c>
    </row>
    <row r="466" spans="6:19" ht="10.5" customHeight="1">
      <c r="F466" s="371"/>
      <c r="G466" s="348"/>
      <c r="H466" s="348"/>
      <c r="I466" s="348"/>
      <c r="J466" s="348"/>
      <c r="K466" s="348"/>
      <c r="L466" s="348"/>
      <c r="M466" s="348"/>
      <c r="N466" s="669" t="s">
        <v>257</v>
      </c>
      <c r="O466" s="328"/>
      <c r="P466" s="189"/>
      <c r="Q466" s="432"/>
      <c r="R466" s="584" t="s">
        <v>504</v>
      </c>
      <c r="S466" s="584" t="s">
        <v>1532</v>
      </c>
    </row>
    <row r="467" spans="6:19" ht="10.5" customHeight="1">
      <c r="F467" s="371"/>
      <c r="G467" s="348"/>
      <c r="H467" s="348"/>
      <c r="I467" s="348"/>
      <c r="J467" s="348"/>
      <c r="K467" s="348"/>
      <c r="L467" s="348"/>
      <c r="M467" s="348"/>
      <c r="N467" s="669" t="s">
        <v>259</v>
      </c>
      <c r="O467" s="328"/>
      <c r="P467" s="189"/>
      <c r="Q467" s="432"/>
      <c r="R467" s="584" t="s">
        <v>1461</v>
      </c>
      <c r="S467" s="584" t="s">
        <v>324</v>
      </c>
    </row>
    <row r="468" spans="6:19" ht="10.5" customHeight="1">
      <c r="F468" s="371"/>
      <c r="G468" s="348"/>
      <c r="H468" s="348"/>
      <c r="I468" s="348"/>
      <c r="J468" s="348"/>
      <c r="K468" s="348"/>
      <c r="L468" s="348"/>
      <c r="M468" s="348"/>
      <c r="N468" s="669" t="s">
        <v>15</v>
      </c>
      <c r="O468" s="328"/>
      <c r="P468" s="189"/>
      <c r="Q468" s="432"/>
      <c r="R468" s="584" t="s">
        <v>1463</v>
      </c>
      <c r="S468" s="584" t="s">
        <v>913</v>
      </c>
    </row>
    <row r="469" spans="6:19" ht="10.5" customHeight="1">
      <c r="F469" s="371"/>
      <c r="G469" s="348"/>
      <c r="H469" s="348"/>
      <c r="I469" s="348"/>
      <c r="J469" s="348"/>
      <c r="K469" s="348"/>
      <c r="L469" s="348"/>
      <c r="M469" s="348"/>
      <c r="N469" s="669" t="s">
        <v>1135</v>
      </c>
      <c r="O469" s="328"/>
      <c r="P469" s="189"/>
      <c r="Q469" s="432"/>
      <c r="R469" s="584" t="s">
        <v>181</v>
      </c>
      <c r="S469" s="584" t="s">
        <v>2277</v>
      </c>
    </row>
    <row r="470" spans="6:19" ht="10.5" customHeight="1">
      <c r="F470" s="371"/>
      <c r="G470" s="348"/>
      <c r="H470" s="348"/>
      <c r="I470" s="348"/>
      <c r="J470" s="348"/>
      <c r="K470" s="348"/>
      <c r="L470" s="348"/>
      <c r="M470" s="348"/>
      <c r="N470" s="669" t="s">
        <v>1137</v>
      </c>
      <c r="O470" s="328"/>
      <c r="P470" s="189"/>
      <c r="Q470" s="432"/>
      <c r="R470" s="584" t="s">
        <v>1466</v>
      </c>
      <c r="S470" s="584" t="s">
        <v>1974</v>
      </c>
    </row>
    <row r="471" spans="6:19" ht="10.5" customHeight="1">
      <c r="F471" s="371"/>
      <c r="G471" s="348"/>
      <c r="H471" s="348"/>
      <c r="I471" s="348"/>
      <c r="J471" s="348"/>
      <c r="K471" s="348"/>
      <c r="L471" s="348"/>
      <c r="M471" s="348"/>
      <c r="N471" s="669" t="s">
        <v>1139</v>
      </c>
      <c r="O471" s="328"/>
      <c r="P471" s="189"/>
      <c r="Q471" s="432"/>
      <c r="R471" s="584" t="s">
        <v>1468</v>
      </c>
      <c r="S471" s="584" t="s">
        <v>167</v>
      </c>
    </row>
    <row r="472" spans="6:19" ht="10.5" customHeight="1">
      <c r="F472" s="371"/>
      <c r="G472" s="348"/>
      <c r="H472" s="348"/>
      <c r="I472" s="348"/>
      <c r="J472" s="348"/>
      <c r="K472" s="348"/>
      <c r="L472" s="348"/>
      <c r="M472" s="348"/>
      <c r="N472" s="669" t="s">
        <v>269</v>
      </c>
      <c r="O472" s="328"/>
      <c r="P472" s="189"/>
      <c r="Q472" s="432"/>
      <c r="R472" s="584" t="s">
        <v>2614</v>
      </c>
      <c r="S472" s="584" t="s">
        <v>2005</v>
      </c>
    </row>
    <row r="473" spans="6:19" ht="10.5" customHeight="1">
      <c r="F473" s="371"/>
      <c r="G473" s="348"/>
      <c r="H473" s="348"/>
      <c r="I473" s="348"/>
      <c r="J473" s="348"/>
      <c r="K473" s="348"/>
      <c r="L473" s="348"/>
      <c r="M473" s="348"/>
      <c r="N473" s="669" t="s">
        <v>271</v>
      </c>
      <c r="O473" s="328"/>
      <c r="P473" s="189"/>
      <c r="Q473" s="432"/>
      <c r="R473" s="584" t="s">
        <v>1107</v>
      </c>
      <c r="S473" s="584" t="s">
        <v>2608</v>
      </c>
    </row>
    <row r="474" spans="6:19" ht="10.5" customHeight="1">
      <c r="F474" s="371"/>
      <c r="G474" s="348"/>
      <c r="H474" s="348"/>
      <c r="I474" s="348"/>
      <c r="J474" s="348"/>
      <c r="K474" s="348"/>
      <c r="L474" s="348"/>
      <c r="M474" s="348"/>
      <c r="N474" s="669" t="s">
        <v>1705</v>
      </c>
      <c r="O474" s="328"/>
      <c r="P474" s="189"/>
      <c r="Q474" s="432"/>
      <c r="R474" s="584" t="s">
        <v>1384</v>
      </c>
      <c r="S474" s="584" t="s">
        <v>1383</v>
      </c>
    </row>
    <row r="475" spans="6:19" ht="10.5" customHeight="1">
      <c r="F475" s="371"/>
      <c r="G475" s="348"/>
      <c r="H475" s="348"/>
      <c r="I475" s="348"/>
      <c r="J475" s="348"/>
      <c r="K475" s="348"/>
      <c r="L475" s="348"/>
      <c r="M475" s="348"/>
      <c r="N475" s="669" t="s">
        <v>2432</v>
      </c>
      <c r="O475" s="328"/>
      <c r="P475" s="189"/>
      <c r="Q475" s="432"/>
      <c r="R475" s="584" t="s">
        <v>184</v>
      </c>
      <c r="S475" s="584" t="s">
        <v>2711</v>
      </c>
    </row>
    <row r="476" spans="6:19" ht="10.5" customHeight="1">
      <c r="F476" s="371"/>
      <c r="G476" s="348"/>
      <c r="H476" s="348"/>
      <c r="I476" s="348"/>
      <c r="J476" s="348"/>
      <c r="K476" s="348"/>
      <c r="L476" s="348"/>
      <c r="M476" s="348"/>
      <c r="N476" s="669" t="s">
        <v>502</v>
      </c>
      <c r="O476" s="328"/>
      <c r="P476" s="189"/>
      <c r="Q476" s="432"/>
      <c r="R476" s="584" t="s">
        <v>1649</v>
      </c>
      <c r="S476" s="584" t="s">
        <v>2285</v>
      </c>
    </row>
    <row r="477" spans="6:19" ht="10.5" customHeight="1">
      <c r="F477" s="371"/>
      <c r="G477" s="348"/>
      <c r="H477" s="348"/>
      <c r="I477" s="348"/>
      <c r="J477" s="348"/>
      <c r="K477" s="348"/>
      <c r="L477" s="348"/>
      <c r="M477" s="348"/>
      <c r="N477" s="669" t="s">
        <v>1365</v>
      </c>
      <c r="O477" s="328"/>
      <c r="P477" s="189"/>
      <c r="Q477" s="432"/>
      <c r="R477" s="584" t="s">
        <v>1651</v>
      </c>
      <c r="S477" s="584" t="s">
        <v>1974</v>
      </c>
    </row>
    <row r="478" spans="6:19" ht="10.5" customHeight="1">
      <c r="F478" s="371"/>
      <c r="G478" s="348"/>
      <c r="H478" s="348"/>
      <c r="I478" s="348"/>
      <c r="J478" s="348"/>
      <c r="K478" s="348"/>
      <c r="L478" s="348"/>
      <c r="M478" s="348"/>
      <c r="N478" s="669" t="s">
        <v>681</v>
      </c>
      <c r="O478" s="328"/>
      <c r="P478" s="189"/>
      <c r="Q478" s="432"/>
      <c r="R478" s="584" t="s">
        <v>1654</v>
      </c>
      <c r="S478" s="584" t="s">
        <v>2716</v>
      </c>
    </row>
    <row r="479" spans="6:19" ht="10.5" customHeight="1">
      <c r="F479" s="371"/>
      <c r="G479" s="348"/>
      <c r="H479" s="348"/>
      <c r="I479" s="348"/>
      <c r="J479" s="348"/>
      <c r="K479" s="348"/>
      <c r="L479" s="348"/>
      <c r="M479" s="348"/>
      <c r="N479" s="669" t="s">
        <v>722</v>
      </c>
      <c r="O479" s="328"/>
      <c r="P479" s="189"/>
      <c r="Q479" s="432"/>
      <c r="R479" s="584" t="s">
        <v>391</v>
      </c>
      <c r="S479" s="584" t="s">
        <v>2608</v>
      </c>
    </row>
    <row r="480" spans="6:19" ht="10.5" customHeight="1">
      <c r="F480" s="371"/>
      <c r="G480" s="348"/>
      <c r="H480" s="348"/>
      <c r="I480" s="348"/>
      <c r="J480" s="348"/>
      <c r="K480" s="348"/>
      <c r="L480" s="348"/>
      <c r="M480" s="348"/>
      <c r="N480" s="669" t="s">
        <v>723</v>
      </c>
      <c r="O480" s="328"/>
      <c r="P480" s="189"/>
      <c r="Q480" s="432"/>
      <c r="R480" s="673" t="s">
        <v>393</v>
      </c>
      <c r="S480" s="584" t="s">
        <v>1384</v>
      </c>
    </row>
    <row r="481" spans="6:19" ht="10.5" customHeight="1">
      <c r="F481" s="371"/>
      <c r="G481" s="348"/>
      <c r="H481" s="348"/>
      <c r="I481" s="348"/>
      <c r="J481" s="348"/>
      <c r="K481" s="348"/>
      <c r="L481" s="348"/>
      <c r="M481" s="348"/>
      <c r="N481" s="669" t="s">
        <v>545</v>
      </c>
      <c r="O481" s="328"/>
      <c r="P481" s="189"/>
      <c r="Q481" s="432"/>
      <c r="R481" s="673" t="s">
        <v>258</v>
      </c>
      <c r="S481" s="584" t="s">
        <v>2275</v>
      </c>
    </row>
    <row r="482" spans="6:19" ht="10.5" customHeight="1">
      <c r="F482" s="371"/>
      <c r="G482" s="348"/>
      <c r="H482" s="348"/>
      <c r="I482" s="348"/>
      <c r="J482" s="348"/>
      <c r="K482" s="348"/>
      <c r="L482" s="348"/>
      <c r="M482" s="348"/>
      <c r="N482" s="669" t="s">
        <v>547</v>
      </c>
      <c r="O482" s="328"/>
      <c r="P482" s="189"/>
      <c r="Q482" s="432"/>
      <c r="R482" s="584" t="s">
        <v>1684</v>
      </c>
      <c r="S482" s="584" t="s">
        <v>2654</v>
      </c>
    </row>
    <row r="483" spans="6:19" ht="10.5" customHeight="1">
      <c r="F483" s="371"/>
      <c r="G483" s="348"/>
      <c r="H483" s="348"/>
      <c r="I483" s="348"/>
      <c r="J483" s="348"/>
      <c r="K483" s="348"/>
      <c r="L483" s="348"/>
      <c r="M483" s="348"/>
      <c r="N483" s="669" t="s">
        <v>549</v>
      </c>
      <c r="O483" s="328"/>
      <c r="P483" s="189"/>
      <c r="Q483" s="432"/>
      <c r="R483" s="584" t="s">
        <v>3249</v>
      </c>
      <c r="S483" s="584" t="s">
        <v>341</v>
      </c>
    </row>
    <row r="484" spans="6:19" ht="10.5" customHeight="1">
      <c r="F484" s="371"/>
      <c r="G484" s="348"/>
      <c r="H484" s="348"/>
      <c r="I484" s="348"/>
      <c r="J484" s="348"/>
      <c r="K484" s="348"/>
      <c r="L484" s="348"/>
      <c r="M484" s="348"/>
      <c r="N484" s="669" t="s">
        <v>551</v>
      </c>
      <c r="O484" s="328"/>
      <c r="P484" s="189"/>
      <c r="Q484" s="432"/>
      <c r="R484" s="584" t="s">
        <v>1136</v>
      </c>
      <c r="S484" s="584" t="s">
        <v>2718</v>
      </c>
    </row>
    <row r="485" spans="6:19" ht="10.5" customHeight="1">
      <c r="F485" s="371"/>
      <c r="G485" s="348"/>
      <c r="H485" s="348"/>
      <c r="I485" s="348"/>
      <c r="J485" s="348"/>
      <c r="K485" s="348"/>
      <c r="L485" s="348"/>
      <c r="M485" s="348"/>
      <c r="N485" s="669" t="s">
        <v>564</v>
      </c>
      <c r="O485" s="328"/>
      <c r="P485" s="189"/>
      <c r="Q485" s="432"/>
      <c r="R485" s="584" t="s">
        <v>1138</v>
      </c>
      <c r="S485" s="584" t="s">
        <v>1374</v>
      </c>
    </row>
    <row r="486" spans="6:19" ht="10.5" customHeight="1">
      <c r="F486" s="371"/>
      <c r="G486" s="348"/>
      <c r="H486" s="348"/>
      <c r="I486" s="348"/>
      <c r="J486" s="348"/>
      <c r="K486" s="348"/>
      <c r="L486" s="348"/>
      <c r="M486" s="348"/>
      <c r="N486" s="669" t="s">
        <v>566</v>
      </c>
      <c r="O486" s="328"/>
      <c r="P486" s="189"/>
      <c r="Q486" s="432"/>
      <c r="R486" s="671" t="s">
        <v>1140</v>
      </c>
      <c r="S486" s="671" t="s">
        <v>690</v>
      </c>
    </row>
    <row r="487" spans="6:19" ht="10.5" customHeight="1">
      <c r="F487" s="371"/>
      <c r="G487" s="348"/>
      <c r="H487" s="348"/>
      <c r="I487" s="348"/>
      <c r="J487" s="348"/>
      <c r="K487" s="348"/>
      <c r="L487" s="348"/>
      <c r="M487" s="348"/>
      <c r="N487" s="669" t="s">
        <v>752</v>
      </c>
      <c r="O487" s="328"/>
      <c r="P487" s="189"/>
      <c r="Q487" s="432"/>
      <c r="R487" s="584" t="s">
        <v>270</v>
      </c>
      <c r="S487" s="584" t="s">
        <v>332</v>
      </c>
    </row>
    <row r="488" spans="6:19" ht="10.5" customHeight="1">
      <c r="F488" s="371"/>
      <c r="G488" s="348"/>
      <c r="H488" s="348"/>
      <c r="I488" s="348"/>
      <c r="J488" s="348"/>
      <c r="K488" s="348"/>
      <c r="L488" s="348"/>
      <c r="M488" s="348"/>
      <c r="N488" s="669" t="s">
        <v>614</v>
      </c>
      <c r="O488" s="328"/>
      <c r="P488" s="189"/>
      <c r="Q488" s="432"/>
      <c r="R488" s="584" t="s">
        <v>272</v>
      </c>
      <c r="S488" s="584" t="s">
        <v>2515</v>
      </c>
    </row>
    <row r="489" spans="6:19" ht="10.5" customHeight="1">
      <c r="F489" s="371"/>
      <c r="G489" s="348"/>
      <c r="H489" s="348"/>
      <c r="I489" s="348"/>
      <c r="J489" s="348"/>
      <c r="K489" s="348"/>
      <c r="L489" s="348"/>
      <c r="M489" s="348"/>
      <c r="N489" s="669" t="s">
        <v>615</v>
      </c>
      <c r="O489" s="328"/>
      <c r="P489" s="189"/>
      <c r="Q489" s="432"/>
      <c r="R489" s="671" t="s">
        <v>1706</v>
      </c>
      <c r="S489" s="671" t="s">
        <v>913</v>
      </c>
    </row>
    <row r="490" spans="6:19" ht="10.5" customHeight="1">
      <c r="F490" s="371"/>
      <c r="G490" s="348"/>
      <c r="H490" s="348"/>
      <c r="I490" s="348"/>
      <c r="J490" s="348"/>
      <c r="K490" s="348"/>
      <c r="L490" s="348"/>
      <c r="M490" s="348"/>
      <c r="N490" s="669" t="s">
        <v>2177</v>
      </c>
      <c r="O490" s="328"/>
      <c r="P490" s="189"/>
      <c r="Q490" s="432"/>
      <c r="R490" s="584" t="s">
        <v>2433</v>
      </c>
      <c r="S490" s="584" t="s">
        <v>1146</v>
      </c>
    </row>
    <row r="491" spans="6:19" ht="10.5" customHeight="1">
      <c r="F491" s="371"/>
      <c r="G491" s="348"/>
      <c r="H491" s="348"/>
      <c r="I491" s="348"/>
      <c r="J491" s="348"/>
      <c r="K491" s="348"/>
      <c r="L491" s="348"/>
      <c r="M491" s="348"/>
      <c r="N491" s="669" t="s">
        <v>483</v>
      </c>
      <c r="O491" s="328"/>
      <c r="P491" s="189"/>
      <c r="Q491" s="432"/>
      <c r="R491" s="584" t="s">
        <v>503</v>
      </c>
      <c r="S491" s="584" t="s">
        <v>1745</v>
      </c>
    </row>
    <row r="492" spans="6:19" ht="10.5" customHeight="1">
      <c r="F492" s="371"/>
      <c r="G492" s="348"/>
      <c r="H492" s="348"/>
      <c r="I492" s="348"/>
      <c r="J492" s="348"/>
      <c r="K492" s="348"/>
      <c r="L492" s="348"/>
      <c r="M492" s="348"/>
      <c r="N492" s="669" t="s">
        <v>484</v>
      </c>
      <c r="O492" s="328"/>
      <c r="P492" s="189"/>
      <c r="Q492" s="432"/>
      <c r="R492" s="584" t="s">
        <v>3250</v>
      </c>
      <c r="S492" s="584" t="s">
        <v>2285</v>
      </c>
    </row>
    <row r="493" spans="6:19" ht="10.5" customHeight="1">
      <c r="F493" s="371"/>
      <c r="G493" s="348"/>
      <c r="H493" s="348"/>
      <c r="I493" s="348"/>
      <c r="J493" s="348"/>
      <c r="K493" s="348"/>
      <c r="L493" s="348"/>
      <c r="M493" s="348"/>
      <c r="N493" s="669" t="s">
        <v>1323</v>
      </c>
      <c r="O493" s="328"/>
      <c r="P493" s="189"/>
      <c r="Q493" s="432"/>
      <c r="R493" s="584" t="s">
        <v>721</v>
      </c>
      <c r="S493" s="584" t="s">
        <v>167</v>
      </c>
    </row>
    <row r="494" spans="6:19" ht="10.5" customHeight="1">
      <c r="F494" s="371"/>
      <c r="G494" s="348"/>
      <c r="H494" s="348"/>
      <c r="I494" s="348"/>
      <c r="J494" s="348"/>
      <c r="K494" s="348"/>
      <c r="L494" s="348"/>
      <c r="M494" s="348"/>
      <c r="N494" s="669" t="s">
        <v>1041</v>
      </c>
      <c r="O494" s="328"/>
      <c r="P494" s="189"/>
      <c r="Q494" s="432"/>
      <c r="R494" s="584" t="s">
        <v>544</v>
      </c>
      <c r="S494" s="584" t="s">
        <v>770</v>
      </c>
    </row>
    <row r="495" spans="6:19" ht="10.5" customHeight="1">
      <c r="F495" s="371"/>
      <c r="G495" s="348"/>
      <c r="H495" s="348"/>
      <c r="I495" s="348"/>
      <c r="J495" s="348"/>
      <c r="K495" s="348"/>
      <c r="L495" s="348"/>
      <c r="M495" s="348"/>
      <c r="N495" s="669" t="s">
        <v>1043</v>
      </c>
      <c r="O495" s="328"/>
      <c r="P495" s="189"/>
      <c r="Q495" s="432"/>
      <c r="R495" s="584" t="s">
        <v>546</v>
      </c>
      <c r="S495" s="584" t="s">
        <v>1393</v>
      </c>
    </row>
    <row r="496" spans="6:19" ht="10.5" customHeight="1">
      <c r="F496" s="371"/>
      <c r="G496" s="348"/>
      <c r="H496" s="348"/>
      <c r="I496" s="348"/>
      <c r="J496" s="348"/>
      <c r="K496" s="348"/>
      <c r="L496" s="348"/>
      <c r="M496" s="348"/>
      <c r="N496" s="669" t="s">
        <v>1044</v>
      </c>
      <c r="O496" s="328"/>
      <c r="P496" s="189"/>
      <c r="Q496" s="432"/>
      <c r="R496" s="584" t="s">
        <v>548</v>
      </c>
      <c r="S496" s="584" t="s">
        <v>1529</v>
      </c>
    </row>
    <row r="497" spans="6:19" ht="10.5" customHeight="1">
      <c r="F497" s="371"/>
      <c r="G497" s="348"/>
      <c r="H497" s="348"/>
      <c r="I497" s="348"/>
      <c r="J497" s="348"/>
      <c r="K497" s="348"/>
      <c r="L497" s="348"/>
      <c r="M497" s="348"/>
      <c r="N497" s="669" t="s">
        <v>141</v>
      </c>
      <c r="O497" s="328"/>
      <c r="P497" s="189"/>
      <c r="Q497" s="432"/>
      <c r="R497" s="584" t="s">
        <v>550</v>
      </c>
      <c r="S497" s="584" t="s">
        <v>913</v>
      </c>
    </row>
    <row r="498" spans="6:19" ht="10.5" customHeight="1">
      <c r="F498" s="371"/>
      <c r="G498" s="348"/>
      <c r="H498" s="348"/>
      <c r="I498" s="348"/>
      <c r="J498" s="348"/>
      <c r="K498" s="348"/>
      <c r="L498" s="348"/>
      <c r="M498" s="348"/>
      <c r="N498" s="669" t="s">
        <v>142</v>
      </c>
      <c r="O498" s="328"/>
      <c r="P498" s="189"/>
      <c r="Q498" s="432"/>
      <c r="R498" s="584" t="s">
        <v>552</v>
      </c>
      <c r="S498" s="584" t="s">
        <v>1870</v>
      </c>
    </row>
    <row r="499" spans="6:19" ht="10.5" customHeight="1">
      <c r="F499" s="371"/>
      <c r="G499" s="348"/>
      <c r="H499" s="348"/>
      <c r="I499" s="348"/>
      <c r="J499" s="348"/>
      <c r="K499" s="348"/>
      <c r="L499" s="348"/>
      <c r="M499" s="348"/>
      <c r="N499" s="669" t="s">
        <v>144</v>
      </c>
      <c r="O499" s="328"/>
      <c r="P499" s="189"/>
      <c r="Q499" s="432"/>
      <c r="R499" s="584" t="s">
        <v>565</v>
      </c>
      <c r="S499" s="584" t="s">
        <v>343</v>
      </c>
    </row>
    <row r="500" spans="6:19" ht="10.5" customHeight="1">
      <c r="F500" s="371"/>
      <c r="G500" s="348"/>
      <c r="H500" s="348"/>
      <c r="I500" s="348"/>
      <c r="J500" s="348"/>
      <c r="K500" s="348"/>
      <c r="L500" s="348"/>
      <c r="M500" s="348"/>
      <c r="N500" s="669" t="s">
        <v>2721</v>
      </c>
      <c r="O500" s="328"/>
      <c r="P500" s="189"/>
      <c r="Q500" s="432"/>
      <c r="R500" s="584" t="s">
        <v>567</v>
      </c>
      <c r="S500" s="584" t="s">
        <v>445</v>
      </c>
    </row>
    <row r="501" spans="6:19" ht="10.5" customHeight="1">
      <c r="F501" s="371"/>
      <c r="G501" s="348"/>
      <c r="H501" s="348"/>
      <c r="I501" s="348"/>
      <c r="J501" s="348"/>
      <c r="K501" s="348"/>
      <c r="L501" s="348"/>
      <c r="M501" s="348"/>
      <c r="N501" s="669" t="s">
        <v>2194</v>
      </c>
      <c r="O501" s="328"/>
      <c r="P501" s="189"/>
      <c r="Q501" s="432"/>
      <c r="R501" s="671" t="s">
        <v>728</v>
      </c>
      <c r="S501" s="671" t="s">
        <v>1264</v>
      </c>
    </row>
    <row r="502" spans="6:19" ht="10.5" customHeight="1">
      <c r="F502" s="371"/>
      <c r="G502" s="348"/>
      <c r="H502" s="348"/>
      <c r="I502" s="348"/>
      <c r="J502" s="348"/>
      <c r="K502" s="348"/>
      <c r="L502" s="348"/>
      <c r="M502" s="348"/>
      <c r="N502" s="669" t="s">
        <v>2196</v>
      </c>
      <c r="O502" s="328"/>
      <c r="P502" s="189"/>
      <c r="Q502" s="432"/>
      <c r="R502" s="584" t="s">
        <v>870</v>
      </c>
      <c r="S502" s="584" t="s">
        <v>690</v>
      </c>
    </row>
    <row r="503" spans="6:19" ht="10.5" customHeight="1">
      <c r="F503" s="371"/>
      <c r="G503" s="348"/>
      <c r="H503" s="348"/>
      <c r="I503" s="348"/>
      <c r="J503" s="348"/>
      <c r="K503" s="348"/>
      <c r="L503" s="348"/>
      <c r="M503" s="348"/>
      <c r="N503" s="669" t="s">
        <v>616</v>
      </c>
      <c r="O503" s="328"/>
      <c r="P503" s="189"/>
      <c r="Q503" s="432"/>
      <c r="R503" s="584" t="s">
        <v>1711</v>
      </c>
      <c r="S503" s="584" t="s">
        <v>699</v>
      </c>
    </row>
    <row r="504" spans="6:19" ht="10.5" customHeight="1">
      <c r="F504" s="371"/>
      <c r="G504" s="348"/>
      <c r="H504" s="348"/>
      <c r="I504" s="348"/>
      <c r="J504" s="348"/>
      <c r="K504" s="348"/>
      <c r="L504" s="348"/>
      <c r="M504" s="348"/>
      <c r="N504" s="669" t="s">
        <v>2451</v>
      </c>
      <c r="O504" s="328"/>
      <c r="P504" s="189"/>
      <c r="Q504" s="432"/>
      <c r="R504" s="584" t="s">
        <v>2178</v>
      </c>
      <c r="S504" s="584" t="s">
        <v>1146</v>
      </c>
    </row>
    <row r="505" spans="6:19" ht="10.5" customHeight="1">
      <c r="F505" s="371"/>
      <c r="G505" s="348"/>
      <c r="H505" s="348"/>
      <c r="I505" s="348"/>
      <c r="J505" s="348"/>
      <c r="K505" s="348"/>
      <c r="L505" s="348"/>
      <c r="M505" s="348"/>
      <c r="N505" s="669" t="s">
        <v>740</v>
      </c>
      <c r="O505" s="328"/>
      <c r="P505" s="189"/>
      <c r="Q505" s="432"/>
      <c r="R505" s="584" t="s">
        <v>1713</v>
      </c>
      <c r="S505" s="584" t="s">
        <v>2106</v>
      </c>
    </row>
    <row r="506" spans="6:19" ht="10.5" customHeight="1">
      <c r="F506" s="371"/>
      <c r="G506" s="348"/>
      <c r="H506" s="348"/>
      <c r="I506" s="348"/>
      <c r="J506" s="348"/>
      <c r="K506" s="348"/>
      <c r="L506" s="348"/>
      <c r="M506" s="348"/>
      <c r="N506" s="669" t="s">
        <v>742</v>
      </c>
      <c r="O506" s="328"/>
      <c r="P506" s="189"/>
      <c r="Q506" s="432"/>
      <c r="R506" s="584" t="s">
        <v>485</v>
      </c>
      <c r="S506" s="584" t="s">
        <v>1384</v>
      </c>
    </row>
    <row r="507" spans="6:19" ht="10.5" customHeight="1">
      <c r="F507" s="371"/>
      <c r="G507" s="348"/>
      <c r="H507" s="348"/>
      <c r="I507" s="348"/>
      <c r="J507" s="348"/>
      <c r="K507" s="348"/>
      <c r="L507" s="348"/>
      <c r="M507" s="348"/>
      <c r="N507" s="669" t="s">
        <v>2392</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1324</v>
      </c>
      <c r="S508" s="584" t="s">
        <v>338</v>
      </c>
    </row>
    <row r="509" spans="6:19" ht="10.5" customHeight="1">
      <c r="F509" s="371"/>
      <c r="G509" s="348"/>
      <c r="H509" s="348"/>
      <c r="I509" s="348"/>
      <c r="J509" s="348"/>
      <c r="K509" s="348"/>
      <c r="L509" s="348"/>
      <c r="M509" s="348"/>
      <c r="N509" s="669" t="s">
        <v>45</v>
      </c>
      <c r="O509" s="328"/>
      <c r="P509" s="189"/>
      <c r="Q509" s="432"/>
      <c r="R509" s="584" t="s">
        <v>1042</v>
      </c>
      <c r="S509" s="584" t="s">
        <v>1526</v>
      </c>
    </row>
    <row r="510" spans="6:19" ht="10.5" customHeight="1">
      <c r="F510" s="371"/>
      <c r="G510" s="348"/>
      <c r="H510" s="348"/>
      <c r="I510" s="348"/>
      <c r="J510" s="348"/>
      <c r="K510" s="348"/>
      <c r="L510" s="348"/>
      <c r="M510" s="348"/>
      <c r="N510" s="669" t="s">
        <v>2355</v>
      </c>
      <c r="O510" s="328"/>
      <c r="P510" s="189"/>
      <c r="Q510" s="432"/>
      <c r="R510" s="584" t="s">
        <v>1109</v>
      </c>
      <c r="S510" s="584" t="s">
        <v>180</v>
      </c>
    </row>
    <row r="511" spans="6:19" ht="10.5" customHeight="1">
      <c r="F511" s="371"/>
      <c r="G511" s="348"/>
      <c r="H511" s="348"/>
      <c r="I511" s="348"/>
      <c r="J511" s="348"/>
      <c r="K511" s="348"/>
      <c r="L511" s="348"/>
      <c r="M511" s="348"/>
      <c r="N511" s="669" t="s">
        <v>2383</v>
      </c>
      <c r="O511" s="328"/>
      <c r="P511" s="189"/>
      <c r="Q511" s="432"/>
      <c r="R511" s="584" t="s">
        <v>140</v>
      </c>
      <c r="S511" s="584" t="s">
        <v>2657</v>
      </c>
    </row>
    <row r="512" spans="6:19" ht="10.5" customHeight="1">
      <c r="F512" s="371"/>
      <c r="G512" s="348"/>
      <c r="H512" s="348"/>
      <c r="I512" s="348"/>
      <c r="J512" s="348"/>
      <c r="K512" s="348"/>
      <c r="L512" s="348"/>
      <c r="M512" s="348"/>
      <c r="N512" s="669" t="s">
        <v>407</v>
      </c>
      <c r="O512" s="328"/>
      <c r="P512" s="189"/>
      <c r="Q512" s="432"/>
      <c r="R512" s="584" t="s">
        <v>2711</v>
      </c>
      <c r="S512" s="584" t="s">
        <v>1396</v>
      </c>
    </row>
    <row r="513" spans="6:19" ht="10.5" customHeight="1">
      <c r="F513" s="371"/>
      <c r="G513" s="348"/>
      <c r="H513" s="348"/>
      <c r="I513" s="348"/>
      <c r="J513" s="348"/>
      <c r="K513" s="348"/>
      <c r="L513" s="348"/>
      <c r="M513" s="348"/>
      <c r="N513" s="669" t="s">
        <v>409</v>
      </c>
      <c r="O513" s="328"/>
      <c r="P513" s="189"/>
      <c r="Q513" s="432"/>
      <c r="R513" s="584" t="s">
        <v>143</v>
      </c>
      <c r="S513" s="584" t="s">
        <v>690</v>
      </c>
    </row>
    <row r="514" spans="6:19" ht="10.5" customHeight="1">
      <c r="F514" s="371"/>
      <c r="G514" s="348"/>
      <c r="H514" s="348"/>
      <c r="I514" s="348"/>
      <c r="J514" s="348"/>
      <c r="K514" s="348"/>
      <c r="L514" s="348"/>
      <c r="M514" s="348"/>
      <c r="N514" s="669" t="s">
        <v>411</v>
      </c>
      <c r="O514" s="328"/>
      <c r="P514" s="189"/>
      <c r="Q514" s="432"/>
      <c r="R514" s="671" t="s">
        <v>145</v>
      </c>
      <c r="S514" s="671" t="s">
        <v>2605</v>
      </c>
    </row>
    <row r="515" spans="6:19" ht="10.5" customHeight="1">
      <c r="F515" s="371"/>
      <c r="G515" s="348"/>
      <c r="H515" s="348"/>
      <c r="I515" s="348"/>
      <c r="J515" s="348"/>
      <c r="K515" s="348"/>
      <c r="L515" s="348"/>
      <c r="M515" s="348"/>
      <c r="N515" s="669" t="s">
        <v>413</v>
      </c>
      <c r="O515" s="328"/>
      <c r="P515" s="189"/>
      <c r="Q515" s="432"/>
      <c r="R515" s="671" t="s">
        <v>2722</v>
      </c>
      <c r="S515" s="671" t="s">
        <v>1388</v>
      </c>
    </row>
    <row r="516" spans="6:19" ht="10.5" customHeight="1">
      <c r="F516" s="371"/>
      <c r="G516" s="348"/>
      <c r="H516" s="348"/>
      <c r="I516" s="348"/>
      <c r="J516" s="348"/>
      <c r="K516" s="348"/>
      <c r="L516" s="348"/>
      <c r="M516" s="348"/>
      <c r="N516" s="669" t="s">
        <v>1659</v>
      </c>
      <c r="O516" s="328"/>
      <c r="P516" s="189"/>
      <c r="Q516" s="432"/>
      <c r="R516" s="671" t="s">
        <v>2195</v>
      </c>
      <c r="S516" s="671" t="s">
        <v>2611</v>
      </c>
    </row>
    <row r="517" spans="6:19" ht="10.5" customHeight="1">
      <c r="F517" s="371"/>
      <c r="G517" s="348"/>
      <c r="H517" s="348"/>
      <c r="I517" s="348"/>
      <c r="J517" s="348"/>
      <c r="K517" s="348"/>
      <c r="L517" s="348"/>
      <c r="M517" s="348"/>
      <c r="N517" s="669" t="s">
        <v>1661</v>
      </c>
      <c r="O517" s="328"/>
      <c r="P517" s="189"/>
      <c r="Q517" s="432"/>
      <c r="R517" s="584" t="s">
        <v>793</v>
      </c>
      <c r="S517" s="584" t="s">
        <v>124</v>
      </c>
    </row>
    <row r="518" spans="6:19" ht="10.5" customHeight="1">
      <c r="F518" s="371"/>
      <c r="G518" s="348"/>
      <c r="H518" s="348"/>
      <c r="I518" s="348"/>
      <c r="J518" s="348"/>
      <c r="K518" s="348"/>
      <c r="L518" s="348"/>
      <c r="M518" s="348"/>
      <c r="N518" s="669" t="s">
        <v>1663</v>
      </c>
      <c r="O518" s="328"/>
      <c r="P518" s="189"/>
      <c r="Q518" s="432"/>
      <c r="R518" s="584" t="s">
        <v>794</v>
      </c>
      <c r="S518" s="584" t="s">
        <v>189</v>
      </c>
    </row>
    <row r="519" spans="6:19" ht="10.5" customHeight="1">
      <c r="F519" s="371"/>
      <c r="G519" s="348"/>
      <c r="H519" s="348"/>
      <c r="I519" s="348"/>
      <c r="J519" s="348"/>
      <c r="K519" s="348"/>
      <c r="L519" s="348"/>
      <c r="M519" s="348"/>
      <c r="N519" s="669" t="s">
        <v>2720</v>
      </c>
      <c r="O519" s="328"/>
      <c r="P519" s="189"/>
      <c r="Q519" s="432"/>
      <c r="R519" s="584" t="s">
        <v>741</v>
      </c>
      <c r="S519" s="584" t="s">
        <v>772</v>
      </c>
    </row>
    <row r="520" spans="6:19" ht="10.5" customHeight="1">
      <c r="F520" s="371"/>
      <c r="G520" s="348"/>
      <c r="H520" s="348"/>
      <c r="I520" s="348"/>
      <c r="J520" s="348"/>
      <c r="K520" s="348"/>
      <c r="L520" s="348"/>
      <c r="M520" s="348"/>
      <c r="N520" s="669" t="s">
        <v>2574</v>
      </c>
      <c r="O520" s="328"/>
      <c r="P520" s="189"/>
      <c r="Q520" s="432"/>
      <c r="R520" s="584" t="s">
        <v>743</v>
      </c>
      <c r="S520" s="584" t="s">
        <v>1155</v>
      </c>
    </row>
    <row r="521" spans="6:19" ht="10.5" customHeight="1">
      <c r="F521" s="371"/>
      <c r="G521" s="348"/>
      <c r="H521" s="348"/>
      <c r="I521" s="348"/>
      <c r="J521" s="348"/>
      <c r="K521" s="348"/>
      <c r="L521" s="348"/>
      <c r="M521" s="348"/>
      <c r="N521" s="669" t="s">
        <v>1919</v>
      </c>
      <c r="O521" s="328"/>
      <c r="P521" s="189"/>
      <c r="Q521" s="432"/>
      <c r="R521" s="584" t="s">
        <v>2393</v>
      </c>
      <c r="S521" s="584" t="s">
        <v>1264</v>
      </c>
    </row>
    <row r="522" spans="6:19" ht="10.5" customHeight="1">
      <c r="F522" s="371"/>
      <c r="G522" s="348"/>
      <c r="H522" s="348"/>
      <c r="I522" s="348"/>
      <c r="J522" s="348"/>
      <c r="K522" s="348"/>
      <c r="L522" s="348"/>
      <c r="M522" s="348"/>
      <c r="N522" s="669" t="s">
        <v>1921</v>
      </c>
      <c r="O522" s="328"/>
      <c r="P522" s="189"/>
      <c r="Q522" s="432"/>
      <c r="R522" s="584" t="s">
        <v>2393</v>
      </c>
      <c r="S522" s="584" t="s">
        <v>1264</v>
      </c>
    </row>
    <row r="523" spans="6:19" ht="10.5" customHeight="1">
      <c r="F523" s="371"/>
      <c r="G523" s="348"/>
      <c r="H523" s="348"/>
      <c r="I523" s="348"/>
      <c r="J523" s="348"/>
      <c r="K523" s="348"/>
      <c r="L523" s="348"/>
      <c r="M523" s="348"/>
      <c r="N523" s="669" t="s">
        <v>1923</v>
      </c>
      <c r="O523" s="328"/>
      <c r="P523" s="189"/>
      <c r="Q523" s="432"/>
      <c r="R523" s="584" t="s">
        <v>46</v>
      </c>
      <c r="S523" s="584" t="s">
        <v>1387</v>
      </c>
    </row>
    <row r="524" spans="6:19" ht="10.5" customHeight="1">
      <c r="F524" s="371"/>
      <c r="G524" s="348"/>
      <c r="H524" s="348"/>
      <c r="I524" s="348"/>
      <c r="J524" s="348"/>
      <c r="K524" s="348"/>
      <c r="L524" s="348"/>
      <c r="M524" s="348"/>
      <c r="N524" s="669" t="s">
        <v>1924</v>
      </c>
      <c r="O524" s="328"/>
      <c r="P524" s="189"/>
      <c r="Q524" s="432"/>
      <c r="R524" s="584" t="s">
        <v>2356</v>
      </c>
      <c r="S524" s="584" t="s">
        <v>1381</v>
      </c>
    </row>
    <row r="525" spans="6:19" ht="10.5" customHeight="1">
      <c r="F525" s="371"/>
      <c r="G525" s="348"/>
      <c r="H525" s="348"/>
      <c r="I525" s="348"/>
      <c r="J525" s="348"/>
      <c r="K525" s="348"/>
      <c r="L525" s="348"/>
      <c r="M525" s="348"/>
      <c r="N525" s="669" t="s">
        <v>1926</v>
      </c>
      <c r="O525" s="328"/>
      <c r="P525" s="189"/>
      <c r="Q525" s="432"/>
      <c r="R525" s="584" t="s">
        <v>871</v>
      </c>
      <c r="S525" s="584" t="s">
        <v>180</v>
      </c>
    </row>
    <row r="526" spans="6:19" ht="10.5" customHeight="1">
      <c r="F526" s="371"/>
      <c r="G526" s="348"/>
      <c r="H526" s="348"/>
      <c r="I526" s="348"/>
      <c r="J526" s="348"/>
      <c r="K526" s="348"/>
      <c r="L526" s="348"/>
      <c r="M526" s="348"/>
      <c r="N526" s="669" t="s">
        <v>1928</v>
      </c>
      <c r="O526" s="328"/>
      <c r="P526" s="189"/>
      <c r="Q526" s="432"/>
      <c r="R526" s="584" t="s">
        <v>1079</v>
      </c>
      <c r="S526" s="584" t="s">
        <v>1143</v>
      </c>
    </row>
    <row r="527" spans="6:19" ht="10.5" customHeight="1">
      <c r="F527" s="371"/>
      <c r="G527" s="348"/>
      <c r="H527" s="348"/>
      <c r="I527" s="348"/>
      <c r="J527" s="348"/>
      <c r="K527" s="348"/>
      <c r="L527" s="348"/>
      <c r="M527" s="348"/>
      <c r="N527" s="669" t="s">
        <v>1930</v>
      </c>
      <c r="O527" s="328"/>
      <c r="P527" s="189"/>
      <c r="Q527" s="432"/>
      <c r="R527" s="584" t="s">
        <v>408</v>
      </c>
      <c r="S527" s="584" t="s">
        <v>2716</v>
      </c>
    </row>
    <row r="528" spans="6:19" ht="10.5" customHeight="1">
      <c r="F528" s="371"/>
      <c r="G528" s="348"/>
      <c r="H528" s="348"/>
      <c r="I528" s="348"/>
      <c r="J528" s="348"/>
      <c r="K528" s="348"/>
      <c r="L528" s="348"/>
      <c r="M528" s="348"/>
      <c r="N528" s="669" t="s">
        <v>1932</v>
      </c>
      <c r="O528" s="328"/>
      <c r="P528" s="189"/>
      <c r="Q528" s="432"/>
      <c r="R528" s="584" t="s">
        <v>410</v>
      </c>
      <c r="S528" s="584" t="s">
        <v>2270</v>
      </c>
    </row>
    <row r="529" spans="6:19" ht="10.5" customHeight="1">
      <c r="F529" s="371"/>
      <c r="G529" s="348"/>
      <c r="H529" s="348"/>
      <c r="I529" s="348"/>
      <c r="J529" s="348"/>
      <c r="K529" s="348"/>
      <c r="L529" s="348"/>
      <c r="M529" s="348"/>
      <c r="N529" s="669" t="s">
        <v>1933</v>
      </c>
      <c r="O529" s="328"/>
      <c r="P529" s="189"/>
      <c r="Q529" s="432"/>
      <c r="R529" s="584" t="s">
        <v>412</v>
      </c>
      <c r="S529" s="584" t="s">
        <v>2657</v>
      </c>
    </row>
    <row r="530" spans="6:19" ht="10.5" customHeight="1">
      <c r="F530" s="371"/>
      <c r="G530" s="348"/>
      <c r="H530" s="348"/>
      <c r="I530" s="348"/>
      <c r="J530" s="348"/>
      <c r="K530" s="348"/>
      <c r="L530" s="348"/>
      <c r="M530" s="348"/>
      <c r="N530" s="669" t="s">
        <v>1899</v>
      </c>
      <c r="O530" s="328"/>
      <c r="P530" s="189"/>
      <c r="Q530" s="432"/>
      <c r="R530" s="584" t="s">
        <v>2716</v>
      </c>
      <c r="S530" s="584" t="s">
        <v>1868</v>
      </c>
    </row>
    <row r="531" spans="6:19" ht="10.5" customHeight="1">
      <c r="F531" s="371"/>
      <c r="G531" s="348"/>
      <c r="H531" s="348"/>
      <c r="I531" s="348"/>
      <c r="J531" s="348"/>
      <c r="K531" s="348"/>
      <c r="L531" s="348"/>
      <c r="M531" s="348"/>
      <c r="N531" s="669" t="s">
        <v>1720</v>
      </c>
      <c r="O531" s="328"/>
      <c r="P531" s="189"/>
      <c r="Q531" s="432"/>
      <c r="R531" s="584" t="s">
        <v>1660</v>
      </c>
      <c r="S531" s="584" t="s">
        <v>2609</v>
      </c>
    </row>
    <row r="532" spans="6:19" ht="10.5" customHeight="1">
      <c r="F532" s="371"/>
      <c r="G532" s="348"/>
      <c r="H532" s="348"/>
      <c r="I532" s="348"/>
      <c r="J532" s="348"/>
      <c r="K532" s="348"/>
      <c r="L532" s="348"/>
      <c r="M532" s="348"/>
      <c r="N532" s="669" t="s">
        <v>1721</v>
      </c>
      <c r="O532" s="328"/>
      <c r="P532" s="189"/>
      <c r="Q532" s="432"/>
      <c r="R532" s="584" t="s">
        <v>1662</v>
      </c>
      <c r="S532" s="584" t="s">
        <v>336</v>
      </c>
    </row>
    <row r="533" spans="6:19" ht="10.5" customHeight="1">
      <c r="F533" s="371"/>
      <c r="G533" s="348"/>
      <c r="H533" s="348"/>
      <c r="I533" s="348"/>
      <c r="J533" s="348"/>
      <c r="K533" s="348"/>
      <c r="L533" s="348"/>
      <c r="M533" s="348"/>
      <c r="N533" s="669" t="s">
        <v>1723</v>
      </c>
      <c r="O533" s="328"/>
      <c r="P533" s="189"/>
      <c r="Q533" s="432"/>
      <c r="R533" s="584" t="s">
        <v>1510</v>
      </c>
      <c r="S533" s="584" t="s">
        <v>123</v>
      </c>
    </row>
    <row r="534" spans="6:19" ht="10.5" customHeight="1">
      <c r="F534" s="371"/>
      <c r="G534" s="348"/>
      <c r="H534" s="348"/>
      <c r="I534" s="348"/>
      <c r="J534" s="348"/>
      <c r="K534" s="348"/>
      <c r="L534" s="348"/>
      <c r="M534" s="348"/>
      <c r="N534" s="669" t="s">
        <v>2381</v>
      </c>
      <c r="O534" s="328"/>
      <c r="P534" s="189"/>
      <c r="Q534" s="432"/>
      <c r="R534" s="671" t="s">
        <v>2573</v>
      </c>
      <c r="S534" s="671" t="s">
        <v>2611</v>
      </c>
    </row>
    <row r="535" spans="6:19" ht="10.5" customHeight="1">
      <c r="F535" s="371"/>
      <c r="G535" s="348"/>
      <c r="H535" s="348"/>
      <c r="I535" s="348"/>
      <c r="J535" s="348"/>
      <c r="K535" s="348"/>
      <c r="L535" s="348"/>
      <c r="M535" s="348"/>
      <c r="N535" s="669" t="s">
        <v>582</v>
      </c>
      <c r="O535" s="328"/>
      <c r="P535" s="189"/>
      <c r="Q535" s="432"/>
      <c r="R535" s="584" t="s">
        <v>1110</v>
      </c>
      <c r="S535" s="584" t="s">
        <v>658</v>
      </c>
    </row>
    <row r="536" spans="6:19" ht="10.5" customHeight="1">
      <c r="F536" s="371"/>
      <c r="G536" s="348"/>
      <c r="H536" s="348"/>
      <c r="I536" s="348"/>
      <c r="J536" s="348"/>
      <c r="K536" s="348"/>
      <c r="L536" s="348"/>
      <c r="M536" s="348"/>
      <c r="N536" s="669" t="s">
        <v>584</v>
      </c>
      <c r="O536" s="328"/>
      <c r="P536" s="189"/>
      <c r="Q536" s="432"/>
      <c r="R536" s="584" t="s">
        <v>1111</v>
      </c>
      <c r="S536" s="584" t="s">
        <v>658</v>
      </c>
    </row>
    <row r="537" spans="6:19" ht="10.5" customHeight="1">
      <c r="F537" s="371"/>
      <c r="G537" s="348"/>
      <c r="H537" s="348"/>
      <c r="I537" s="348"/>
      <c r="J537" s="348"/>
      <c r="K537" s="348"/>
      <c r="L537" s="348"/>
      <c r="M537" s="348"/>
      <c r="N537" s="669" t="s">
        <v>586</v>
      </c>
      <c r="O537" s="328"/>
      <c r="P537" s="189"/>
      <c r="Q537" s="432"/>
      <c r="R537" s="584" t="s">
        <v>1112</v>
      </c>
      <c r="S537" s="584" t="s">
        <v>658</v>
      </c>
    </row>
    <row r="538" spans="6:19" ht="10.5" customHeight="1">
      <c r="F538" s="371"/>
      <c r="G538" s="348"/>
      <c r="H538" s="348"/>
      <c r="I538" s="348"/>
      <c r="J538" s="348"/>
      <c r="K538" s="348"/>
      <c r="L538" s="348"/>
      <c r="M538" s="348"/>
      <c r="N538" s="669" t="s">
        <v>2153</v>
      </c>
      <c r="O538" s="328"/>
      <c r="P538" s="189"/>
      <c r="Q538" s="432"/>
      <c r="R538" s="584" t="s">
        <v>1909</v>
      </c>
      <c r="S538" s="584" t="s">
        <v>2717</v>
      </c>
    </row>
    <row r="539" spans="6:19" ht="10.5" customHeight="1">
      <c r="F539" s="371"/>
      <c r="G539" s="348"/>
      <c r="H539" s="348"/>
      <c r="I539" s="348"/>
      <c r="J539" s="348"/>
      <c r="K539" s="348"/>
      <c r="L539" s="348"/>
      <c r="M539" s="348"/>
      <c r="N539" s="669" t="s">
        <v>1520</v>
      </c>
      <c r="O539" s="328"/>
      <c r="P539" s="189"/>
      <c r="Q539" s="432"/>
      <c r="R539" s="584" t="s">
        <v>1920</v>
      </c>
      <c r="S539" s="584" t="s">
        <v>106</v>
      </c>
    </row>
    <row r="540" spans="6:19" ht="10.5" customHeight="1">
      <c r="F540" s="371"/>
      <c r="G540" s="348"/>
      <c r="H540" s="348"/>
      <c r="I540" s="348"/>
      <c r="J540" s="348"/>
      <c r="K540" s="348"/>
      <c r="L540" s="348"/>
      <c r="M540" s="348"/>
      <c r="N540" s="669" t="s">
        <v>1522</v>
      </c>
      <c r="O540" s="328"/>
      <c r="P540" s="189"/>
      <c r="Q540" s="432"/>
      <c r="R540" s="584" t="s">
        <v>1922</v>
      </c>
      <c r="S540" s="584" t="s">
        <v>2350</v>
      </c>
    </row>
    <row r="541" spans="6:19" ht="10.5" customHeight="1">
      <c r="F541" s="371"/>
      <c r="G541" s="348"/>
      <c r="H541" s="348"/>
      <c r="I541" s="348"/>
      <c r="J541" s="348"/>
      <c r="K541" s="348"/>
      <c r="L541" s="348"/>
      <c r="M541" s="348"/>
      <c r="N541" s="669" t="s">
        <v>1523</v>
      </c>
      <c r="O541" s="328"/>
      <c r="P541" s="189"/>
      <c r="Q541" s="432"/>
      <c r="R541" s="584" t="s">
        <v>1925</v>
      </c>
      <c r="S541" s="584" t="s">
        <v>2350</v>
      </c>
    </row>
    <row r="542" spans="6:19" ht="10.5" customHeight="1">
      <c r="F542" s="371"/>
      <c r="G542" s="348"/>
      <c r="H542" s="348"/>
      <c r="I542" s="348"/>
      <c r="J542" s="348"/>
      <c r="K542" s="348"/>
      <c r="L542" s="348"/>
      <c r="M542" s="348"/>
      <c r="N542" s="669" t="s">
        <v>1657</v>
      </c>
      <c r="O542" s="328"/>
      <c r="P542" s="189"/>
      <c r="Q542" s="432"/>
      <c r="R542" s="584" t="s">
        <v>1927</v>
      </c>
      <c r="S542" s="584" t="s">
        <v>324</v>
      </c>
    </row>
    <row r="543" spans="6:19" ht="10.5" customHeight="1">
      <c r="F543" s="371"/>
      <c r="G543" s="348"/>
      <c r="H543" s="348"/>
      <c r="I543" s="348"/>
      <c r="J543" s="348"/>
      <c r="K543" s="348"/>
      <c r="L543" s="348"/>
      <c r="M543" s="348"/>
      <c r="N543" s="669" t="s">
        <v>2219</v>
      </c>
      <c r="O543" s="328"/>
      <c r="P543" s="189"/>
      <c r="Q543" s="432"/>
      <c r="R543" s="584" t="s">
        <v>1929</v>
      </c>
      <c r="S543" s="584" t="s">
        <v>1745</v>
      </c>
    </row>
    <row r="544" spans="6:19" ht="10.5" customHeight="1">
      <c r="F544" s="371"/>
      <c r="G544" s="348"/>
      <c r="H544" s="348"/>
      <c r="I544" s="348"/>
      <c r="J544" s="348"/>
      <c r="K544" s="348"/>
      <c r="L544" s="348"/>
      <c r="M544" s="348"/>
      <c r="N544" s="669" t="s">
        <v>2221</v>
      </c>
      <c r="O544" s="328"/>
      <c r="P544" s="189"/>
      <c r="Q544" s="432"/>
      <c r="R544" s="584" t="s">
        <v>1931</v>
      </c>
      <c r="S544" s="584" t="s">
        <v>334</v>
      </c>
    </row>
    <row r="545" spans="6:19" ht="10.5" customHeight="1">
      <c r="F545" s="371"/>
      <c r="G545" s="348"/>
      <c r="H545" s="348"/>
      <c r="I545" s="348"/>
      <c r="J545" s="348"/>
      <c r="K545" s="348"/>
      <c r="L545" s="348"/>
      <c r="M545" s="348"/>
      <c r="N545" s="669" t="s">
        <v>2223</v>
      </c>
      <c r="O545" s="328"/>
      <c r="P545" s="189"/>
      <c r="Q545" s="432"/>
      <c r="R545" s="671" t="s">
        <v>2717</v>
      </c>
      <c r="S545" s="671" t="s">
        <v>108</v>
      </c>
    </row>
    <row r="546" spans="6:19" ht="10.5" customHeight="1">
      <c r="F546" s="371"/>
      <c r="G546" s="348"/>
      <c r="H546" s="348"/>
      <c r="I546" s="348"/>
      <c r="J546" s="348"/>
      <c r="K546" s="348"/>
      <c r="L546" s="348"/>
      <c r="M546" s="348"/>
      <c r="N546" s="669" t="s">
        <v>1512</v>
      </c>
      <c r="O546" s="328"/>
      <c r="P546" s="189"/>
      <c r="Q546" s="432"/>
      <c r="R546" s="584" t="s">
        <v>2042</v>
      </c>
      <c r="S546" s="584" t="s">
        <v>110</v>
      </c>
    </row>
    <row r="547" spans="6:19" ht="10.5" customHeight="1">
      <c r="F547" s="371"/>
      <c r="G547" s="348"/>
      <c r="H547" s="348"/>
      <c r="I547" s="348"/>
      <c r="J547" s="348"/>
      <c r="K547" s="348"/>
      <c r="L547" s="348"/>
      <c r="M547" s="348"/>
      <c r="N547" s="669" t="s">
        <v>1514</v>
      </c>
      <c r="O547" s="328"/>
      <c r="P547" s="189"/>
      <c r="Q547" s="432"/>
      <c r="R547" s="584" t="s">
        <v>1900</v>
      </c>
      <c r="S547" s="584" t="s">
        <v>1144</v>
      </c>
    </row>
    <row r="548" spans="6:19" ht="10.5" customHeight="1">
      <c r="F548" s="371"/>
      <c r="G548" s="348"/>
      <c r="H548" s="348"/>
      <c r="I548" s="348"/>
      <c r="J548" s="348"/>
      <c r="K548" s="348"/>
      <c r="L548" s="348"/>
      <c r="M548" s="348"/>
      <c r="N548" s="669" t="s">
        <v>1631</v>
      </c>
      <c r="O548" s="328"/>
      <c r="P548" s="189"/>
      <c r="Q548" s="432"/>
      <c r="R548" s="584" t="s">
        <v>2718</v>
      </c>
      <c r="S548" s="584" t="s">
        <v>1384</v>
      </c>
    </row>
    <row r="549" spans="6:19" ht="10.5" customHeight="1">
      <c r="F549" s="371"/>
      <c r="G549" s="348"/>
      <c r="H549" s="348"/>
      <c r="I549" s="348"/>
      <c r="J549" s="348"/>
      <c r="K549" s="348"/>
      <c r="L549" s="348"/>
      <c r="M549" s="348"/>
      <c r="N549" s="669" t="s">
        <v>1633</v>
      </c>
      <c r="O549" s="328"/>
      <c r="P549" s="189"/>
      <c r="Q549" s="432"/>
      <c r="R549" s="584" t="s">
        <v>1722</v>
      </c>
      <c r="S549" s="584" t="s">
        <v>2270</v>
      </c>
    </row>
    <row r="550" spans="6:19" ht="10.5" customHeight="1">
      <c r="F550" s="371"/>
      <c r="G550" s="348"/>
      <c r="H550" s="348"/>
      <c r="I550" s="348"/>
      <c r="J550" s="348"/>
      <c r="K550" s="348"/>
      <c r="L550" s="348"/>
      <c r="M550" s="348"/>
      <c r="N550" s="669" t="s">
        <v>2151</v>
      </c>
      <c r="O550" s="328"/>
      <c r="P550" s="189"/>
      <c r="Q550" s="432"/>
      <c r="R550" s="584" t="s">
        <v>872</v>
      </c>
      <c r="S550" s="584" t="s">
        <v>2277</v>
      </c>
    </row>
    <row r="551" spans="6:19" ht="10.5" customHeight="1">
      <c r="F551" s="371"/>
      <c r="G551" s="348"/>
      <c r="H551" s="348"/>
      <c r="I551" s="348"/>
      <c r="J551" s="348"/>
      <c r="K551" s="348"/>
      <c r="L551" s="348"/>
      <c r="M551" s="348"/>
      <c r="N551" s="669" t="s">
        <v>1965</v>
      </c>
      <c r="O551" s="328"/>
      <c r="P551" s="189"/>
      <c r="Q551" s="432"/>
      <c r="R551" s="584" t="s">
        <v>2380</v>
      </c>
      <c r="S551" s="584" t="s">
        <v>1747</v>
      </c>
    </row>
    <row r="552" spans="6:19" ht="10.5" customHeight="1">
      <c r="F552" s="371"/>
      <c r="G552" s="348"/>
      <c r="H552" s="348"/>
      <c r="I552" s="348"/>
      <c r="J552" s="348"/>
      <c r="K552" s="348"/>
      <c r="L552" s="348"/>
      <c r="M552" s="348"/>
      <c r="N552" s="669" t="s">
        <v>289</v>
      </c>
      <c r="O552" s="328"/>
      <c r="P552" s="189"/>
      <c r="Q552" s="432"/>
      <c r="R552" s="584" t="s">
        <v>2382</v>
      </c>
      <c r="S552" s="584" t="s">
        <v>2274</v>
      </c>
    </row>
    <row r="553" spans="6:19" ht="10.5" customHeight="1">
      <c r="F553" s="371"/>
      <c r="G553" s="348"/>
      <c r="H553" s="348"/>
      <c r="I553" s="348"/>
      <c r="J553" s="348"/>
      <c r="K553" s="348"/>
      <c r="L553" s="348"/>
      <c r="M553" s="348"/>
      <c r="N553" s="669" t="s">
        <v>1768</v>
      </c>
      <c r="O553" s="328"/>
      <c r="P553" s="189"/>
      <c r="Q553" s="432"/>
      <c r="R553" s="584" t="s">
        <v>583</v>
      </c>
      <c r="S553" s="584" t="s">
        <v>2716</v>
      </c>
    </row>
    <row r="554" spans="6:19" ht="10.5" customHeight="1">
      <c r="F554" s="371"/>
      <c r="G554" s="348"/>
      <c r="H554" s="348"/>
      <c r="I554" s="348"/>
      <c r="J554" s="348"/>
      <c r="K554" s="348"/>
      <c r="L554" s="348"/>
      <c r="M554" s="348"/>
      <c r="N554" s="669" t="s">
        <v>273</v>
      </c>
      <c r="O554" s="328"/>
      <c r="P554" s="189"/>
      <c r="Q554" s="432"/>
      <c r="R554" s="584" t="s">
        <v>585</v>
      </c>
      <c r="S554" s="584" t="s">
        <v>1264</v>
      </c>
    </row>
    <row r="555" spans="6:19" ht="10.5" customHeight="1">
      <c r="F555" s="371"/>
      <c r="G555" s="348"/>
      <c r="H555" s="348"/>
      <c r="I555" s="348"/>
      <c r="J555" s="348"/>
      <c r="K555" s="348"/>
      <c r="L555" s="348"/>
      <c r="M555" s="348"/>
      <c r="N555" s="669" t="s">
        <v>287</v>
      </c>
      <c r="O555" s="328"/>
      <c r="P555" s="189"/>
      <c r="Q555" s="432"/>
      <c r="R555" s="584" t="s">
        <v>1113</v>
      </c>
      <c r="S555" s="584" t="s">
        <v>658</v>
      </c>
    </row>
    <row r="556" spans="6:19" ht="10.5" customHeight="1">
      <c r="F556" s="371"/>
      <c r="G556" s="348"/>
      <c r="H556" s="348"/>
      <c r="I556" s="348"/>
      <c r="J556" s="348"/>
      <c r="K556" s="348"/>
      <c r="L556" s="348"/>
      <c r="M556" s="348"/>
      <c r="N556" s="669" t="s">
        <v>1239</v>
      </c>
      <c r="O556" s="328"/>
      <c r="P556" s="189"/>
      <c r="Q556" s="432"/>
      <c r="R556" s="584" t="s">
        <v>587</v>
      </c>
      <c r="S556" s="584" t="s">
        <v>1744</v>
      </c>
    </row>
    <row r="557" spans="6:19" ht="10.5" customHeight="1">
      <c r="F557" s="371"/>
      <c r="G557" s="348"/>
      <c r="H557" s="348"/>
      <c r="I557" s="348"/>
      <c r="J557" s="348"/>
      <c r="K557" s="348"/>
      <c r="L557" s="348"/>
      <c r="M557" s="348"/>
      <c r="N557" s="669" t="s">
        <v>782</v>
      </c>
      <c r="O557" s="328"/>
      <c r="P557" s="189"/>
      <c r="Q557" s="432"/>
      <c r="R557" s="584" t="s">
        <v>1233</v>
      </c>
      <c r="S557" s="584" t="s">
        <v>1144</v>
      </c>
    </row>
    <row r="558" spans="6:19" ht="10.5" customHeight="1">
      <c r="F558" s="371"/>
      <c r="G558" s="348"/>
      <c r="H558" s="348"/>
      <c r="I558" s="348"/>
      <c r="J558" s="348"/>
      <c r="K558" s="348"/>
      <c r="L558" s="348"/>
      <c r="M558" s="348"/>
      <c r="N558" s="669" t="s">
        <v>784</v>
      </c>
      <c r="O558" s="328"/>
      <c r="P558" s="189"/>
      <c r="Q558" s="432"/>
      <c r="R558" s="584" t="s">
        <v>1521</v>
      </c>
      <c r="S558" s="584" t="s">
        <v>1745</v>
      </c>
    </row>
    <row r="559" spans="6:19" ht="10.5" customHeight="1">
      <c r="F559" s="371"/>
      <c r="G559" s="348"/>
      <c r="H559" s="348"/>
      <c r="I559" s="348"/>
      <c r="J559" s="348"/>
      <c r="K559" s="348"/>
      <c r="L559" s="348"/>
      <c r="M559" s="348"/>
      <c r="N559" s="669" t="s">
        <v>1076</v>
      </c>
      <c r="O559" s="328"/>
      <c r="P559" s="189"/>
      <c r="Q559" s="432"/>
      <c r="R559" s="584" t="s">
        <v>3251</v>
      </c>
      <c r="S559" s="584" t="s">
        <v>1383</v>
      </c>
    </row>
    <row r="560" spans="6:19" ht="10.5" customHeight="1">
      <c r="F560" s="371"/>
      <c r="G560" s="348"/>
      <c r="H560" s="348"/>
      <c r="I560" s="348"/>
      <c r="J560" s="348"/>
      <c r="K560" s="348"/>
      <c r="L560" s="348"/>
      <c r="M560" s="348"/>
      <c r="N560" s="669" t="s">
        <v>1078</v>
      </c>
      <c r="O560" s="328"/>
      <c r="P560" s="189"/>
      <c r="Q560" s="432"/>
      <c r="R560" s="584" t="s">
        <v>1524</v>
      </c>
      <c r="S560" s="584" t="s">
        <v>692</v>
      </c>
    </row>
    <row r="561" spans="6:19" ht="10.5" customHeight="1">
      <c r="F561" s="371"/>
      <c r="G561" s="348"/>
      <c r="H561" s="348"/>
      <c r="I561" s="348"/>
      <c r="J561" s="348"/>
      <c r="K561" s="348"/>
      <c r="L561" s="348"/>
      <c r="M561" s="348"/>
      <c r="N561" s="669" t="s">
        <v>1904</v>
      </c>
      <c r="O561" s="328"/>
      <c r="P561" s="189"/>
      <c r="Q561" s="432"/>
      <c r="R561" s="671" t="s">
        <v>3252</v>
      </c>
      <c r="S561" s="671" t="s">
        <v>123</v>
      </c>
    </row>
    <row r="562" spans="6:19" ht="10.5" customHeight="1">
      <c r="F562" s="371"/>
      <c r="G562" s="348"/>
      <c r="H562" s="348"/>
      <c r="I562" s="348"/>
      <c r="J562" s="348"/>
      <c r="K562" s="348"/>
      <c r="L562" s="348"/>
      <c r="M562" s="348"/>
      <c r="N562" s="669" t="s">
        <v>1906</v>
      </c>
      <c r="O562" s="328"/>
      <c r="P562" s="189"/>
      <c r="Q562" s="432"/>
      <c r="R562" s="584" t="s">
        <v>1658</v>
      </c>
      <c r="S562" s="584" t="s">
        <v>1864</v>
      </c>
    </row>
    <row r="563" spans="6:19" ht="10.5" customHeight="1">
      <c r="F563" s="371"/>
      <c r="G563" s="348"/>
      <c r="H563" s="348"/>
      <c r="I563" s="348"/>
      <c r="J563" s="348"/>
      <c r="K563" s="348"/>
      <c r="L563" s="348"/>
      <c r="M563" s="348"/>
      <c r="N563" s="669" t="s">
        <v>1907</v>
      </c>
      <c r="O563" s="328"/>
      <c r="P563" s="189"/>
      <c r="Q563" s="432"/>
      <c r="R563" s="584" t="s">
        <v>2220</v>
      </c>
      <c r="S563" s="584" t="s">
        <v>1711</v>
      </c>
    </row>
    <row r="564" spans="6:19" ht="10.5" customHeight="1">
      <c r="F564" s="371"/>
      <c r="G564" s="348"/>
      <c r="H564" s="348"/>
      <c r="I564" s="348"/>
      <c r="J564" s="348"/>
      <c r="K564" s="348"/>
      <c r="L564" s="348"/>
      <c r="M564" s="348"/>
      <c r="N564" s="669" t="s">
        <v>1188</v>
      </c>
      <c r="O564" s="328"/>
      <c r="P564" s="189"/>
      <c r="Q564" s="432"/>
      <c r="R564" s="671" t="s">
        <v>2222</v>
      </c>
      <c r="S564" s="671" t="s">
        <v>1389</v>
      </c>
    </row>
    <row r="565" spans="6:19" ht="10.5" customHeight="1">
      <c r="F565" s="371"/>
      <c r="G565" s="348"/>
      <c r="H565" s="348"/>
      <c r="I565" s="348"/>
      <c r="J565" s="348"/>
      <c r="K565" s="348"/>
      <c r="L565" s="348"/>
      <c r="M565" s="348"/>
      <c r="N565" s="669" t="s">
        <v>415</v>
      </c>
      <c r="O565" s="328"/>
      <c r="P565" s="189"/>
      <c r="Q565" s="432"/>
      <c r="R565" s="584" t="s">
        <v>1511</v>
      </c>
      <c r="S565" s="584" t="s">
        <v>336</v>
      </c>
    </row>
    <row r="566" spans="6:19" ht="10.5" customHeight="1">
      <c r="F566" s="371"/>
      <c r="G566" s="348"/>
      <c r="H566" s="348"/>
      <c r="I566" s="348"/>
      <c r="J566" s="348"/>
      <c r="K566" s="348"/>
      <c r="L566" s="348"/>
      <c r="M566" s="348"/>
      <c r="N566" s="669" t="s">
        <v>4</v>
      </c>
      <c r="O566" s="328"/>
      <c r="P566" s="189"/>
      <c r="Q566" s="432"/>
      <c r="R566" s="584" t="s">
        <v>3253</v>
      </c>
      <c r="S566" s="584" t="s">
        <v>343</v>
      </c>
    </row>
    <row r="567" spans="6:19" ht="10.5" customHeight="1">
      <c r="F567" s="371"/>
      <c r="G567" s="348"/>
      <c r="H567" s="348"/>
      <c r="I567" s="348"/>
      <c r="J567" s="348"/>
      <c r="K567" s="348"/>
      <c r="L567" s="348"/>
      <c r="M567" s="348"/>
      <c r="N567" s="669" t="s">
        <v>6</v>
      </c>
      <c r="O567" s="328"/>
      <c r="P567" s="189"/>
      <c r="Q567" s="432"/>
      <c r="R567" s="584" t="s">
        <v>1513</v>
      </c>
      <c r="S567" s="584" t="s">
        <v>333</v>
      </c>
    </row>
    <row r="568" spans="6:19" ht="10.5" customHeight="1">
      <c r="F568" s="371"/>
      <c r="G568" s="348"/>
      <c r="H568" s="348"/>
      <c r="I568" s="348"/>
      <c r="J568" s="348"/>
      <c r="K568" s="348"/>
      <c r="L568" s="348"/>
      <c r="M568" s="348"/>
      <c r="N568" s="669" t="s">
        <v>8</v>
      </c>
      <c r="O568" s="328"/>
      <c r="P568" s="189"/>
      <c r="Q568" s="432"/>
      <c r="R568" s="671" t="s">
        <v>1114</v>
      </c>
      <c r="S568" s="671" t="s">
        <v>1747</v>
      </c>
    </row>
    <row r="569" spans="6:19" ht="10.5" customHeight="1">
      <c r="F569" s="371"/>
      <c r="G569" s="348"/>
      <c r="H569" s="348"/>
      <c r="I569" s="348"/>
      <c r="J569" s="348"/>
      <c r="K569" s="348"/>
      <c r="L569" s="348"/>
      <c r="M569" s="348"/>
      <c r="N569" s="669" t="s">
        <v>10</v>
      </c>
      <c r="O569" s="328"/>
      <c r="P569" s="189"/>
      <c r="Q569" s="432"/>
      <c r="R569" s="671" t="s">
        <v>1515</v>
      </c>
      <c r="S569" s="671" t="s">
        <v>658</v>
      </c>
    </row>
    <row r="570" spans="6:19" ht="10.5" customHeight="1">
      <c r="F570" s="371"/>
      <c r="G570" s="348"/>
      <c r="H570" s="348"/>
      <c r="I570" s="348"/>
      <c r="J570" s="348"/>
      <c r="K570" s="348"/>
      <c r="L570" s="348"/>
      <c r="M570" s="348"/>
      <c r="N570" s="669" t="s">
        <v>2243</v>
      </c>
      <c r="O570" s="328"/>
      <c r="P570" s="189"/>
      <c r="Q570" s="432"/>
      <c r="R570" s="584" t="s">
        <v>1632</v>
      </c>
      <c r="S570" s="584" t="s">
        <v>328</v>
      </c>
    </row>
    <row r="571" spans="6:19" ht="10.5" customHeight="1">
      <c r="F571" s="371"/>
      <c r="G571" s="348"/>
      <c r="H571" s="348"/>
      <c r="I571" s="348"/>
      <c r="J571" s="348"/>
      <c r="K571" s="348"/>
      <c r="L571" s="348"/>
      <c r="M571" s="348"/>
      <c r="N571" s="669" t="s">
        <v>2245</v>
      </c>
      <c r="O571" s="328"/>
      <c r="P571" s="189"/>
      <c r="Q571" s="432"/>
      <c r="R571" s="584" t="s">
        <v>2152</v>
      </c>
      <c r="S571" s="584" t="s">
        <v>997</v>
      </c>
    </row>
    <row r="572" spans="6:19" ht="10.5" customHeight="1">
      <c r="F572" s="371"/>
      <c r="G572" s="348"/>
      <c r="H572" s="348"/>
      <c r="I572" s="348"/>
      <c r="J572" s="348"/>
      <c r="K572" s="348"/>
      <c r="L572" s="348"/>
      <c r="M572" s="348"/>
      <c r="N572" s="669" t="s">
        <v>2247</v>
      </c>
      <c r="O572" s="328"/>
      <c r="P572" s="189"/>
      <c r="Q572" s="432"/>
      <c r="R572" s="584" t="s">
        <v>1966</v>
      </c>
      <c r="S572" s="584" t="s">
        <v>2047</v>
      </c>
    </row>
    <row r="573" spans="6:19" ht="10.5" customHeight="1">
      <c r="F573" s="371"/>
      <c r="G573" s="348"/>
      <c r="H573" s="348"/>
      <c r="I573" s="348"/>
      <c r="J573" s="348"/>
      <c r="K573" s="348"/>
      <c r="L573" s="348"/>
      <c r="M573" s="348"/>
      <c r="N573" s="669" t="s">
        <v>2249</v>
      </c>
      <c r="O573" s="328"/>
      <c r="P573" s="189"/>
      <c r="Q573" s="432"/>
      <c r="R573" s="584" t="s">
        <v>290</v>
      </c>
      <c r="S573" s="584" t="s">
        <v>2047</v>
      </c>
    </row>
    <row r="574" spans="6:19" ht="10.5" customHeight="1">
      <c r="F574" s="371"/>
      <c r="G574" s="348"/>
      <c r="H574" s="348"/>
      <c r="I574" s="348"/>
      <c r="J574" s="348"/>
      <c r="K574" s="348"/>
      <c r="L574" s="348"/>
      <c r="M574" s="348"/>
      <c r="N574" s="669" t="s">
        <v>2251</v>
      </c>
      <c r="O574" s="328"/>
      <c r="P574" s="189"/>
      <c r="Q574" s="432"/>
      <c r="R574" s="584" t="s">
        <v>1769</v>
      </c>
      <c r="S574" s="584" t="s">
        <v>2279</v>
      </c>
    </row>
    <row r="575" spans="6:19" ht="10.5" customHeight="1">
      <c r="F575" s="371"/>
      <c r="G575" s="348"/>
      <c r="H575" s="348"/>
      <c r="I575" s="348"/>
      <c r="J575" s="348"/>
      <c r="K575" s="348"/>
      <c r="L575" s="348"/>
      <c r="M575" s="348"/>
      <c r="N575" s="669" t="s">
        <v>90</v>
      </c>
      <c r="O575" s="328"/>
      <c r="P575" s="189"/>
      <c r="Q575" s="432"/>
      <c r="R575" s="584" t="s">
        <v>274</v>
      </c>
      <c r="S575" s="584" t="s">
        <v>702</v>
      </c>
    </row>
    <row r="576" spans="6:19" ht="10.5" customHeight="1">
      <c r="F576" s="371"/>
      <c r="G576" s="348"/>
      <c r="H576" s="348"/>
      <c r="I576" s="348"/>
      <c r="J576" s="348"/>
      <c r="K576" s="348"/>
      <c r="L576" s="348"/>
      <c r="M576" s="348"/>
      <c r="N576" s="669" t="s">
        <v>2115</v>
      </c>
      <c r="O576" s="328"/>
      <c r="P576" s="189"/>
      <c r="Q576" s="432"/>
      <c r="R576" s="584" t="s">
        <v>1238</v>
      </c>
      <c r="S576" s="584" t="s">
        <v>164</v>
      </c>
    </row>
    <row r="577" spans="6:19" ht="10.5" customHeight="1">
      <c r="F577" s="371"/>
      <c r="G577" s="348"/>
      <c r="H577" s="348"/>
      <c r="I577" s="348"/>
      <c r="J577" s="348"/>
      <c r="K577" s="348"/>
      <c r="L577" s="348"/>
      <c r="M577" s="348"/>
      <c r="N577" s="669" t="s">
        <v>1589</v>
      </c>
      <c r="O577" s="328"/>
      <c r="P577" s="189"/>
      <c r="Q577" s="432"/>
      <c r="R577" s="584" t="s">
        <v>1240</v>
      </c>
      <c r="S577" s="584" t="s">
        <v>164</v>
      </c>
    </row>
    <row r="578" spans="6:19" ht="10.5" customHeight="1">
      <c r="F578" s="371"/>
      <c r="G578" s="348"/>
      <c r="H578" s="348"/>
      <c r="I578" s="348"/>
      <c r="J578" s="348"/>
      <c r="K578" s="348"/>
      <c r="L578" s="348"/>
      <c r="M578" s="348"/>
      <c r="N578" s="669" t="s">
        <v>1591</v>
      </c>
      <c r="O578" s="328"/>
      <c r="P578" s="189"/>
      <c r="Q578" s="432"/>
      <c r="R578" s="584" t="s">
        <v>783</v>
      </c>
      <c r="S578" s="584" t="s">
        <v>1391</v>
      </c>
    </row>
    <row r="579" spans="6:19" ht="10.5" customHeight="1">
      <c r="F579" s="371"/>
      <c r="G579" s="348"/>
      <c r="H579" s="348"/>
      <c r="I579" s="348"/>
      <c r="J579" s="348"/>
      <c r="K579" s="348"/>
      <c r="L579" s="348"/>
      <c r="M579" s="348"/>
      <c r="N579" s="669" t="s">
        <v>1593</v>
      </c>
      <c r="O579" s="328"/>
      <c r="P579" s="189"/>
      <c r="Q579" s="432"/>
      <c r="R579" s="584" t="s">
        <v>256</v>
      </c>
      <c r="S579" s="584" t="s">
        <v>2716</v>
      </c>
    </row>
    <row r="580" spans="6:19" ht="10.5" customHeight="1">
      <c r="F580" s="371"/>
      <c r="G580" s="348"/>
      <c r="H580" s="348"/>
      <c r="I580" s="348"/>
      <c r="J580" s="348"/>
      <c r="K580" s="348"/>
      <c r="L580" s="348"/>
      <c r="M580" s="348"/>
      <c r="N580" s="669" t="s">
        <v>64</v>
      </c>
      <c r="O580" s="328"/>
      <c r="P580" s="189"/>
      <c r="Q580" s="432"/>
      <c r="R580" s="584" t="s">
        <v>1077</v>
      </c>
      <c r="S580" s="584" t="s">
        <v>2517</v>
      </c>
    </row>
    <row r="581" spans="6:19" ht="10.5" customHeight="1">
      <c r="F581" s="371"/>
      <c r="G581" s="348"/>
      <c r="H581" s="348"/>
      <c r="I581" s="348"/>
      <c r="J581" s="348"/>
      <c r="K581" s="348"/>
      <c r="L581" s="348"/>
      <c r="M581" s="348"/>
      <c r="N581" s="669" t="s">
        <v>66</v>
      </c>
      <c r="O581" s="328"/>
      <c r="P581" s="189"/>
      <c r="Q581" s="432"/>
      <c r="R581" s="584" t="s">
        <v>1837</v>
      </c>
      <c r="S581" s="584" t="s">
        <v>2608</v>
      </c>
    </row>
    <row r="582" spans="6:19" ht="10.5" customHeight="1">
      <c r="F582" s="371"/>
      <c r="G582" s="348"/>
      <c r="H582" s="348"/>
      <c r="I582" s="348"/>
      <c r="J582" s="348"/>
      <c r="K582" s="348"/>
      <c r="L582" s="348"/>
      <c r="M582" s="348"/>
      <c r="N582" s="669" t="s">
        <v>68</v>
      </c>
      <c r="O582" s="328"/>
      <c r="P582" s="189"/>
      <c r="Q582" s="432"/>
      <c r="R582" s="584" t="s">
        <v>1905</v>
      </c>
      <c r="S582" s="584" t="s">
        <v>112</v>
      </c>
    </row>
    <row r="583" spans="6:19" ht="10.5" customHeight="1">
      <c r="F583" s="371"/>
      <c r="G583" s="348"/>
      <c r="H583" s="348"/>
      <c r="I583" s="348"/>
      <c r="J583" s="348"/>
      <c r="K583" s="348"/>
      <c r="L583" s="348"/>
      <c r="M583" s="348"/>
      <c r="N583" s="669" t="s">
        <v>70</v>
      </c>
      <c r="O583" s="328"/>
      <c r="P583" s="189"/>
      <c r="Q583" s="432"/>
      <c r="R583" s="584" t="s">
        <v>1149</v>
      </c>
      <c r="S583" s="584" t="s">
        <v>770</v>
      </c>
    </row>
    <row r="584" spans="6:19" ht="10.5" customHeight="1">
      <c r="F584" s="371"/>
      <c r="G584" s="348"/>
      <c r="H584" s="348"/>
      <c r="I584" s="348"/>
      <c r="J584" s="348"/>
      <c r="K584" s="348"/>
      <c r="L584" s="348"/>
      <c r="M584" s="348"/>
      <c r="N584" s="669" t="s">
        <v>72</v>
      </c>
      <c r="O584" s="328"/>
      <c r="P584" s="189"/>
      <c r="Q584" s="432"/>
      <c r="R584" s="584" t="s">
        <v>1115</v>
      </c>
      <c r="S584" s="584" t="s">
        <v>999</v>
      </c>
    </row>
    <row r="585" spans="6:19" ht="10.5" customHeight="1">
      <c r="F585" s="371"/>
      <c r="G585" s="348"/>
      <c r="H585" s="348"/>
      <c r="I585" s="348"/>
      <c r="J585" s="348"/>
      <c r="K585" s="348"/>
      <c r="L585" s="348"/>
      <c r="M585" s="348"/>
      <c r="N585" s="669" t="s">
        <v>816</v>
      </c>
      <c r="O585" s="328"/>
      <c r="P585" s="189"/>
      <c r="Q585" s="432"/>
      <c r="R585" s="584" t="s">
        <v>1153</v>
      </c>
      <c r="S585" s="584" t="s">
        <v>1388</v>
      </c>
    </row>
    <row r="586" spans="6:19" ht="10.5" customHeight="1">
      <c r="F586" s="371"/>
      <c r="G586" s="348"/>
      <c r="H586" s="348"/>
      <c r="I586" s="348"/>
      <c r="J586" s="348"/>
      <c r="K586" s="348"/>
      <c r="L586" s="348"/>
      <c r="M586" s="348"/>
      <c r="N586" s="669" t="s">
        <v>766</v>
      </c>
      <c r="O586" s="328"/>
      <c r="P586" s="189"/>
      <c r="Q586" s="432"/>
      <c r="R586" s="584" t="s">
        <v>416</v>
      </c>
      <c r="S586" s="584" t="s">
        <v>702</v>
      </c>
    </row>
    <row r="587" spans="6:19" ht="10.5" customHeight="1">
      <c r="F587" s="371"/>
      <c r="G587" s="348"/>
      <c r="H587" s="348"/>
      <c r="I587" s="348"/>
      <c r="J587" s="348"/>
      <c r="K587" s="348"/>
      <c r="L587" s="348"/>
      <c r="M587" s="348"/>
      <c r="N587" s="669" t="s">
        <v>768</v>
      </c>
      <c r="O587" s="328"/>
      <c r="P587" s="189"/>
      <c r="Q587" s="432"/>
      <c r="R587" s="671" t="s">
        <v>1116</v>
      </c>
      <c r="S587" s="671" t="s">
        <v>124</v>
      </c>
    </row>
    <row r="588" spans="6:19" ht="10.5" customHeight="1">
      <c r="F588" s="371"/>
      <c r="G588" s="348"/>
      <c r="H588" s="348"/>
      <c r="I588" s="348"/>
      <c r="J588" s="348"/>
      <c r="K588" s="348"/>
      <c r="L588" s="348"/>
      <c r="M588" s="348"/>
      <c r="N588" s="669" t="s">
        <v>1234</v>
      </c>
      <c r="O588" s="328"/>
      <c r="P588" s="189"/>
      <c r="Q588" s="432"/>
      <c r="R588" s="584" t="s">
        <v>5</v>
      </c>
      <c r="S588" s="584" t="s">
        <v>1381</v>
      </c>
    </row>
    <row r="589" spans="6:19" ht="10.5" customHeight="1">
      <c r="F589" s="371"/>
      <c r="G589" s="348"/>
      <c r="H589" s="348"/>
      <c r="I589" s="348"/>
      <c r="J589" s="348"/>
      <c r="K589" s="348"/>
      <c r="L589" s="348"/>
      <c r="M589" s="348"/>
      <c r="N589" s="669" t="s">
        <v>1090</v>
      </c>
      <c r="O589" s="328"/>
      <c r="P589" s="189"/>
      <c r="Q589" s="432"/>
      <c r="R589" s="584" t="s">
        <v>7</v>
      </c>
      <c r="S589" s="584" t="s">
        <v>2513</v>
      </c>
    </row>
    <row r="590" spans="6:19" ht="10.5" customHeight="1">
      <c r="F590" s="371"/>
      <c r="G590" s="348"/>
      <c r="H590" s="348"/>
      <c r="I590" s="348"/>
      <c r="J590" s="348"/>
      <c r="K590" s="348"/>
      <c r="L590" s="348"/>
      <c r="M590" s="348"/>
      <c r="N590" s="669" t="s">
        <v>1091</v>
      </c>
      <c r="O590" s="328"/>
      <c r="P590" s="189"/>
      <c r="Q590" s="432"/>
      <c r="R590" s="584" t="s">
        <v>9</v>
      </c>
      <c r="S590" s="584" t="s">
        <v>2013</v>
      </c>
    </row>
    <row r="591" spans="6:19" ht="10.5" customHeight="1">
      <c r="F591" s="371"/>
      <c r="G591" s="348"/>
      <c r="H591" s="348"/>
      <c r="I591" s="348"/>
      <c r="J591" s="348"/>
      <c r="K591" s="348"/>
      <c r="L591" s="348"/>
      <c r="M591" s="348"/>
      <c r="N591" s="669" t="s">
        <v>1093</v>
      </c>
      <c r="O591" s="328"/>
      <c r="P591" s="189"/>
      <c r="Q591" s="432"/>
      <c r="R591" s="584" t="s">
        <v>1117</v>
      </c>
      <c r="S591" s="584" t="s">
        <v>658</v>
      </c>
    </row>
    <row r="592" spans="6:19" ht="10.5" customHeight="1">
      <c r="F592" s="371"/>
      <c r="G592" s="348"/>
      <c r="H592" s="348"/>
      <c r="I592" s="348"/>
      <c r="J592" s="348"/>
      <c r="K592" s="348"/>
      <c r="L592" s="348"/>
      <c r="M592" s="348"/>
      <c r="N592" s="669" t="s">
        <v>2373</v>
      </c>
      <c r="O592" s="328"/>
      <c r="P592" s="189"/>
      <c r="Q592" s="432"/>
      <c r="R592" s="584" t="s">
        <v>1118</v>
      </c>
      <c r="S592" s="584" t="s">
        <v>329</v>
      </c>
    </row>
    <row r="593" spans="6:19" ht="10.5" customHeight="1">
      <c r="F593" s="371"/>
      <c r="G593" s="348"/>
      <c r="H593" s="348"/>
      <c r="I593" s="348"/>
      <c r="J593" s="348"/>
      <c r="K593" s="348"/>
      <c r="L593" s="348"/>
      <c r="M593" s="348"/>
      <c r="N593" s="669" t="s">
        <v>2375</v>
      </c>
      <c r="O593" s="328"/>
      <c r="P593" s="189"/>
      <c r="Q593" s="432"/>
      <c r="R593" s="584" t="s">
        <v>2242</v>
      </c>
      <c r="S593" s="584" t="s">
        <v>1391</v>
      </c>
    </row>
    <row r="594" spans="6:19" ht="10.5" customHeight="1">
      <c r="F594" s="371"/>
      <c r="G594" s="348"/>
      <c r="H594" s="348"/>
      <c r="I594" s="348"/>
      <c r="J594" s="348"/>
      <c r="K594" s="348"/>
      <c r="L594" s="348"/>
      <c r="M594" s="348"/>
      <c r="N594" s="669" t="s">
        <v>1856</v>
      </c>
      <c r="O594" s="328"/>
      <c r="P594" s="189"/>
      <c r="Q594" s="432"/>
      <c r="R594" s="584" t="s">
        <v>2244</v>
      </c>
      <c r="S594" s="584" t="s">
        <v>2285</v>
      </c>
    </row>
    <row r="595" spans="6:19" ht="10.5" customHeight="1">
      <c r="F595" s="371"/>
      <c r="G595" s="348"/>
      <c r="H595" s="348"/>
      <c r="I595" s="348"/>
      <c r="J595" s="348"/>
      <c r="K595" s="348"/>
      <c r="L595" s="348"/>
      <c r="M595" s="348"/>
      <c r="N595" s="669" t="s">
        <v>2645</v>
      </c>
      <c r="O595" s="328"/>
      <c r="P595" s="189"/>
      <c r="Q595" s="432"/>
      <c r="R595" s="584" t="s">
        <v>2246</v>
      </c>
      <c r="S595" s="584" t="s">
        <v>180</v>
      </c>
    </row>
    <row r="596" spans="6:19" ht="10.5" customHeight="1">
      <c r="F596" s="371"/>
      <c r="G596" s="348"/>
      <c r="H596" s="348"/>
      <c r="I596" s="348"/>
      <c r="J596" s="348"/>
      <c r="K596" s="348"/>
      <c r="L596" s="348"/>
      <c r="M596" s="348"/>
      <c r="N596" s="669" t="s">
        <v>2264</v>
      </c>
      <c r="O596" s="328"/>
      <c r="P596" s="189"/>
      <c r="Q596" s="432"/>
      <c r="R596" s="584" t="s">
        <v>2248</v>
      </c>
      <c r="S596" s="584" t="s">
        <v>1526</v>
      </c>
    </row>
    <row r="597" spans="6:19" ht="10.5" customHeight="1">
      <c r="F597" s="371"/>
      <c r="G597" s="348"/>
      <c r="H597" s="348"/>
      <c r="I597" s="348"/>
      <c r="J597" s="348"/>
      <c r="K597" s="348"/>
      <c r="L597" s="348"/>
      <c r="M597" s="348"/>
      <c r="N597" s="669" t="s">
        <v>1689</v>
      </c>
      <c r="O597" s="328"/>
      <c r="P597" s="189"/>
      <c r="Q597" s="432"/>
      <c r="R597" s="671" t="s">
        <v>2250</v>
      </c>
      <c r="S597" s="671" t="s">
        <v>702</v>
      </c>
    </row>
    <row r="598" spans="6:19" ht="10.5" customHeight="1">
      <c r="F598" s="371"/>
      <c r="G598" s="348"/>
      <c r="H598" s="348"/>
      <c r="I598" s="348"/>
      <c r="J598" s="348"/>
      <c r="K598" s="348"/>
      <c r="L598" s="348"/>
      <c r="M598" s="348"/>
      <c r="N598" s="669" t="s">
        <v>1690</v>
      </c>
      <c r="O598" s="328"/>
      <c r="P598" s="189"/>
      <c r="Q598" s="432"/>
      <c r="R598" s="584" t="s">
        <v>91</v>
      </c>
      <c r="S598" s="584" t="s">
        <v>123</v>
      </c>
    </row>
    <row r="599" spans="6:19" ht="10.5" customHeight="1">
      <c r="F599" s="371"/>
      <c r="G599" s="348"/>
      <c r="H599" s="348"/>
      <c r="I599" s="348"/>
      <c r="J599" s="348"/>
      <c r="K599" s="348"/>
      <c r="L599" s="348"/>
      <c r="M599" s="348"/>
      <c r="N599" s="669" t="s">
        <v>1692</v>
      </c>
      <c r="O599" s="328"/>
      <c r="P599" s="189"/>
      <c r="Q599" s="432"/>
      <c r="R599" s="584" t="s">
        <v>1588</v>
      </c>
      <c r="S599" s="584" t="s">
        <v>2287</v>
      </c>
    </row>
    <row r="600" spans="6:19" ht="10.5" customHeight="1">
      <c r="F600" s="371"/>
      <c r="G600" s="348"/>
      <c r="H600" s="348"/>
      <c r="I600" s="348"/>
      <c r="J600" s="348"/>
      <c r="K600" s="348"/>
      <c r="L600" s="348"/>
      <c r="M600" s="348"/>
      <c r="N600" s="669" t="s">
        <v>1693</v>
      </c>
      <c r="O600" s="328"/>
      <c r="P600" s="189"/>
      <c r="Q600" s="432"/>
      <c r="R600" s="671" t="s">
        <v>1590</v>
      </c>
      <c r="S600" s="671" t="s">
        <v>205</v>
      </c>
    </row>
    <row r="601" spans="6:19" ht="10.5" customHeight="1">
      <c r="F601" s="371"/>
      <c r="G601" s="348"/>
      <c r="H601" s="348"/>
      <c r="I601" s="348"/>
      <c r="J601" s="348"/>
      <c r="K601" s="348"/>
      <c r="L601" s="348"/>
      <c r="M601" s="348"/>
      <c r="N601" s="669" t="s">
        <v>1695</v>
      </c>
      <c r="O601" s="328"/>
      <c r="P601" s="189"/>
      <c r="Q601" s="432"/>
      <c r="R601" s="584" t="s">
        <v>1592</v>
      </c>
      <c r="S601" s="584" t="s">
        <v>1529</v>
      </c>
    </row>
    <row r="602" spans="6:19" ht="10.5" customHeight="1">
      <c r="F602" s="371"/>
      <c r="G602" s="348"/>
      <c r="H602" s="348"/>
      <c r="I602" s="348"/>
      <c r="J602" s="348"/>
      <c r="K602" s="348"/>
      <c r="L602" s="348"/>
      <c r="M602" s="348"/>
      <c r="N602" s="669" t="s">
        <v>1696</v>
      </c>
      <c r="O602" s="328"/>
      <c r="P602" s="189"/>
      <c r="Q602" s="432"/>
      <c r="R602" s="584" t="s">
        <v>1594</v>
      </c>
      <c r="S602" s="584" t="s">
        <v>2277</v>
      </c>
    </row>
    <row r="603" spans="6:19" ht="10.5" customHeight="1">
      <c r="F603" s="371"/>
      <c r="G603" s="348"/>
      <c r="H603" s="348"/>
      <c r="I603" s="348"/>
      <c r="J603" s="348"/>
      <c r="K603" s="348"/>
      <c r="L603" s="348"/>
      <c r="M603" s="348"/>
      <c r="N603" s="669" t="s">
        <v>1698</v>
      </c>
      <c r="O603" s="328"/>
      <c r="P603" s="189"/>
      <c r="Q603" s="432"/>
      <c r="R603" s="584" t="s">
        <v>65</v>
      </c>
      <c r="S603" s="584" t="s">
        <v>1389</v>
      </c>
    </row>
    <row r="604" spans="6:19" ht="10.5" customHeight="1">
      <c r="F604" s="371"/>
      <c r="G604" s="348"/>
      <c r="H604" s="348"/>
      <c r="I604" s="348"/>
      <c r="J604" s="348"/>
      <c r="K604" s="348"/>
      <c r="L604" s="348"/>
      <c r="M604" s="348"/>
      <c r="N604" s="669" t="s">
        <v>2536</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919</v>
      </c>
    </row>
    <row r="606" spans="6:19" ht="10.5" customHeight="1">
      <c r="F606" s="371"/>
      <c r="G606" s="348"/>
      <c r="H606" s="348"/>
      <c r="I606" s="348"/>
      <c r="J606" s="348"/>
      <c r="K606" s="348"/>
      <c r="L606" s="348"/>
      <c r="M606" s="348"/>
      <c r="N606" s="669" t="s">
        <v>1035</v>
      </c>
      <c r="O606" s="328"/>
      <c r="P606" s="189"/>
      <c r="Q606" s="432"/>
      <c r="R606" s="584" t="s">
        <v>71</v>
      </c>
      <c r="S606" s="584" t="s">
        <v>1595</v>
      </c>
    </row>
    <row r="607" spans="6:19" ht="10.5" customHeight="1">
      <c r="F607" s="371"/>
      <c r="G607" s="348"/>
      <c r="H607" s="348"/>
      <c r="I607" s="348"/>
      <c r="J607" s="348"/>
      <c r="K607" s="348"/>
      <c r="L607" s="348"/>
      <c r="M607" s="348"/>
      <c r="N607" s="669" t="s">
        <v>1036</v>
      </c>
      <c r="O607" s="328"/>
      <c r="P607" s="189"/>
      <c r="Q607" s="432"/>
      <c r="R607" s="584" t="s">
        <v>817</v>
      </c>
      <c r="S607" s="584" t="s">
        <v>2605</v>
      </c>
    </row>
    <row r="608" spans="6:19" ht="10.5" customHeight="1">
      <c r="F608" s="371"/>
      <c r="G608" s="348"/>
      <c r="H608" s="348"/>
      <c r="I608" s="348"/>
      <c r="J608" s="348"/>
      <c r="K608" s="348"/>
      <c r="L608" s="348"/>
      <c r="M608" s="348"/>
      <c r="N608" s="669" t="s">
        <v>1038</v>
      </c>
      <c r="O608" s="328"/>
      <c r="P608" s="189"/>
      <c r="Q608" s="432"/>
      <c r="R608" s="671" t="s">
        <v>767</v>
      </c>
      <c r="S608" s="671" t="s">
        <v>2611</v>
      </c>
    </row>
    <row r="609" spans="6:19" ht="10.5" customHeight="1">
      <c r="F609" s="371"/>
      <c r="G609" s="348"/>
      <c r="H609" s="348"/>
      <c r="I609" s="348"/>
      <c r="J609" s="348"/>
      <c r="K609" s="348"/>
      <c r="L609" s="348"/>
      <c r="M609" s="348"/>
      <c r="N609" s="669" t="s">
        <v>2493</v>
      </c>
      <c r="O609" s="328"/>
      <c r="P609" s="189"/>
      <c r="Q609" s="432"/>
      <c r="R609" s="584" t="s">
        <v>984</v>
      </c>
      <c r="S609" s="584" t="s">
        <v>2658</v>
      </c>
    </row>
    <row r="610" spans="6:19" ht="10.5" customHeight="1">
      <c r="F610" s="371"/>
      <c r="G610" s="348"/>
      <c r="H610" s="348"/>
      <c r="I610" s="348"/>
      <c r="J610" s="348"/>
      <c r="K610" s="348"/>
      <c r="L610" s="348"/>
      <c r="M610" s="348"/>
      <c r="N610" s="669" t="s">
        <v>2651</v>
      </c>
      <c r="O610" s="328"/>
      <c r="P610" s="189"/>
      <c r="Q610" s="432"/>
      <c r="R610" s="584" t="s">
        <v>1119</v>
      </c>
      <c r="S610" s="584" t="s">
        <v>333</v>
      </c>
    </row>
    <row r="611" spans="6:19" ht="10.5" customHeight="1">
      <c r="F611" s="371"/>
      <c r="G611" s="348"/>
      <c r="H611" s="348"/>
      <c r="I611" s="348"/>
      <c r="J611" s="348"/>
      <c r="K611" s="348"/>
      <c r="L611" s="348"/>
      <c r="M611" s="348"/>
      <c r="N611" s="669" t="s">
        <v>2099</v>
      </c>
      <c r="O611" s="328"/>
      <c r="P611" s="189"/>
      <c r="Q611" s="432"/>
      <c r="R611" s="584" t="s">
        <v>1235</v>
      </c>
      <c r="S611" s="584" t="s">
        <v>2047</v>
      </c>
    </row>
    <row r="612" spans="6:19" ht="10.5" customHeight="1">
      <c r="F612" s="371"/>
      <c r="G612" s="348"/>
      <c r="H612" s="348"/>
      <c r="I612" s="348"/>
      <c r="J612" s="348"/>
      <c r="K612" s="348"/>
      <c r="L612" s="348"/>
      <c r="M612" s="348"/>
      <c r="N612" s="669" t="s">
        <v>987</v>
      </c>
      <c r="O612" s="328"/>
      <c r="P612" s="189"/>
      <c r="Q612" s="432"/>
      <c r="R612" s="584" t="s">
        <v>3254</v>
      </c>
      <c r="S612" s="584" t="s">
        <v>1866</v>
      </c>
    </row>
    <row r="613" spans="6:19" ht="10.5" customHeight="1">
      <c r="F613" s="371"/>
      <c r="G613" s="348"/>
      <c r="H613" s="348"/>
      <c r="I613" s="348"/>
      <c r="J613" s="348"/>
      <c r="K613" s="348"/>
      <c r="L613" s="348"/>
      <c r="M613" s="348"/>
      <c r="N613" s="669" t="s">
        <v>811</v>
      </c>
      <c r="O613" s="328"/>
      <c r="P613" s="189"/>
      <c r="Q613" s="432"/>
      <c r="R613" s="671" t="s">
        <v>1092</v>
      </c>
      <c r="S613" s="671" t="s">
        <v>1147</v>
      </c>
    </row>
    <row r="614" spans="6:19" ht="10.5" customHeight="1">
      <c r="F614" s="371"/>
      <c r="G614" s="348"/>
      <c r="H614" s="348"/>
      <c r="I614" s="348"/>
      <c r="J614" s="348"/>
      <c r="K614" s="348"/>
      <c r="L614" s="348"/>
      <c r="M614" s="348"/>
      <c r="N614" s="669" t="s">
        <v>1542</v>
      </c>
      <c r="O614" s="328"/>
      <c r="P614" s="189"/>
      <c r="Q614" s="432"/>
      <c r="R614" s="584" t="s">
        <v>2374</v>
      </c>
      <c r="S614" s="584" t="s">
        <v>2270</v>
      </c>
    </row>
    <row r="615" spans="6:19" ht="10.5" customHeight="1">
      <c r="F615" s="371"/>
      <c r="G615" s="348"/>
      <c r="H615" s="348"/>
      <c r="I615" s="348"/>
      <c r="J615" s="348"/>
      <c r="K615" s="348"/>
      <c r="L615" s="348"/>
      <c r="M615" s="348"/>
      <c r="N615" s="669" t="s">
        <v>1544</v>
      </c>
      <c r="O615" s="328"/>
      <c r="P615" s="189"/>
      <c r="Q615" s="432"/>
      <c r="R615" s="584" t="s">
        <v>2376</v>
      </c>
      <c r="S615" s="584" t="s">
        <v>693</v>
      </c>
    </row>
    <row r="616" spans="6:19" ht="10.5" customHeight="1">
      <c r="F616" s="371"/>
      <c r="G616" s="348"/>
      <c r="H616" s="348"/>
      <c r="I616" s="348"/>
      <c r="J616" s="348"/>
      <c r="K616" s="348"/>
      <c r="L616" s="348"/>
      <c r="M616" s="348"/>
      <c r="N616" s="669" t="s">
        <v>1546</v>
      </c>
      <c r="O616" s="328"/>
      <c r="P616" s="189"/>
      <c r="Q616" s="432"/>
      <c r="R616" s="584" t="s">
        <v>1857</v>
      </c>
      <c r="S616" s="584" t="s">
        <v>772</v>
      </c>
    </row>
    <row r="617" spans="6:19" ht="10.5" customHeight="1">
      <c r="F617" s="371"/>
      <c r="G617" s="348"/>
      <c r="H617" s="348"/>
      <c r="I617" s="348"/>
      <c r="J617" s="348"/>
      <c r="K617" s="348"/>
      <c r="L617" s="348"/>
      <c r="M617" s="348"/>
      <c r="N617" s="669" t="s">
        <v>1369</v>
      </c>
      <c r="O617" s="328"/>
      <c r="P617" s="189"/>
      <c r="Q617" s="432"/>
      <c r="R617" s="584" t="s">
        <v>2646</v>
      </c>
      <c r="S617" s="584" t="s">
        <v>2105</v>
      </c>
    </row>
    <row r="618" spans="6:19" ht="10.5" customHeight="1">
      <c r="F618" s="371"/>
      <c r="G618" s="348"/>
      <c r="H618" s="348"/>
      <c r="I618" s="348"/>
      <c r="J618" s="348"/>
      <c r="K618" s="348"/>
      <c r="L618" s="348"/>
      <c r="M618" s="348"/>
      <c r="N618" s="669" t="s">
        <v>1371</v>
      </c>
      <c r="O618" s="328"/>
      <c r="P618" s="189"/>
      <c r="Q618" s="432"/>
      <c r="R618" s="584" t="s">
        <v>2265</v>
      </c>
      <c r="S618" s="584" t="s">
        <v>1264</v>
      </c>
    </row>
    <row r="619" spans="6:19" ht="10.5" customHeight="1">
      <c r="F619" s="371"/>
      <c r="G619" s="348"/>
      <c r="H619" s="348"/>
      <c r="I619" s="348"/>
      <c r="J619" s="348"/>
      <c r="K619" s="348"/>
      <c r="L619" s="348"/>
      <c r="M619" s="348"/>
      <c r="N619" s="669" t="s">
        <v>2089</v>
      </c>
      <c r="O619" s="328"/>
      <c r="P619" s="189"/>
      <c r="Q619" s="432"/>
      <c r="R619" s="671" t="s">
        <v>1691</v>
      </c>
      <c r="S619" s="671" t="s">
        <v>695</v>
      </c>
    </row>
    <row r="620" spans="6:19" ht="10.5" customHeight="1">
      <c r="F620" s="371"/>
      <c r="G620" s="348"/>
      <c r="H620" s="348"/>
      <c r="I620" s="348"/>
      <c r="J620" s="348"/>
      <c r="K620" s="348"/>
      <c r="L620" s="348"/>
      <c r="M620" s="348"/>
      <c r="N620" s="669" t="s">
        <v>773</v>
      </c>
      <c r="O620" s="328"/>
      <c r="P620" s="189"/>
      <c r="Q620" s="432"/>
      <c r="R620" s="584" t="s">
        <v>873</v>
      </c>
      <c r="S620" s="584" t="s">
        <v>1377</v>
      </c>
    </row>
    <row r="621" spans="6:19" ht="10.5" customHeight="1">
      <c r="F621" s="371"/>
      <c r="G621" s="348"/>
      <c r="H621" s="348"/>
      <c r="I621" s="348"/>
      <c r="J621" s="348"/>
      <c r="K621" s="348"/>
      <c r="L621" s="348"/>
      <c r="M621" s="348"/>
      <c r="N621" s="669" t="s">
        <v>1325</v>
      </c>
      <c r="O621" s="328"/>
      <c r="P621" s="189"/>
      <c r="Q621" s="432"/>
      <c r="R621" s="584" t="s">
        <v>1694</v>
      </c>
      <c r="S621" s="584" t="s">
        <v>2711</v>
      </c>
    </row>
    <row r="622" spans="6:19" ht="10.5" customHeight="1">
      <c r="F622" s="371"/>
      <c r="G622" s="348"/>
      <c r="H622" s="348"/>
      <c r="I622" s="348"/>
      <c r="J622" s="348"/>
      <c r="K622" s="348"/>
      <c r="L622" s="348"/>
      <c r="M622" s="348"/>
      <c r="N622" s="669" t="s">
        <v>1978</v>
      </c>
      <c r="O622" s="328"/>
      <c r="P622" s="189"/>
      <c r="Q622" s="432"/>
      <c r="R622" s="584" t="s">
        <v>1697</v>
      </c>
      <c r="S622" s="584" t="s">
        <v>1711</v>
      </c>
    </row>
    <row r="623" spans="6:19" ht="10.5" customHeight="1">
      <c r="F623" s="371"/>
      <c r="G623" s="348"/>
      <c r="H623" s="348"/>
      <c r="I623" s="348"/>
      <c r="J623" s="348"/>
      <c r="K623" s="348"/>
      <c r="L623" s="348"/>
      <c r="M623" s="348"/>
      <c r="N623" s="669" t="s">
        <v>1979</v>
      </c>
      <c r="O623" s="328"/>
      <c r="P623" s="189"/>
      <c r="Q623" s="432"/>
      <c r="R623" s="584" t="s">
        <v>1121</v>
      </c>
      <c r="S623" s="584" t="s">
        <v>1595</v>
      </c>
    </row>
    <row r="624" spans="6:19" ht="10.5" customHeight="1">
      <c r="F624" s="371"/>
      <c r="G624" s="348"/>
      <c r="H624" s="348"/>
      <c r="I624" s="348"/>
      <c r="J624" s="348"/>
      <c r="K624" s="348"/>
      <c r="L624" s="348"/>
      <c r="M624" s="348"/>
      <c r="N624" s="669" t="s">
        <v>1981</v>
      </c>
      <c r="O624" s="328"/>
      <c r="P624" s="189"/>
      <c r="Q624" s="432"/>
      <c r="R624" s="584" t="s">
        <v>2535</v>
      </c>
      <c r="S624" s="584" t="s">
        <v>108</v>
      </c>
    </row>
    <row r="625" spans="6:19" ht="10.5" customHeight="1">
      <c r="F625" s="371"/>
      <c r="G625" s="348"/>
      <c r="H625" s="348"/>
      <c r="I625" s="348"/>
      <c r="J625" s="348"/>
      <c r="K625" s="348"/>
      <c r="L625" s="348"/>
      <c r="M625" s="348"/>
      <c r="N625" s="669" t="s">
        <v>1983</v>
      </c>
      <c r="O625" s="328"/>
      <c r="P625" s="189"/>
      <c r="Q625" s="432"/>
      <c r="R625" s="584" t="s">
        <v>856</v>
      </c>
      <c r="S625" s="584" t="s">
        <v>1264</v>
      </c>
    </row>
    <row r="626" spans="6:19" ht="10.5" customHeight="1">
      <c r="F626" s="371"/>
      <c r="G626" s="348"/>
      <c r="H626" s="348"/>
      <c r="I626" s="348"/>
      <c r="J626" s="348"/>
      <c r="K626" s="348"/>
      <c r="L626" s="348"/>
      <c r="M626" s="348"/>
      <c r="N626" s="669" t="s">
        <v>1985</v>
      </c>
      <c r="O626" s="328"/>
      <c r="P626" s="189"/>
      <c r="Q626" s="432"/>
      <c r="R626" s="584" t="s">
        <v>1367</v>
      </c>
      <c r="S626" s="584" t="s">
        <v>2005</v>
      </c>
    </row>
    <row r="627" spans="6:19" ht="10.5" customHeight="1">
      <c r="F627" s="371"/>
      <c r="G627" s="348"/>
      <c r="H627" s="348"/>
      <c r="I627" s="348"/>
      <c r="J627" s="348"/>
      <c r="K627" s="348"/>
      <c r="L627" s="348"/>
      <c r="M627" s="348"/>
      <c r="N627" s="669" t="s">
        <v>523</v>
      </c>
      <c r="O627" s="328"/>
      <c r="P627" s="189"/>
      <c r="Q627" s="432"/>
      <c r="R627" s="584" t="s">
        <v>173</v>
      </c>
      <c r="S627" s="584" t="s">
        <v>1393</v>
      </c>
    </row>
    <row r="628" spans="6:19" ht="10.5" customHeight="1">
      <c r="F628" s="371"/>
      <c r="G628" s="348"/>
      <c r="H628" s="348"/>
      <c r="I628" s="348"/>
      <c r="J628" s="348"/>
      <c r="K628" s="348"/>
      <c r="L628" s="348"/>
      <c r="M628" s="348"/>
      <c r="N628" s="669" t="s">
        <v>2661</v>
      </c>
      <c r="O628" s="328"/>
      <c r="P628" s="189"/>
      <c r="Q628" s="432"/>
      <c r="R628" s="584" t="s">
        <v>1037</v>
      </c>
      <c r="S628" s="584" t="s">
        <v>1744</v>
      </c>
    </row>
    <row r="629" spans="6:19" ht="10.5" customHeight="1">
      <c r="F629" s="371"/>
      <c r="G629" s="348"/>
      <c r="H629" s="348"/>
      <c r="I629" s="348"/>
      <c r="J629" s="348"/>
      <c r="K629" s="348"/>
      <c r="L629" s="348"/>
      <c r="M629" s="348"/>
      <c r="N629" s="669" t="s">
        <v>2663</v>
      </c>
      <c r="O629" s="328"/>
      <c r="P629" s="189"/>
      <c r="Q629" s="432"/>
      <c r="R629" s="584" t="s">
        <v>3255</v>
      </c>
      <c r="S629" s="584" t="s">
        <v>339</v>
      </c>
    </row>
    <row r="630" spans="6:19" ht="10.5" customHeight="1">
      <c r="F630" s="371"/>
      <c r="G630" s="348"/>
      <c r="H630" s="348"/>
      <c r="I630" s="348"/>
      <c r="J630" s="348"/>
      <c r="K630" s="348"/>
      <c r="L630" s="348"/>
      <c r="M630" s="348"/>
      <c r="N630" s="669" t="s">
        <v>1208</v>
      </c>
      <c r="O630" s="328"/>
      <c r="P630" s="189"/>
      <c r="Q630" s="432"/>
      <c r="R630" s="671" t="s">
        <v>3256</v>
      </c>
      <c r="S630" s="671" t="s">
        <v>116</v>
      </c>
    </row>
    <row r="631" spans="6:19" ht="10.5" customHeight="1">
      <c r="F631" s="371"/>
      <c r="G631" s="348"/>
      <c r="H631" s="348"/>
      <c r="I631" s="348"/>
      <c r="J631" s="348"/>
      <c r="K631" s="348"/>
      <c r="L631" s="348"/>
      <c r="M631" s="348"/>
      <c r="N631" s="669" t="s">
        <v>2641</v>
      </c>
      <c r="O631" s="328"/>
      <c r="P631" s="189"/>
      <c r="Q631" s="432"/>
      <c r="R631" s="584" t="s">
        <v>1390</v>
      </c>
      <c r="S631" s="584" t="s">
        <v>164</v>
      </c>
    </row>
    <row r="632" spans="6:19" ht="10.5" customHeight="1">
      <c r="F632" s="371"/>
      <c r="G632" s="348"/>
      <c r="H632" s="348"/>
      <c r="I632" s="348"/>
      <c r="J632" s="348"/>
      <c r="K632" s="348"/>
      <c r="L632" s="348"/>
      <c r="M632" s="348"/>
      <c r="N632" s="669" t="s">
        <v>2643</v>
      </c>
      <c r="O632" s="328"/>
      <c r="P632" s="189"/>
      <c r="Q632" s="432"/>
      <c r="R632" s="584" t="s">
        <v>2652</v>
      </c>
      <c r="S632" s="584" t="s">
        <v>913</v>
      </c>
    </row>
    <row r="633" spans="6:19" ht="10.5" customHeight="1">
      <c r="F633" s="371"/>
      <c r="G633" s="348"/>
      <c r="H633" s="348"/>
      <c r="I633" s="348"/>
      <c r="J633" s="348"/>
      <c r="K633" s="348"/>
      <c r="L633" s="348"/>
      <c r="M633" s="348"/>
      <c r="N633" s="669" t="s">
        <v>1606</v>
      </c>
      <c r="O633" s="328"/>
      <c r="P633" s="189"/>
      <c r="Q633" s="432"/>
      <c r="R633" s="584" t="s">
        <v>1122</v>
      </c>
      <c r="S633" s="584" t="s">
        <v>658</v>
      </c>
    </row>
    <row r="634" spans="6:19" ht="10.5" customHeight="1">
      <c r="F634" s="371"/>
      <c r="G634" s="348"/>
      <c r="H634" s="348"/>
      <c r="I634" s="348"/>
      <c r="J634" s="348"/>
      <c r="K634" s="348"/>
      <c r="L634" s="348"/>
      <c r="M634" s="348"/>
      <c r="N634" s="669" t="s">
        <v>1607</v>
      </c>
      <c r="O634" s="328"/>
      <c r="P634" s="189"/>
      <c r="Q634" s="432"/>
      <c r="R634" s="584" t="s">
        <v>2270</v>
      </c>
      <c r="S634" s="584" t="s">
        <v>110</v>
      </c>
    </row>
    <row r="635" spans="6:19" ht="10.5" customHeight="1">
      <c r="F635" s="371"/>
      <c r="G635" s="348"/>
      <c r="H635" s="348"/>
      <c r="I635" s="348"/>
      <c r="J635" s="348"/>
      <c r="K635" s="348"/>
      <c r="L635" s="348"/>
      <c r="M635" s="348"/>
      <c r="N635" s="669" t="s">
        <v>2200</v>
      </c>
      <c r="O635" s="328"/>
      <c r="P635" s="189"/>
      <c r="Q635" s="432"/>
      <c r="R635" s="584" t="s">
        <v>3066</v>
      </c>
      <c r="S635" s="584" t="s">
        <v>1685</v>
      </c>
    </row>
    <row r="636" spans="6:19" ht="10.5" customHeight="1">
      <c r="F636" s="371"/>
      <c r="G636" s="348"/>
      <c r="H636" s="348"/>
      <c r="I636" s="348"/>
      <c r="J636" s="348"/>
      <c r="K636" s="348"/>
      <c r="L636" s="348"/>
      <c r="M636" s="348"/>
      <c r="N636" s="669" t="s">
        <v>2201</v>
      </c>
      <c r="O636" s="328"/>
      <c r="P636" s="189"/>
      <c r="Q636" s="432"/>
      <c r="R636" s="584" t="s">
        <v>1543</v>
      </c>
      <c r="S636" s="584" t="s">
        <v>2657</v>
      </c>
    </row>
    <row r="637" spans="6:19" ht="10.5" customHeight="1">
      <c r="F637" s="371"/>
      <c r="G637" s="348"/>
      <c r="H637" s="348"/>
      <c r="I637" s="348"/>
      <c r="J637" s="348"/>
      <c r="K637" s="348"/>
      <c r="L637" s="348"/>
      <c r="M637" s="348"/>
      <c r="N637" s="669" t="s">
        <v>1699</v>
      </c>
      <c r="O637" s="328"/>
      <c r="P637" s="189"/>
      <c r="Q637" s="432"/>
      <c r="R637" s="584" t="s">
        <v>3257</v>
      </c>
      <c r="S637" s="584" t="s">
        <v>2047</v>
      </c>
    </row>
    <row r="638" spans="6:19" ht="10.5" customHeight="1">
      <c r="F638" s="371"/>
      <c r="G638" s="348"/>
      <c r="H638" s="348"/>
      <c r="I638" s="348"/>
      <c r="J638" s="348"/>
      <c r="K638" s="348"/>
      <c r="L638" s="348"/>
      <c r="M638" s="348"/>
      <c r="N638" s="669" t="s">
        <v>1701</v>
      </c>
      <c r="O638" s="328"/>
      <c r="P638" s="189"/>
      <c r="Q638" s="432"/>
      <c r="R638" s="584" t="s">
        <v>1545</v>
      </c>
      <c r="S638" s="584" t="s">
        <v>338</v>
      </c>
    </row>
    <row r="639" spans="6:19" ht="10.5" customHeight="1">
      <c r="F639" s="371"/>
      <c r="G639" s="348"/>
      <c r="H639" s="348"/>
      <c r="I639" s="348"/>
      <c r="J639" s="348"/>
      <c r="K639" s="348"/>
      <c r="L639" s="348"/>
      <c r="M639" s="348"/>
      <c r="N639" s="669" t="s">
        <v>979</v>
      </c>
      <c r="O639" s="328"/>
      <c r="P639" s="189"/>
      <c r="Q639" s="432"/>
      <c r="R639" s="584" t="s">
        <v>1123</v>
      </c>
      <c r="S639" s="584" t="s">
        <v>693</v>
      </c>
    </row>
    <row r="640" spans="6:19" ht="10.5" customHeight="1">
      <c r="F640" s="371"/>
      <c r="G640" s="348"/>
      <c r="H640" s="348"/>
      <c r="I640" s="348"/>
      <c r="J640" s="348"/>
      <c r="K640" s="348"/>
      <c r="L640" s="348"/>
      <c r="M640" s="348"/>
      <c r="N640" s="669" t="s">
        <v>981</v>
      </c>
      <c r="O640" s="328"/>
      <c r="P640" s="189"/>
      <c r="Q640" s="432"/>
      <c r="R640" s="584" t="s">
        <v>1370</v>
      </c>
      <c r="S640" s="584" t="s">
        <v>2283</v>
      </c>
    </row>
    <row r="641" spans="6:19" ht="10.5" customHeight="1">
      <c r="F641" s="371"/>
      <c r="G641" s="348"/>
      <c r="H641" s="348"/>
      <c r="I641" s="348"/>
      <c r="J641" s="348"/>
      <c r="K641" s="348"/>
      <c r="L641" s="348"/>
      <c r="M641" s="348"/>
      <c r="N641" s="669" t="s">
        <v>983</v>
      </c>
      <c r="O641" s="328"/>
      <c r="P641" s="189"/>
      <c r="Q641" s="432"/>
      <c r="R641" s="584" t="s">
        <v>1372</v>
      </c>
      <c r="S641" s="584" t="s">
        <v>2657</v>
      </c>
    </row>
    <row r="642" spans="6:19" ht="10.5" customHeight="1">
      <c r="F642" s="371"/>
      <c r="G642" s="348"/>
      <c r="H642" s="348"/>
      <c r="I642" s="348"/>
      <c r="J642" s="348"/>
      <c r="K642" s="348"/>
      <c r="L642" s="348"/>
      <c r="M642" s="348"/>
      <c r="N642" s="669" t="s">
        <v>2623</v>
      </c>
      <c r="O642" s="328"/>
      <c r="P642" s="189"/>
      <c r="Q642" s="432"/>
      <c r="R642" s="671" t="s">
        <v>2090</v>
      </c>
      <c r="S642" s="671" t="s">
        <v>1157</v>
      </c>
    </row>
    <row r="643" spans="6:19" ht="10.5" customHeight="1">
      <c r="F643" s="371"/>
      <c r="G643" s="348"/>
      <c r="H643" s="348"/>
      <c r="I643" s="348"/>
      <c r="J643" s="348"/>
      <c r="K643" s="348"/>
      <c r="L643" s="348"/>
      <c r="M643" s="348"/>
      <c r="N643" s="669" t="s">
        <v>2625</v>
      </c>
      <c r="O643" s="328"/>
      <c r="P643" s="189"/>
      <c r="Q643" s="432"/>
      <c r="R643" s="671" t="s">
        <v>774</v>
      </c>
      <c r="S643" s="671" t="s">
        <v>328</v>
      </c>
    </row>
    <row r="644" spans="6:19" ht="10.5" customHeight="1">
      <c r="F644" s="371"/>
      <c r="G644" s="348"/>
      <c r="H644" s="348"/>
      <c r="I644" s="348"/>
      <c r="J644" s="348"/>
      <c r="K644" s="348"/>
      <c r="L644" s="348"/>
      <c r="M644" s="348"/>
      <c r="N644" s="669" t="s">
        <v>2626</v>
      </c>
      <c r="O644" s="328"/>
      <c r="P644" s="189"/>
      <c r="Q644" s="432"/>
      <c r="R644" s="584" t="s">
        <v>1326</v>
      </c>
      <c r="S644" s="584" t="s">
        <v>706</v>
      </c>
    </row>
    <row r="645" spans="6:19" ht="10.5" customHeight="1">
      <c r="F645" s="371"/>
      <c r="G645" s="348"/>
      <c r="H645" s="348"/>
      <c r="I645" s="348"/>
      <c r="J645" s="348"/>
      <c r="K645" s="348"/>
      <c r="L645" s="348"/>
      <c r="M645" s="348"/>
      <c r="N645" s="669" t="s">
        <v>1997</v>
      </c>
      <c r="O645" s="328"/>
      <c r="P645" s="189"/>
      <c r="Q645" s="432"/>
      <c r="R645" s="584" t="s">
        <v>1124</v>
      </c>
      <c r="S645" s="584" t="s">
        <v>164</v>
      </c>
    </row>
    <row r="646" spans="6:19" ht="10.5" customHeight="1">
      <c r="F646" s="371"/>
      <c r="G646" s="348"/>
      <c r="H646" s="348"/>
      <c r="I646" s="348"/>
      <c r="J646" s="348"/>
      <c r="K646" s="348"/>
      <c r="L646" s="348"/>
      <c r="M646" s="348"/>
      <c r="N646" s="669" t="s">
        <v>1998</v>
      </c>
      <c r="O646" s="328"/>
      <c r="P646" s="189"/>
      <c r="Q646" s="432"/>
      <c r="R646" s="584" t="s">
        <v>1980</v>
      </c>
      <c r="S646" s="584" t="s">
        <v>1155</v>
      </c>
    </row>
    <row r="647" spans="6:19" ht="10.5" customHeight="1">
      <c r="F647" s="371"/>
      <c r="G647" s="348"/>
      <c r="H647" s="348"/>
      <c r="I647" s="348"/>
      <c r="J647" s="348"/>
      <c r="K647" s="348"/>
      <c r="L647" s="348"/>
      <c r="M647" s="348"/>
      <c r="N647" s="669" t="s">
        <v>2000</v>
      </c>
      <c r="O647" s="328"/>
      <c r="P647" s="189"/>
      <c r="Q647" s="432"/>
      <c r="R647" s="584" t="s">
        <v>1982</v>
      </c>
      <c r="S647" s="584" t="s">
        <v>1528</v>
      </c>
    </row>
    <row r="648" spans="6:19" ht="10.5" customHeight="1">
      <c r="F648" s="371"/>
      <c r="G648" s="348"/>
      <c r="H648" s="348"/>
      <c r="I648" s="348"/>
      <c r="J648" s="348"/>
      <c r="K648" s="348"/>
      <c r="L648" s="348"/>
      <c r="M648" s="348"/>
      <c r="N648" s="669" t="s">
        <v>676</v>
      </c>
      <c r="O648" s="328"/>
      <c r="P648" s="189"/>
      <c r="Q648" s="432"/>
      <c r="R648" s="584" t="s">
        <v>1984</v>
      </c>
      <c r="S648" s="584" t="s">
        <v>2608</v>
      </c>
    </row>
    <row r="649" spans="6:19" ht="10.5" customHeight="1">
      <c r="F649" s="371"/>
      <c r="G649" s="348"/>
      <c r="H649" s="348"/>
      <c r="I649" s="348"/>
      <c r="J649" s="348"/>
      <c r="K649" s="348"/>
      <c r="L649" s="348"/>
      <c r="M649" s="348"/>
      <c r="N649" s="669" t="s">
        <v>678</v>
      </c>
      <c r="O649" s="328"/>
      <c r="P649" s="189"/>
      <c r="Q649" s="432"/>
      <c r="R649" s="584" t="s">
        <v>1986</v>
      </c>
      <c r="S649" s="584" t="s">
        <v>123</v>
      </c>
    </row>
    <row r="650" spans="6:19" ht="10.5" customHeight="1">
      <c r="F650" s="371"/>
      <c r="G650" s="348"/>
      <c r="H650" s="348"/>
      <c r="I650" s="348"/>
      <c r="J650" s="348"/>
      <c r="K650" s="348"/>
      <c r="L650" s="348"/>
      <c r="M650" s="348"/>
      <c r="N650" s="669" t="s">
        <v>679</v>
      </c>
      <c r="O650" s="328"/>
      <c r="P650" s="189"/>
      <c r="Q650" s="432"/>
      <c r="R650" s="584" t="s">
        <v>524</v>
      </c>
      <c r="S650" s="584" t="s">
        <v>2106</v>
      </c>
    </row>
    <row r="651" spans="6:19" ht="10.5" customHeight="1">
      <c r="F651" s="371"/>
      <c r="G651" s="348"/>
      <c r="H651" s="348"/>
      <c r="I651" s="348"/>
      <c r="J651" s="348"/>
      <c r="K651" s="348"/>
      <c r="L651" s="348"/>
      <c r="M651" s="348"/>
      <c r="N651" s="669" t="s">
        <v>2416</v>
      </c>
      <c r="O651" s="328"/>
      <c r="P651" s="189"/>
      <c r="Q651" s="432"/>
      <c r="R651" s="584" t="s">
        <v>2662</v>
      </c>
      <c r="S651" s="584" t="s">
        <v>2009</v>
      </c>
    </row>
    <row r="652" spans="6:19" ht="10.5" customHeight="1">
      <c r="F652" s="371"/>
      <c r="G652" s="348"/>
      <c r="H652" s="348"/>
      <c r="I652" s="348"/>
      <c r="J652" s="348"/>
      <c r="K652" s="348"/>
      <c r="L652" s="348"/>
      <c r="M652" s="348"/>
      <c r="N652" s="669" t="s">
        <v>73</v>
      </c>
      <c r="O652" s="328"/>
      <c r="P652" s="189"/>
      <c r="Q652" s="432"/>
      <c r="R652" s="584" t="s">
        <v>2664</v>
      </c>
      <c r="S652" s="584" t="s">
        <v>2655</v>
      </c>
    </row>
    <row r="653" spans="6:19" ht="10.5" customHeight="1">
      <c r="F653" s="371"/>
      <c r="G653" s="348"/>
      <c r="H653" s="348"/>
      <c r="I653" s="348"/>
      <c r="J653" s="348"/>
      <c r="K653" s="348"/>
      <c r="L653" s="348"/>
      <c r="M653" s="348"/>
      <c r="N653" s="669" t="s">
        <v>1484</v>
      </c>
      <c r="O653" s="328"/>
      <c r="P653" s="189"/>
      <c r="Q653" s="432"/>
      <c r="R653" s="584" t="s">
        <v>1209</v>
      </c>
      <c r="S653" s="584" t="s">
        <v>325</v>
      </c>
    </row>
    <row r="654" spans="6:19" ht="10.5" customHeight="1">
      <c r="F654" s="371"/>
      <c r="G654" s="348"/>
      <c r="H654" s="348"/>
      <c r="I654" s="348"/>
      <c r="J654" s="348"/>
      <c r="K654" s="348"/>
      <c r="L654" s="348"/>
      <c r="M654" s="348"/>
      <c r="N654" s="669" t="s">
        <v>2365</v>
      </c>
      <c r="O654" s="328"/>
      <c r="P654" s="189"/>
      <c r="Q654" s="432"/>
      <c r="R654" s="584" t="s">
        <v>2642</v>
      </c>
      <c r="S654" s="584" t="s">
        <v>919</v>
      </c>
    </row>
    <row r="655" spans="6:19" ht="10.5" customHeight="1">
      <c r="F655" s="371"/>
      <c r="G655" s="348"/>
      <c r="H655" s="348"/>
      <c r="I655" s="348"/>
      <c r="J655" s="348"/>
      <c r="K655" s="348"/>
      <c r="L655" s="348"/>
      <c r="M655" s="348"/>
      <c r="N655" s="669" t="s">
        <v>2367</v>
      </c>
      <c r="O655" s="328"/>
      <c r="P655" s="189"/>
      <c r="Q655" s="432"/>
      <c r="R655" s="584" t="s">
        <v>857</v>
      </c>
      <c r="S655" s="584" t="s">
        <v>1398</v>
      </c>
    </row>
    <row r="656" spans="6:19" ht="10.5" customHeight="1">
      <c r="F656" s="371"/>
      <c r="G656" s="348"/>
      <c r="H656" s="348"/>
      <c r="I656" s="348"/>
      <c r="J656" s="348"/>
      <c r="K656" s="348"/>
      <c r="L656" s="348"/>
      <c r="M656" s="348"/>
      <c r="N656" s="669" t="s">
        <v>1893</v>
      </c>
      <c r="O656" s="328"/>
      <c r="P656" s="189"/>
      <c r="Q656" s="432"/>
      <c r="R656" s="584" t="s">
        <v>1120</v>
      </c>
      <c r="S656" s="584" t="s">
        <v>701</v>
      </c>
    </row>
    <row r="657" spans="6:19" ht="10.5" customHeight="1">
      <c r="F657" s="371"/>
      <c r="G657" s="348"/>
      <c r="H657" s="348"/>
      <c r="I657" s="348"/>
      <c r="J657" s="348"/>
      <c r="K657" s="348"/>
      <c r="L657" s="348"/>
      <c r="M657" s="348"/>
      <c r="N657" s="669" t="s">
        <v>1167</v>
      </c>
      <c r="O657" s="328"/>
      <c r="P657" s="189"/>
      <c r="Q657" s="432"/>
      <c r="R657" s="584" t="s">
        <v>1608</v>
      </c>
      <c r="S657" s="584" t="s">
        <v>341</v>
      </c>
    </row>
    <row r="658" spans="6:19" ht="10.5" customHeight="1">
      <c r="F658" s="371"/>
      <c r="G658" s="348"/>
      <c r="H658" s="348"/>
      <c r="I658" s="348"/>
      <c r="J658" s="348"/>
      <c r="K658" s="348"/>
      <c r="L658" s="348"/>
      <c r="M658" s="348"/>
      <c r="N658" s="669" t="s">
        <v>2147</v>
      </c>
      <c r="O658" s="328"/>
      <c r="P658" s="189"/>
      <c r="Q658" s="432"/>
      <c r="R658" s="584" t="s">
        <v>3258</v>
      </c>
      <c r="S658" s="584" t="s">
        <v>918</v>
      </c>
    </row>
    <row r="659" spans="6:19" ht="10.5" customHeight="1">
      <c r="F659" s="371"/>
      <c r="G659" s="348"/>
      <c r="H659" s="348"/>
      <c r="I659" s="348"/>
      <c r="J659" s="348"/>
      <c r="K659" s="348"/>
      <c r="L659" s="348"/>
      <c r="M659" s="348"/>
      <c r="N659" s="669" t="s">
        <v>2065</v>
      </c>
      <c r="O659" s="328"/>
      <c r="P659" s="189"/>
      <c r="Q659" s="432"/>
      <c r="R659" s="584" t="s">
        <v>2202</v>
      </c>
      <c r="S659" s="584" t="s">
        <v>1391</v>
      </c>
    </row>
    <row r="660" spans="6:19" ht="10.5" customHeight="1">
      <c r="F660" s="371"/>
      <c r="G660" s="348"/>
      <c r="H660" s="348"/>
      <c r="I660" s="348"/>
      <c r="J660" s="348"/>
      <c r="K660" s="348"/>
      <c r="L660" s="348"/>
      <c r="M660" s="348"/>
      <c r="N660" s="669" t="s">
        <v>2067</v>
      </c>
      <c r="O660" s="328"/>
      <c r="P660" s="189"/>
      <c r="Q660" s="432"/>
      <c r="R660" s="584" t="s">
        <v>1700</v>
      </c>
      <c r="S660" s="584" t="s">
        <v>1377</v>
      </c>
    </row>
    <row r="661" spans="6:19" ht="10.5" customHeight="1">
      <c r="F661" s="371"/>
      <c r="G661" s="348"/>
      <c r="H661" s="348"/>
      <c r="I661" s="348"/>
      <c r="J661" s="348"/>
      <c r="K661" s="348"/>
      <c r="L661" s="348"/>
      <c r="M661" s="348"/>
      <c r="N661" s="669" t="s">
        <v>2069</v>
      </c>
      <c r="O661" s="328"/>
      <c r="P661" s="189"/>
      <c r="Q661" s="432"/>
      <c r="R661" s="584" t="s">
        <v>980</v>
      </c>
      <c r="S661" s="584" t="s">
        <v>2350</v>
      </c>
    </row>
    <row r="662" spans="6:19" ht="10.5" customHeight="1">
      <c r="F662" s="371"/>
      <c r="G662" s="348"/>
      <c r="H662" s="348"/>
      <c r="I662" s="348"/>
      <c r="J662" s="348"/>
      <c r="K662" s="348"/>
      <c r="L662" s="348"/>
      <c r="M662" s="348"/>
      <c r="N662" s="669" t="s">
        <v>516</v>
      </c>
      <c r="O662" s="328"/>
      <c r="P662" s="189"/>
      <c r="Q662" s="432"/>
      <c r="R662" s="584" t="s">
        <v>982</v>
      </c>
      <c r="S662" s="584" t="s">
        <v>332</v>
      </c>
    </row>
    <row r="663" spans="6:19" ht="10.5" customHeight="1">
      <c r="F663" s="371"/>
      <c r="G663" s="348"/>
      <c r="H663" s="348"/>
      <c r="I663" s="348"/>
      <c r="J663" s="348"/>
      <c r="K663" s="348"/>
      <c r="L663" s="348"/>
      <c r="M663" s="348"/>
      <c r="N663" s="669" t="s">
        <v>472</v>
      </c>
      <c r="O663" s="328"/>
      <c r="P663" s="189"/>
      <c r="Q663" s="432"/>
      <c r="R663" s="584" t="s">
        <v>2624</v>
      </c>
      <c r="S663" s="584" t="s">
        <v>658</v>
      </c>
    </row>
    <row r="664" spans="6:19" ht="10.5" customHeight="1">
      <c r="F664" s="371"/>
      <c r="G664" s="348"/>
      <c r="H664" s="348"/>
      <c r="I664" s="348"/>
      <c r="J664" s="348"/>
      <c r="K664" s="348"/>
      <c r="L664" s="348"/>
      <c r="M664" s="348"/>
      <c r="N664" s="669" t="s">
        <v>2197</v>
      </c>
      <c r="O664" s="328"/>
      <c r="P664" s="189"/>
      <c r="Q664" s="432"/>
      <c r="R664" s="584" t="s">
        <v>1996</v>
      </c>
      <c r="S664" s="584" t="s">
        <v>123</v>
      </c>
    </row>
    <row r="665" spans="6:19" ht="10.5" customHeight="1">
      <c r="F665" s="371"/>
      <c r="G665" s="348"/>
      <c r="H665" s="348"/>
      <c r="I665" s="348"/>
      <c r="J665" s="348"/>
      <c r="K665" s="348"/>
      <c r="L665" s="348"/>
      <c r="M665" s="348"/>
      <c r="N665" s="669" t="s">
        <v>2224</v>
      </c>
      <c r="O665" s="328"/>
      <c r="P665" s="189"/>
      <c r="Q665" s="432"/>
      <c r="R665" s="584" t="s">
        <v>1999</v>
      </c>
      <c r="S665" s="584" t="s">
        <v>2350</v>
      </c>
    </row>
    <row r="666" spans="6:19" ht="10.5" customHeight="1">
      <c r="F666" s="371"/>
      <c r="G666" s="348"/>
      <c r="H666" s="348"/>
      <c r="I666" s="348"/>
      <c r="J666" s="348"/>
      <c r="K666" s="348"/>
      <c r="L666" s="348"/>
      <c r="M666" s="348"/>
      <c r="N666" s="2006"/>
      <c r="O666" s="2007"/>
      <c r="P666" s="2007"/>
      <c r="Q666" s="2008"/>
      <c r="R666" s="584" t="s">
        <v>2001</v>
      </c>
      <c r="S666" s="584" t="s">
        <v>167</v>
      </c>
    </row>
    <row r="667" spans="6:19" ht="10.5" customHeight="1">
      <c r="F667" s="371"/>
      <c r="G667" s="348"/>
      <c r="H667" s="348"/>
      <c r="I667" s="348"/>
      <c r="J667" s="348"/>
      <c r="K667" s="348"/>
      <c r="L667" s="348"/>
      <c r="M667" s="348"/>
      <c r="N667" s="674"/>
      <c r="O667" s="675"/>
      <c r="P667" s="187"/>
      <c r="Q667" s="348"/>
      <c r="R667" s="584" t="s">
        <v>677</v>
      </c>
      <c r="S667" s="584" t="s">
        <v>2517</v>
      </c>
    </row>
    <row r="668" spans="6:19" ht="10.5" customHeight="1">
      <c r="F668" s="371"/>
      <c r="G668" s="348"/>
      <c r="H668" s="348"/>
      <c r="I668" s="348"/>
      <c r="J668" s="348"/>
      <c r="K668" s="348"/>
      <c r="L668" s="348"/>
      <c r="M668" s="348"/>
      <c r="N668" s="348"/>
      <c r="O668" s="348"/>
      <c r="P668" s="348"/>
      <c r="Q668" s="348"/>
      <c r="R668" s="584" t="s">
        <v>858</v>
      </c>
      <c r="S668" s="584" t="s">
        <v>2274</v>
      </c>
    </row>
    <row r="669" spans="6:19" ht="10.5" customHeight="1">
      <c r="F669" s="371"/>
      <c r="G669" s="348"/>
      <c r="H669" s="348"/>
      <c r="I669" s="348"/>
      <c r="J669" s="348"/>
      <c r="K669" s="675"/>
      <c r="L669" s="187"/>
      <c r="M669" s="348"/>
      <c r="N669" s="348"/>
      <c r="O669" s="348"/>
      <c r="P669" s="348"/>
      <c r="Q669" s="348"/>
      <c r="R669" s="584" t="s">
        <v>1125</v>
      </c>
      <c r="S669" s="584" t="s">
        <v>2007</v>
      </c>
    </row>
    <row r="670" spans="6:19" ht="10.5" customHeight="1">
      <c r="F670" s="371"/>
      <c r="G670" s="348"/>
      <c r="H670" s="348"/>
      <c r="I670" s="348"/>
      <c r="J670" s="674"/>
      <c r="K670" s="675"/>
      <c r="L670" s="187"/>
      <c r="M670" s="348"/>
      <c r="N670" s="348"/>
      <c r="O670" s="348"/>
      <c r="P670" s="348"/>
      <c r="Q670" s="348"/>
      <c r="R670" s="584" t="s">
        <v>1126</v>
      </c>
      <c r="S670" s="584" t="s">
        <v>2103</v>
      </c>
    </row>
    <row r="671" spans="6:19" ht="10.5" customHeight="1">
      <c r="F671" s="371"/>
      <c r="G671" s="348"/>
      <c r="H671" s="348"/>
      <c r="I671" s="348"/>
      <c r="J671" s="674"/>
      <c r="K671" s="675"/>
      <c r="L671" s="187"/>
      <c r="M671" s="348"/>
      <c r="N671" s="348"/>
      <c r="O671" s="348"/>
      <c r="P671" s="348"/>
      <c r="Q671" s="348"/>
      <c r="R671" s="671" t="s">
        <v>1537</v>
      </c>
      <c r="S671" s="671" t="s">
        <v>1268</v>
      </c>
    </row>
    <row r="672" spans="6:19" ht="10.5" customHeight="1">
      <c r="F672" s="371"/>
      <c r="G672" s="348"/>
      <c r="H672" s="348"/>
      <c r="I672" s="348"/>
      <c r="J672" s="674"/>
      <c r="K672" s="675"/>
      <c r="L672" s="187"/>
      <c r="M672" s="348"/>
      <c r="N672" s="348"/>
      <c r="O672" s="348"/>
      <c r="P672" s="348"/>
      <c r="Q672" s="348"/>
      <c r="R672" s="584" t="s">
        <v>2417</v>
      </c>
      <c r="S672" s="584" t="s">
        <v>123</v>
      </c>
    </row>
    <row r="673" spans="6:19" ht="10.5" customHeight="1">
      <c r="F673" s="371"/>
      <c r="G673" s="348"/>
      <c r="H673" s="348"/>
      <c r="I673" s="348"/>
      <c r="J673" s="674"/>
      <c r="K673" s="675"/>
      <c r="L673" s="187"/>
      <c r="M673" s="348"/>
      <c r="N673" s="348"/>
      <c r="O673" s="348"/>
      <c r="P673" s="348"/>
      <c r="Q673" s="348"/>
      <c r="R673" s="584" t="s">
        <v>1483</v>
      </c>
      <c r="S673" s="584" t="s">
        <v>2350</v>
      </c>
    </row>
    <row r="674" spans="6:19" ht="10.5" customHeight="1">
      <c r="F674" s="371"/>
      <c r="G674" s="348"/>
      <c r="H674" s="348"/>
      <c r="I674" s="348"/>
      <c r="J674" s="674"/>
      <c r="K674" s="675"/>
      <c r="L674" s="187"/>
      <c r="M674" s="348"/>
      <c r="N674" s="348"/>
      <c r="O674" s="348"/>
      <c r="P674" s="348"/>
      <c r="Q674" s="348"/>
      <c r="R674" s="584" t="s">
        <v>2364</v>
      </c>
      <c r="S674" s="584" t="s">
        <v>2013</v>
      </c>
    </row>
    <row r="675" spans="6:19" ht="10.5" customHeight="1">
      <c r="F675" s="371"/>
      <c r="G675" s="348"/>
      <c r="H675" s="348"/>
      <c r="I675" s="348"/>
      <c r="J675" s="674"/>
      <c r="K675" s="675"/>
      <c r="L675" s="187"/>
      <c r="M675" s="348"/>
      <c r="N675" s="348"/>
      <c r="O675" s="348"/>
      <c r="P675" s="348"/>
      <c r="Q675" s="348"/>
      <c r="R675" s="584" t="s">
        <v>2366</v>
      </c>
      <c r="S675" s="584" t="s">
        <v>2270</v>
      </c>
    </row>
    <row r="676" spans="6:19" ht="10.5" customHeight="1">
      <c r="F676" s="371"/>
      <c r="G676" s="348"/>
      <c r="H676" s="348"/>
      <c r="I676" s="348"/>
      <c r="J676" s="674"/>
      <c r="K676" s="675"/>
      <c r="L676" s="187"/>
      <c r="M676" s="348"/>
      <c r="N676" s="348"/>
      <c r="O676" s="348"/>
      <c r="P676" s="348"/>
      <c r="Q676" s="348"/>
      <c r="R676" s="584" t="s">
        <v>2368</v>
      </c>
      <c r="S676" s="584" t="s">
        <v>2517</v>
      </c>
    </row>
    <row r="677" spans="6:19" ht="10.5" customHeight="1">
      <c r="F677" s="371"/>
      <c r="G677" s="348"/>
      <c r="H677" s="348"/>
      <c r="I677" s="348"/>
      <c r="J677" s="674"/>
      <c r="K677" s="675"/>
      <c r="L677" s="187"/>
      <c r="M677" s="348"/>
      <c r="N677" s="348"/>
      <c r="O677" s="348"/>
      <c r="P677" s="348"/>
      <c r="Q677" s="348"/>
      <c r="R677" s="584" t="s">
        <v>3259</v>
      </c>
      <c r="S677" s="584" t="s">
        <v>164</v>
      </c>
    </row>
    <row r="678" spans="6:19" ht="10.5" customHeight="1">
      <c r="F678" s="371"/>
      <c r="G678" s="348"/>
      <c r="H678" s="348"/>
      <c r="I678" s="348"/>
      <c r="J678" s="674"/>
      <c r="K678" s="675"/>
      <c r="L678" s="187"/>
      <c r="M678" s="348"/>
      <c r="N678" s="348"/>
      <c r="O678" s="348"/>
      <c r="P678" s="348"/>
      <c r="Q678" s="348"/>
      <c r="R678" s="584" t="s">
        <v>1166</v>
      </c>
      <c r="S678" s="584" t="s">
        <v>2281</v>
      </c>
    </row>
    <row r="679" spans="6:19" ht="10.5" customHeight="1">
      <c r="F679" s="371"/>
      <c r="G679" s="348"/>
      <c r="H679" s="348"/>
      <c r="I679" s="348"/>
      <c r="J679" s="674"/>
      <c r="K679" s="675"/>
      <c r="L679" s="187"/>
      <c r="M679" s="348"/>
      <c r="N679" s="348"/>
      <c r="O679" s="348"/>
      <c r="P679" s="348"/>
      <c r="Q679" s="348"/>
      <c r="R679" s="584" t="s">
        <v>1168</v>
      </c>
      <c r="S679" s="584" t="s">
        <v>1143</v>
      </c>
    </row>
    <row r="680" spans="6:19" ht="10.5" customHeight="1">
      <c r="F680" s="371"/>
      <c r="G680" s="348"/>
      <c r="H680" s="348"/>
      <c r="I680" s="348"/>
      <c r="J680" s="674"/>
      <c r="K680" s="675"/>
      <c r="L680" s="187"/>
      <c r="M680" s="348"/>
      <c r="N680" s="348"/>
      <c r="O680" s="348"/>
      <c r="P680" s="348"/>
      <c r="Q680" s="348"/>
      <c r="R680" s="584" t="s">
        <v>2148</v>
      </c>
      <c r="S680" s="584" t="s">
        <v>327</v>
      </c>
    </row>
    <row r="681" spans="6:19" ht="10.5" customHeight="1">
      <c r="F681" s="371"/>
      <c r="G681" s="348"/>
      <c r="H681" s="348"/>
      <c r="I681" s="348"/>
      <c r="J681" s="674"/>
      <c r="K681" s="675"/>
      <c r="L681" s="187"/>
      <c r="M681" s="348"/>
      <c r="N681" s="348"/>
      <c r="O681" s="348"/>
      <c r="P681" s="348"/>
      <c r="Q681" s="348"/>
      <c r="R681" s="671" t="s">
        <v>2066</v>
      </c>
      <c r="S681" s="671" t="s">
        <v>124</v>
      </c>
    </row>
    <row r="682" spans="6:19" ht="10.5" customHeight="1">
      <c r="F682" s="371"/>
      <c r="G682" s="348"/>
      <c r="H682" s="348"/>
      <c r="I682" s="348"/>
      <c r="J682" s="674"/>
      <c r="K682" s="675"/>
      <c r="L682" s="187"/>
      <c r="M682" s="348"/>
      <c r="N682" s="348"/>
      <c r="O682" s="348"/>
      <c r="P682" s="348"/>
      <c r="Q682" s="348"/>
      <c r="R682" s="584" t="s">
        <v>2068</v>
      </c>
      <c r="S682" s="584" t="s">
        <v>336</v>
      </c>
    </row>
    <row r="683" spans="6:19" ht="10.5" customHeight="1">
      <c r="F683" s="371"/>
      <c r="G683" s="348"/>
      <c r="H683" s="348"/>
      <c r="I683" s="348"/>
      <c r="J683" s="674"/>
      <c r="K683" s="675"/>
      <c r="L683" s="187"/>
      <c r="M683" s="348"/>
      <c r="N683" s="348"/>
      <c r="O683" s="348"/>
      <c r="P683" s="348"/>
      <c r="Q683" s="348"/>
      <c r="R683" s="584" t="s">
        <v>2070</v>
      </c>
      <c r="S683" s="584" t="s">
        <v>189</v>
      </c>
    </row>
    <row r="684" spans="6:19" ht="10.5" customHeight="1">
      <c r="F684" s="371"/>
      <c r="G684" s="348"/>
      <c r="H684" s="348"/>
      <c r="I684" s="348"/>
      <c r="J684" s="674"/>
      <c r="K684" s="675"/>
      <c r="L684" s="187"/>
      <c r="M684" s="348"/>
      <c r="N684" s="348"/>
      <c r="O684" s="348"/>
      <c r="P684" s="348"/>
      <c r="Q684" s="348"/>
      <c r="R684" s="584" t="s">
        <v>3260</v>
      </c>
      <c r="S684" s="584" t="s">
        <v>2007</v>
      </c>
    </row>
    <row r="685" spans="6:19" ht="10.5" customHeight="1">
      <c r="F685" s="371"/>
      <c r="G685" s="348"/>
      <c r="H685" s="348"/>
      <c r="I685" s="348"/>
      <c r="J685" s="674"/>
      <c r="K685" s="675"/>
      <c r="L685" s="187"/>
      <c r="M685" s="348"/>
      <c r="N685" s="348"/>
      <c r="O685" s="348"/>
      <c r="P685" s="348"/>
      <c r="Q685" s="348"/>
      <c r="R685" s="584" t="s">
        <v>473</v>
      </c>
      <c r="S685" s="584" t="s">
        <v>1378</v>
      </c>
    </row>
    <row r="686" spans="6:19" ht="10.5" customHeight="1">
      <c r="F686" s="371"/>
      <c r="G686" s="348"/>
      <c r="H686" s="348"/>
      <c r="I686" s="348"/>
      <c r="J686" s="674"/>
      <c r="K686" s="675"/>
      <c r="L686" s="187"/>
      <c r="M686" s="348"/>
      <c r="N686" s="348"/>
      <c r="O686" s="348"/>
      <c r="P686" s="348"/>
      <c r="Q686" s="348"/>
      <c r="R686" s="584" t="s">
        <v>2198</v>
      </c>
      <c r="S686" s="584" t="s">
        <v>772</v>
      </c>
    </row>
    <row r="687" spans="6:19" ht="10.5" customHeight="1">
      <c r="F687" s="371"/>
      <c r="G687" s="348"/>
      <c r="H687" s="348"/>
      <c r="I687" s="348"/>
      <c r="J687" s="674"/>
      <c r="K687" s="675"/>
      <c r="L687" s="187"/>
      <c r="M687" s="348"/>
      <c r="N687" s="348"/>
      <c r="O687" s="348"/>
      <c r="P687" s="348"/>
      <c r="Q687" s="348"/>
      <c r="R687" s="584" t="s">
        <v>2225</v>
      </c>
      <c r="S687" s="584" t="s">
        <v>108</v>
      </c>
    </row>
    <row r="688" spans="6:19" ht="10.5" customHeight="1">
      <c r="F688" s="371"/>
      <c r="G688" s="348"/>
      <c r="H688" s="348"/>
      <c r="I688" s="348"/>
      <c r="J688" s="674"/>
      <c r="K688" s="675"/>
      <c r="L688" s="187"/>
      <c r="M688" s="348"/>
      <c r="N688" s="348"/>
      <c r="O688" s="348"/>
      <c r="P688" s="348"/>
      <c r="Q688" s="348"/>
      <c r="R688" s="584" t="s">
        <v>874</v>
      </c>
      <c r="S688" s="584" t="s">
        <v>2103</v>
      </c>
    </row>
    <row r="689" spans="6:19" ht="10.5" customHeight="1">
      <c r="F689" s="371"/>
      <c r="G689" s="348"/>
      <c r="H689" s="348"/>
      <c r="I689" s="348"/>
      <c r="J689" s="674"/>
      <c r="K689" s="675"/>
      <c r="L689" s="187"/>
      <c r="M689" s="348"/>
      <c r="N689" s="348"/>
      <c r="O689" s="348"/>
      <c r="P689" s="348"/>
      <c r="Q689" s="348"/>
      <c r="R689" s="584" t="s">
        <v>2226</v>
      </c>
      <c r="S689" s="584" t="s">
        <v>2103</v>
      </c>
    </row>
    <row r="690" spans="6:19" ht="10.5" customHeight="1">
      <c r="F690" s="371"/>
      <c r="G690" s="348"/>
      <c r="H690" s="348"/>
      <c r="I690" s="348"/>
      <c r="J690" s="674"/>
      <c r="K690" s="675"/>
      <c r="L690" s="187"/>
      <c r="M690" s="348"/>
      <c r="N690" s="348"/>
      <c r="O690" s="348"/>
      <c r="P690" s="348"/>
      <c r="Q690" s="348"/>
      <c r="R690" s="671" t="s">
        <v>2227</v>
      </c>
      <c r="S690" s="671" t="s">
        <v>1745</v>
      </c>
    </row>
    <row r="691" spans="6:19" ht="10.5" customHeight="1">
      <c r="F691" s="371"/>
      <c r="G691" s="348"/>
      <c r="H691" s="348"/>
      <c r="I691" s="348"/>
      <c r="J691" s="674"/>
      <c r="K691" s="675"/>
      <c r="L691" s="187"/>
      <c r="M691" s="348"/>
      <c r="N691" s="348"/>
      <c r="O691" s="348"/>
      <c r="P691" s="348"/>
      <c r="Q691" s="348"/>
      <c r="R691" s="584" t="s">
        <v>2441</v>
      </c>
      <c r="S691" s="584" t="s">
        <v>1972</v>
      </c>
    </row>
    <row r="692" spans="6:19" ht="10.5" customHeight="1">
      <c r="F692" s="371"/>
      <c r="G692" s="348"/>
      <c r="H692" s="348"/>
      <c r="I692" s="348"/>
      <c r="J692" s="674"/>
      <c r="K692" s="675"/>
      <c r="L692" s="187"/>
      <c r="M692" s="348"/>
      <c r="N692" s="348"/>
      <c r="O692" s="348"/>
      <c r="P692" s="348"/>
      <c r="Q692" s="348"/>
      <c r="R692" s="584" t="s">
        <v>2442</v>
      </c>
      <c r="S692" s="584" t="s">
        <v>164</v>
      </c>
    </row>
    <row r="693" spans="6:19" ht="10.5" customHeight="1">
      <c r="F693" s="371"/>
      <c r="G693" s="348"/>
      <c r="H693" s="348"/>
      <c r="I693" s="348"/>
      <c r="J693" s="674"/>
      <c r="K693" s="675"/>
      <c r="L693" s="187"/>
      <c r="M693" s="348"/>
      <c r="N693" s="348"/>
      <c r="O693" s="348"/>
      <c r="P693" s="348"/>
      <c r="Q693" s="348"/>
      <c r="R693" s="584" t="s">
        <v>2443</v>
      </c>
      <c r="S693" s="584" t="s">
        <v>1747</v>
      </c>
    </row>
    <row r="694" spans="6:19" ht="10.5" customHeight="1">
      <c r="F694" s="371"/>
      <c r="G694" s="348"/>
      <c r="H694" s="348"/>
      <c r="I694" s="348"/>
      <c r="J694" s="674"/>
      <c r="K694" s="675"/>
      <c r="L694" s="187"/>
      <c r="M694" s="348"/>
      <c r="N694" s="348"/>
      <c r="O694" s="348"/>
      <c r="P694" s="348"/>
      <c r="Q694" s="348"/>
      <c r="R694" s="584" t="s">
        <v>2444</v>
      </c>
      <c r="S694" s="584" t="s">
        <v>1155</v>
      </c>
    </row>
    <row r="695" spans="6:19" ht="10.5" customHeight="1">
      <c r="F695" s="371"/>
      <c r="G695" s="348"/>
      <c r="H695" s="348"/>
      <c r="I695" s="348"/>
      <c r="J695" s="674"/>
      <c r="K695" s="675"/>
      <c r="L695" s="187"/>
      <c r="M695" s="348"/>
      <c r="N695" s="348"/>
      <c r="O695" s="348"/>
      <c r="P695" s="348"/>
      <c r="Q695" s="348"/>
      <c r="R695" s="584" t="s">
        <v>2445</v>
      </c>
      <c r="S695" s="584" t="s">
        <v>2513</v>
      </c>
    </row>
    <row r="696" spans="6:19" ht="10.5" customHeight="1">
      <c r="F696" s="371"/>
      <c r="G696" s="348"/>
      <c r="H696" s="348"/>
      <c r="I696" s="348"/>
      <c r="J696" s="674"/>
      <c r="K696" s="675"/>
      <c r="L696" s="187"/>
      <c r="M696" s="348"/>
      <c r="N696" s="348"/>
      <c r="O696" s="348"/>
      <c r="P696" s="348"/>
      <c r="Q696" s="348"/>
      <c r="R696" s="584" t="s">
        <v>2369</v>
      </c>
      <c r="S696" s="584" t="s">
        <v>2275</v>
      </c>
    </row>
    <row r="697" spans="6:19" ht="10.5" customHeight="1">
      <c r="F697" s="371"/>
      <c r="G697" s="348"/>
      <c r="H697" s="348"/>
      <c r="I697" s="348"/>
      <c r="J697" s="674"/>
      <c r="K697" s="675"/>
      <c r="L697" s="187"/>
      <c r="M697" s="348"/>
      <c r="N697" s="348"/>
      <c r="O697" s="348"/>
      <c r="P697" s="348"/>
      <c r="Q697" s="348"/>
      <c r="R697" s="584" t="s">
        <v>1703</v>
      </c>
      <c r="S697" s="584" t="s">
        <v>2515</v>
      </c>
    </row>
    <row r="698" spans="6:19" ht="10.5" customHeight="1">
      <c r="F698" s="371"/>
      <c r="G698" s="348"/>
      <c r="H698" s="348"/>
      <c r="I698" s="348"/>
      <c r="J698" s="674"/>
      <c r="K698" s="675"/>
      <c r="L698" s="187"/>
      <c r="M698" s="348"/>
      <c r="N698" s="348"/>
      <c r="O698" s="348"/>
      <c r="P698" s="348"/>
      <c r="Q698" s="348"/>
      <c r="R698" s="584" t="s">
        <v>1704</v>
      </c>
      <c r="S698" s="584" t="s">
        <v>200</v>
      </c>
    </row>
    <row r="699" spans="6:19" ht="10.5" customHeight="1">
      <c r="F699" s="371"/>
      <c r="G699" s="348"/>
      <c r="H699" s="348"/>
      <c r="I699" s="348"/>
      <c r="J699" s="674"/>
      <c r="K699" s="675"/>
      <c r="L699" s="187"/>
      <c r="M699" s="348"/>
      <c r="N699" s="348"/>
      <c r="O699" s="348"/>
      <c r="P699" s="348"/>
      <c r="Q699" s="348"/>
      <c r="R699" s="584" t="s">
        <v>1770</v>
      </c>
      <c r="S699" s="584" t="s">
        <v>167</v>
      </c>
    </row>
    <row r="700" spans="6:19" ht="10.5" customHeight="1">
      <c r="F700" s="371"/>
      <c r="G700" s="348"/>
      <c r="H700" s="348"/>
      <c r="I700" s="348"/>
      <c r="J700" s="674"/>
      <c r="K700" s="675"/>
      <c r="L700" s="187"/>
      <c r="M700" s="348"/>
      <c r="N700" s="348"/>
      <c r="O700" s="348"/>
      <c r="P700" s="348"/>
      <c r="Q700" s="348"/>
      <c r="R700" s="584" t="s">
        <v>1127</v>
      </c>
      <c r="S700" s="584" t="s">
        <v>658</v>
      </c>
    </row>
    <row r="701" spans="6:19" ht="10.5" customHeight="1">
      <c r="F701" s="371"/>
      <c r="G701" s="348"/>
      <c r="H701" s="348"/>
      <c r="I701" s="348"/>
      <c r="J701" s="674"/>
      <c r="K701" s="675"/>
      <c r="L701" s="187"/>
      <c r="M701" s="348"/>
      <c r="N701" s="348"/>
      <c r="O701" s="348"/>
      <c r="P701" s="348"/>
      <c r="Q701" s="348"/>
      <c r="R701" s="584" t="s">
        <v>859</v>
      </c>
      <c r="S701" s="584" t="s">
        <v>2046</v>
      </c>
    </row>
    <row r="702" spans="6:19" ht="10.5" customHeight="1">
      <c r="F702" s="371"/>
      <c r="G702" s="348"/>
      <c r="H702" s="348"/>
      <c r="I702" s="348"/>
      <c r="J702" s="674"/>
      <c r="K702" s="675"/>
      <c r="L702" s="187"/>
      <c r="M702" s="348"/>
      <c r="N702" s="348"/>
      <c r="O702" s="348"/>
      <c r="P702" s="348"/>
      <c r="Q702" s="348"/>
      <c r="R702" s="584" t="s">
        <v>1771</v>
      </c>
      <c r="S702" s="584" t="s">
        <v>2657</v>
      </c>
    </row>
    <row r="703" spans="6:19" ht="10.5" customHeight="1">
      <c r="F703" s="371"/>
      <c r="G703" s="348"/>
      <c r="H703" s="348"/>
      <c r="I703" s="348"/>
      <c r="J703" s="674"/>
      <c r="K703" s="675"/>
      <c r="L703" s="187"/>
      <c r="M703" s="348"/>
      <c r="N703" s="348"/>
      <c r="O703" s="348"/>
      <c r="P703" s="348"/>
      <c r="Q703" s="348"/>
      <c r="R703" s="584" t="s">
        <v>1772</v>
      </c>
      <c r="S703" s="584" t="s">
        <v>2350</v>
      </c>
    </row>
    <row r="704" spans="6:19" ht="10.5" customHeight="1">
      <c r="F704" s="371"/>
      <c r="G704" s="348"/>
      <c r="H704" s="348"/>
      <c r="I704" s="348"/>
      <c r="J704" s="674"/>
      <c r="K704" s="675"/>
      <c r="L704" s="187"/>
      <c r="M704" s="348"/>
      <c r="N704" s="348"/>
      <c r="O704" s="348"/>
      <c r="P704" s="348"/>
      <c r="Q704" s="348"/>
      <c r="R704" s="584" t="s">
        <v>1773</v>
      </c>
      <c r="S704" s="584" t="s">
        <v>1747</v>
      </c>
    </row>
    <row r="705" spans="6:19" ht="10.5" customHeight="1">
      <c r="F705" s="371"/>
      <c r="G705" s="348"/>
      <c r="H705" s="348"/>
      <c r="I705" s="348"/>
      <c r="J705" s="674"/>
      <c r="K705" s="675"/>
      <c r="L705" s="187"/>
      <c r="M705" s="348"/>
      <c r="N705" s="348"/>
      <c r="O705" s="348"/>
      <c r="P705" s="348"/>
      <c r="Q705" s="348"/>
      <c r="R705" s="584" t="s">
        <v>1774</v>
      </c>
      <c r="S705" s="584" t="s">
        <v>164</v>
      </c>
    </row>
    <row r="706" spans="6:19" ht="10.5" customHeight="1">
      <c r="F706" s="371"/>
      <c r="G706" s="348"/>
      <c r="H706" s="348"/>
      <c r="I706" s="348"/>
      <c r="J706" s="674"/>
      <c r="K706" s="675"/>
      <c r="L706" s="187"/>
      <c r="M706" s="348"/>
      <c r="N706" s="348"/>
      <c r="O706" s="348"/>
      <c r="P706" s="348"/>
      <c r="Q706" s="348"/>
      <c r="R706" s="584" t="s">
        <v>1775</v>
      </c>
      <c r="S706" s="584" t="s">
        <v>692</v>
      </c>
    </row>
    <row r="707" spans="6:19" ht="10.5" customHeight="1">
      <c r="F707" s="371"/>
      <c r="G707" s="348"/>
      <c r="H707" s="348"/>
      <c r="I707" s="348"/>
      <c r="J707" s="674"/>
      <c r="K707" s="675"/>
      <c r="L707" s="187"/>
      <c r="M707" s="348"/>
      <c r="N707" s="348"/>
      <c r="O707" s="348"/>
      <c r="P707" s="348"/>
      <c r="Q707" s="348"/>
      <c r="R707" s="584" t="s">
        <v>1776</v>
      </c>
      <c r="S707" s="584" t="s">
        <v>997</v>
      </c>
    </row>
    <row r="708" spans="6:19" ht="10.5" customHeight="1">
      <c r="F708" s="371"/>
      <c r="G708" s="348"/>
      <c r="H708" s="348"/>
      <c r="I708" s="348"/>
      <c r="J708" s="674"/>
      <c r="K708" s="675"/>
      <c r="L708" s="187"/>
      <c r="M708" s="348"/>
      <c r="N708" s="348"/>
      <c r="O708" s="348"/>
      <c r="P708" s="348"/>
      <c r="Q708" s="348"/>
      <c r="R708" s="584" t="s">
        <v>1777</v>
      </c>
      <c r="S708" s="584" t="s">
        <v>1264</v>
      </c>
    </row>
    <row r="709" spans="6:19" ht="10.5" customHeight="1">
      <c r="F709" s="371"/>
      <c r="G709" s="348"/>
      <c r="H709" s="348"/>
      <c r="I709" s="348"/>
      <c r="J709" s="674"/>
      <c r="K709" s="675"/>
      <c r="L709" s="187"/>
      <c r="M709" s="348"/>
      <c r="N709" s="348"/>
      <c r="O709" s="348"/>
      <c r="P709" s="348"/>
      <c r="Q709" s="348"/>
      <c r="R709" s="584" t="s">
        <v>1778</v>
      </c>
      <c r="S709" s="584" t="s">
        <v>706</v>
      </c>
    </row>
    <row r="710" spans="6:19" ht="10.5" customHeight="1">
      <c r="F710" s="371"/>
      <c r="G710" s="348"/>
      <c r="H710" s="348"/>
      <c r="I710" s="348"/>
      <c r="J710" s="674"/>
      <c r="K710" s="675"/>
      <c r="L710" s="187"/>
      <c r="M710" s="348"/>
      <c r="N710" s="348"/>
      <c r="O710" s="348"/>
      <c r="P710" s="348"/>
      <c r="Q710" s="348"/>
      <c r="R710" s="671" t="s">
        <v>1128</v>
      </c>
      <c r="S710" s="671" t="s">
        <v>1747</v>
      </c>
    </row>
    <row r="711" spans="6:19" ht="10.5" customHeight="1">
      <c r="F711" s="371"/>
      <c r="G711" s="348"/>
      <c r="H711" s="348"/>
      <c r="I711" s="348"/>
      <c r="J711" s="674"/>
      <c r="K711" s="675"/>
      <c r="L711" s="187"/>
      <c r="M711" s="348"/>
      <c r="N711" s="348"/>
      <c r="O711" s="348"/>
      <c r="P711" s="348"/>
      <c r="Q711" s="348"/>
      <c r="R711" s="584" t="s">
        <v>1779</v>
      </c>
      <c r="S711" s="584" t="s">
        <v>189</v>
      </c>
    </row>
    <row r="712" spans="6:19" ht="10.5" customHeight="1">
      <c r="F712" s="371"/>
      <c r="G712" s="348"/>
      <c r="H712" s="348"/>
      <c r="I712" s="348"/>
      <c r="J712" s="674"/>
      <c r="K712" s="675"/>
      <c r="L712" s="187"/>
      <c r="M712" s="348"/>
      <c r="N712" s="348"/>
      <c r="O712" s="348"/>
      <c r="P712" s="348"/>
      <c r="Q712" s="348"/>
      <c r="R712" s="584" t="s">
        <v>1780</v>
      </c>
      <c r="S712" s="584" t="s">
        <v>180</v>
      </c>
    </row>
    <row r="713" spans="6:19" ht="10.5" customHeight="1">
      <c r="F713" s="371"/>
      <c r="G713" s="348"/>
      <c r="H713" s="348"/>
      <c r="I713" s="348"/>
      <c r="J713" s="674"/>
      <c r="K713" s="675"/>
      <c r="L713" s="187"/>
      <c r="M713" s="348"/>
      <c r="N713" s="348"/>
      <c r="O713" s="348"/>
      <c r="P713" s="348"/>
      <c r="Q713" s="348"/>
      <c r="R713" s="584" t="s">
        <v>1781</v>
      </c>
      <c r="S713" s="584" t="s">
        <v>2046</v>
      </c>
    </row>
    <row r="714" spans="6:19" ht="10.5" customHeight="1">
      <c r="F714" s="371"/>
      <c r="G714" s="348"/>
      <c r="H714" s="348"/>
      <c r="I714" s="348"/>
      <c r="J714" s="674"/>
      <c r="K714" s="675"/>
      <c r="L714" s="187"/>
      <c r="M714" s="348"/>
      <c r="N714" s="348"/>
      <c r="O714" s="348"/>
      <c r="P714" s="348"/>
      <c r="Q714" s="348"/>
      <c r="R714" s="671" t="s">
        <v>1782</v>
      </c>
      <c r="S714" s="671" t="s">
        <v>164</v>
      </c>
    </row>
    <row r="715" spans="6:19" ht="10.5" customHeight="1">
      <c r="F715" s="371"/>
      <c r="G715" s="348"/>
      <c r="H715" s="348"/>
      <c r="I715" s="348"/>
      <c r="J715" s="674"/>
      <c r="K715" s="675"/>
      <c r="L715" s="187"/>
      <c r="M715" s="348"/>
      <c r="N715" s="348"/>
      <c r="O715" s="348"/>
      <c r="P715" s="348"/>
      <c r="Q715" s="348"/>
      <c r="R715" s="584" t="s">
        <v>1783</v>
      </c>
      <c r="S715" s="584" t="s">
        <v>2005</v>
      </c>
    </row>
    <row r="716" spans="6:19" ht="10.5" customHeight="1">
      <c r="F716" s="371"/>
      <c r="G716" s="348"/>
      <c r="H716" s="348"/>
      <c r="I716" s="348"/>
      <c r="J716" s="674"/>
      <c r="K716" s="675"/>
      <c r="L716" s="187"/>
      <c r="M716" s="348"/>
      <c r="N716" s="348"/>
      <c r="O716" s="348"/>
      <c r="P716" s="348"/>
      <c r="Q716" s="348"/>
      <c r="R716" s="584" t="s">
        <v>1784</v>
      </c>
      <c r="S716" s="584" t="s">
        <v>1393</v>
      </c>
    </row>
    <row r="717" spans="6:19" ht="10.5" customHeight="1">
      <c r="F717" s="371"/>
      <c r="G717" s="348"/>
      <c r="H717" s="348"/>
      <c r="I717" s="348"/>
      <c r="J717" s="674"/>
      <c r="K717" s="675"/>
      <c r="L717" s="187"/>
      <c r="M717" s="348"/>
      <c r="N717" s="348"/>
      <c r="O717" s="348"/>
      <c r="P717" s="348"/>
      <c r="Q717" s="348"/>
      <c r="R717" s="584" t="s">
        <v>1785</v>
      </c>
      <c r="S717" s="584" t="s">
        <v>997</v>
      </c>
    </row>
    <row r="718" spans="6:19" ht="10.5" customHeight="1">
      <c r="F718" s="371"/>
      <c r="G718" s="348"/>
      <c r="H718" s="348"/>
      <c r="I718" s="348"/>
      <c r="J718" s="674"/>
      <c r="K718" s="675"/>
      <c r="L718" s="187"/>
      <c r="M718" s="348"/>
      <c r="N718" s="348"/>
      <c r="O718" s="348"/>
      <c r="P718" s="348"/>
      <c r="Q718" s="348"/>
      <c r="R718" s="584" t="s">
        <v>1786</v>
      </c>
      <c r="S718" s="584" t="s">
        <v>772</v>
      </c>
    </row>
    <row r="719" spans="6:19" ht="10.5" customHeight="1">
      <c r="F719" s="371"/>
      <c r="G719" s="348"/>
      <c r="H719" s="348"/>
      <c r="I719" s="348"/>
      <c r="J719" s="674"/>
      <c r="K719" s="675"/>
      <c r="L719" s="187"/>
      <c r="M719" s="348"/>
      <c r="N719" s="348"/>
      <c r="O719" s="348"/>
      <c r="P719" s="348"/>
      <c r="Q719" s="348"/>
      <c r="R719" s="584" t="s">
        <v>1129</v>
      </c>
      <c r="S719" s="584" t="s">
        <v>2608</v>
      </c>
    </row>
    <row r="720" spans="6:19" ht="10.5" customHeight="1">
      <c r="F720" s="371"/>
      <c r="G720" s="348"/>
      <c r="H720" s="348"/>
      <c r="I720" s="348"/>
      <c r="J720" s="674"/>
      <c r="K720" s="675"/>
      <c r="L720" s="187"/>
      <c r="M720" s="348"/>
      <c r="N720" s="348"/>
      <c r="O720" s="348"/>
      <c r="P720" s="348"/>
      <c r="Q720" s="348"/>
      <c r="R720" s="584" t="s">
        <v>1787</v>
      </c>
      <c r="S720" s="584" t="s">
        <v>327</v>
      </c>
    </row>
    <row r="721" spans="6:19" ht="10.5" customHeight="1">
      <c r="F721" s="371"/>
      <c r="G721" s="348"/>
      <c r="H721" s="348"/>
      <c r="I721" s="348"/>
      <c r="J721" s="674"/>
      <c r="K721" s="675"/>
      <c r="L721" s="187"/>
      <c r="M721" s="348"/>
      <c r="N721" s="348"/>
      <c r="O721" s="348"/>
      <c r="P721" s="348"/>
      <c r="Q721" s="348"/>
      <c r="R721" s="584" t="s">
        <v>1788</v>
      </c>
      <c r="S721" s="584" t="s">
        <v>341</v>
      </c>
    </row>
    <row r="722" spans="6:19" ht="10.5" customHeight="1">
      <c r="F722" s="371"/>
      <c r="G722" s="348"/>
      <c r="H722" s="348"/>
      <c r="I722" s="348"/>
      <c r="J722" s="674"/>
      <c r="K722" s="675"/>
      <c r="L722" s="187"/>
      <c r="M722" s="348"/>
      <c r="N722" s="348"/>
      <c r="O722" s="348"/>
      <c r="P722" s="348"/>
      <c r="Q722" s="348"/>
      <c r="R722" s="584" t="s">
        <v>1789</v>
      </c>
      <c r="S722" s="584" t="s">
        <v>169</v>
      </c>
    </row>
    <row r="723" spans="6:19" ht="10.5" customHeight="1">
      <c r="F723" s="371"/>
      <c r="G723" s="348"/>
      <c r="H723" s="348"/>
      <c r="I723" s="348"/>
      <c r="J723" s="674"/>
      <c r="K723" s="675"/>
      <c r="L723" s="187"/>
      <c r="M723" s="348"/>
      <c r="N723" s="348"/>
      <c r="O723" s="348"/>
      <c r="P723" s="348"/>
      <c r="Q723" s="348"/>
      <c r="R723" s="584" t="s">
        <v>1790</v>
      </c>
      <c r="S723" s="584" t="s">
        <v>2106</v>
      </c>
    </row>
    <row r="724" spans="6:19" ht="10.5" customHeight="1">
      <c r="F724" s="371"/>
      <c r="G724" s="348"/>
      <c r="H724" s="348"/>
      <c r="I724" s="348"/>
      <c r="J724" s="674"/>
      <c r="K724" s="675"/>
      <c r="L724" s="187"/>
      <c r="M724" s="348"/>
      <c r="N724" s="348"/>
      <c r="O724" s="348"/>
      <c r="P724" s="348"/>
      <c r="Q724" s="348"/>
      <c r="R724" s="584" t="s">
        <v>1791</v>
      </c>
      <c r="S724" s="584" t="s">
        <v>1529</v>
      </c>
    </row>
    <row r="725" spans="6:19" ht="10.5" customHeight="1">
      <c r="F725" s="371"/>
      <c r="G725" s="348"/>
      <c r="H725" s="348"/>
      <c r="I725" s="348"/>
      <c r="J725" s="674"/>
      <c r="K725" s="675"/>
      <c r="L725" s="187"/>
      <c r="M725" s="348"/>
      <c r="N725" s="348"/>
      <c r="O725" s="348"/>
      <c r="P725" s="348"/>
      <c r="Q725" s="348"/>
      <c r="R725" s="584" t="s">
        <v>1792</v>
      </c>
      <c r="S725" s="584" t="s">
        <v>1974</v>
      </c>
    </row>
    <row r="726" spans="6:19" ht="10.5" customHeight="1">
      <c r="F726" s="371"/>
      <c r="G726" s="348"/>
      <c r="H726" s="348"/>
      <c r="I726" s="348"/>
      <c r="J726" s="674"/>
      <c r="K726" s="675"/>
      <c r="L726" s="187"/>
      <c r="M726" s="348"/>
      <c r="N726" s="348"/>
      <c r="O726" s="348"/>
      <c r="P726" s="348"/>
      <c r="Q726" s="348"/>
      <c r="R726" s="584" t="s">
        <v>1793</v>
      </c>
      <c r="S726" s="584" t="s">
        <v>333</v>
      </c>
    </row>
    <row r="727" spans="6:19" ht="10.5" customHeight="1">
      <c r="F727" s="371"/>
      <c r="G727" s="348"/>
      <c r="H727" s="348"/>
      <c r="I727" s="348"/>
      <c r="J727" s="674"/>
      <c r="K727" s="675"/>
      <c r="L727" s="187"/>
      <c r="M727" s="348"/>
      <c r="N727" s="348"/>
      <c r="O727" s="348"/>
      <c r="P727" s="348"/>
      <c r="Q727" s="348"/>
      <c r="R727" s="584" t="s">
        <v>1794</v>
      </c>
      <c r="S727" s="584" t="s">
        <v>106</v>
      </c>
    </row>
    <row r="728" spans="6:19" ht="10.5" customHeight="1">
      <c r="F728" s="371"/>
      <c r="G728" s="348"/>
      <c r="H728" s="348"/>
      <c r="I728" s="348"/>
      <c r="J728" s="674"/>
      <c r="K728" s="675"/>
      <c r="L728" s="187"/>
      <c r="M728" s="348"/>
      <c r="N728" s="348"/>
      <c r="O728" s="348"/>
      <c r="P728" s="348"/>
      <c r="Q728" s="348"/>
      <c r="R728" s="432" t="s">
        <v>306</v>
      </c>
      <c r="S728" s="432" t="s">
        <v>2517</v>
      </c>
    </row>
    <row r="729" spans="6:19" ht="10.5" customHeight="1">
      <c r="F729" s="371"/>
      <c r="G729" s="348"/>
      <c r="H729" s="348"/>
      <c r="I729" s="348"/>
      <c r="J729" s="674"/>
      <c r="K729" s="675"/>
      <c r="L729" s="187"/>
      <c r="M729" s="348"/>
      <c r="N729" s="348"/>
      <c r="O729" s="348"/>
      <c r="P729" s="348"/>
      <c r="Q729" s="348"/>
      <c r="R729" s="584" t="s">
        <v>108</v>
      </c>
      <c r="S729" s="584" t="s">
        <v>2513</v>
      </c>
    </row>
    <row r="730" spans="6:19" ht="10.5" customHeight="1">
      <c r="F730" s="371"/>
      <c r="G730" s="348"/>
      <c r="H730" s="348"/>
      <c r="I730" s="348"/>
      <c r="J730" s="674"/>
      <c r="K730" s="675"/>
      <c r="L730" s="187"/>
      <c r="M730" s="348"/>
      <c r="N730" s="348"/>
      <c r="O730" s="348"/>
      <c r="P730" s="348"/>
      <c r="Q730" s="348"/>
      <c r="R730" s="584" t="s">
        <v>307</v>
      </c>
      <c r="S730" s="432" t="s">
        <v>2717</v>
      </c>
    </row>
    <row r="731" spans="6:19" ht="10.5" customHeight="1">
      <c r="F731" s="371"/>
      <c r="G731" s="348"/>
      <c r="H731" s="348"/>
      <c r="I731" s="348"/>
      <c r="J731" s="674"/>
      <c r="K731" s="675"/>
      <c r="L731" s="187"/>
      <c r="M731" s="348"/>
      <c r="N731" s="348"/>
      <c r="O731" s="348"/>
      <c r="P731" s="348"/>
      <c r="Q731" s="348"/>
      <c r="R731" s="432" t="s">
        <v>308</v>
      </c>
      <c r="S731" s="432" t="s">
        <v>328</v>
      </c>
    </row>
    <row r="732" spans="6:19" ht="10.5" customHeight="1">
      <c r="F732" s="371"/>
      <c r="G732" s="348"/>
      <c r="H732" s="348"/>
      <c r="I732" s="348"/>
      <c r="J732" s="674"/>
      <c r="K732" s="675"/>
      <c r="L732" s="187"/>
      <c r="M732" s="348"/>
      <c r="N732" s="348"/>
      <c r="O732" s="348"/>
      <c r="P732" s="348"/>
      <c r="Q732" s="348"/>
      <c r="R732" s="432" t="s">
        <v>309</v>
      </c>
      <c r="S732" s="432" t="s">
        <v>2107</v>
      </c>
    </row>
    <row r="733" spans="6:19" ht="10.5" customHeight="1">
      <c r="F733" s="371"/>
      <c r="G733" s="348"/>
      <c r="H733" s="348"/>
      <c r="I733" s="348"/>
      <c r="J733" s="674"/>
      <c r="K733" s="675"/>
      <c r="L733" s="187"/>
      <c r="M733" s="348"/>
      <c r="N733" s="348"/>
      <c r="O733" s="348"/>
      <c r="P733" s="348"/>
      <c r="Q733" s="348"/>
      <c r="R733" s="432" t="s">
        <v>310</v>
      </c>
      <c r="S733" s="432" t="s">
        <v>1393</v>
      </c>
    </row>
    <row r="734" spans="6:19" ht="10.5" customHeight="1">
      <c r="F734" s="371"/>
      <c r="G734" s="348"/>
      <c r="H734" s="348"/>
      <c r="I734" s="348"/>
      <c r="J734" s="674"/>
      <c r="K734" s="675"/>
      <c r="L734" s="187"/>
      <c r="M734" s="348"/>
      <c r="N734" s="348"/>
      <c r="O734" s="348"/>
      <c r="P734" s="348"/>
      <c r="Q734" s="348"/>
      <c r="R734" s="432" t="s">
        <v>311</v>
      </c>
      <c r="S734" s="432" t="s">
        <v>2011</v>
      </c>
    </row>
    <row r="735" spans="6:19" ht="10.5" customHeight="1">
      <c r="F735" s="371"/>
      <c r="G735" s="348"/>
      <c r="H735" s="348"/>
      <c r="I735" s="348"/>
      <c r="J735" s="674"/>
      <c r="K735" s="675"/>
      <c r="L735" s="187"/>
      <c r="M735" s="348"/>
      <c r="N735" s="348"/>
      <c r="O735" s="348"/>
      <c r="P735" s="348"/>
      <c r="Q735" s="348"/>
      <c r="R735" s="432" t="s">
        <v>312</v>
      </c>
      <c r="S735" s="432" t="s">
        <v>112</v>
      </c>
    </row>
    <row r="736" spans="6:19" ht="10.5" customHeight="1">
      <c r="F736" s="371"/>
      <c r="G736" s="348"/>
      <c r="H736" s="348"/>
      <c r="I736" s="348"/>
      <c r="J736" s="674"/>
      <c r="K736" s="675"/>
      <c r="L736" s="187"/>
      <c r="M736" s="348"/>
      <c r="N736" s="348"/>
      <c r="O736" s="348"/>
      <c r="P736" s="348"/>
      <c r="Q736" s="348"/>
      <c r="R736" s="432" t="s">
        <v>313</v>
      </c>
      <c r="S736" s="432" t="s">
        <v>704</v>
      </c>
    </row>
    <row r="737" spans="6:19" ht="10.5" customHeight="1">
      <c r="F737" s="371"/>
      <c r="G737" s="348"/>
      <c r="H737" s="348"/>
      <c r="I737" s="348"/>
      <c r="J737" s="674"/>
      <c r="K737" s="675"/>
      <c r="L737" s="187"/>
      <c r="M737" s="348"/>
      <c r="N737" s="348"/>
      <c r="O737" s="348"/>
      <c r="P737" s="348"/>
      <c r="Q737" s="348"/>
      <c r="R737" s="432" t="s">
        <v>116</v>
      </c>
      <c r="S737" s="432" t="s">
        <v>1378</v>
      </c>
    </row>
    <row r="738" spans="6:19" ht="10.5" customHeight="1">
      <c r="F738" s="371"/>
      <c r="G738" s="348"/>
      <c r="H738" s="348"/>
      <c r="I738" s="348"/>
      <c r="J738" s="674"/>
      <c r="K738" s="675"/>
      <c r="L738" s="187"/>
      <c r="M738" s="348"/>
      <c r="N738" s="348"/>
      <c r="O738" s="348"/>
      <c r="P738" s="348"/>
      <c r="Q738" s="348"/>
      <c r="R738" s="432" t="s">
        <v>1615</v>
      </c>
      <c r="S738" s="432" t="s">
        <v>706</v>
      </c>
    </row>
    <row r="739" spans="6:19" ht="10.5" customHeight="1">
      <c r="F739" s="371"/>
      <c r="G739" s="348"/>
      <c r="H739" s="348"/>
      <c r="I739" s="348"/>
      <c r="J739" s="674"/>
      <c r="K739" s="348"/>
      <c r="L739" s="348"/>
      <c r="M739" s="348"/>
      <c r="N739" s="348"/>
      <c r="O739" s="348"/>
      <c r="P739" s="348"/>
      <c r="Q739" s="348"/>
      <c r="R739" s="432" t="s">
        <v>1130</v>
      </c>
      <c r="S739" s="432" t="s">
        <v>164</v>
      </c>
    </row>
    <row r="740" spans="6:19" ht="10.5" customHeight="1">
      <c r="F740" s="371"/>
      <c r="G740" s="348"/>
      <c r="H740" s="348"/>
      <c r="I740" s="348"/>
      <c r="J740" s="348"/>
      <c r="K740" s="348"/>
      <c r="L740" s="348"/>
      <c r="M740" s="348"/>
      <c r="N740" s="348"/>
      <c r="O740" s="348"/>
      <c r="P740" s="348"/>
      <c r="Q740" s="348"/>
      <c r="R740" s="432" t="s">
        <v>1616</v>
      </c>
      <c r="S740" s="432" t="s">
        <v>772</v>
      </c>
    </row>
    <row r="741" spans="6:19" ht="10.5" customHeight="1">
      <c r="F741" s="371"/>
      <c r="G741" s="348"/>
      <c r="H741" s="348"/>
      <c r="I741" s="348"/>
      <c r="J741" s="348"/>
      <c r="K741" s="348"/>
      <c r="L741" s="348"/>
      <c r="M741" s="348"/>
      <c r="N741" s="348"/>
      <c r="O741" s="348"/>
      <c r="P741" s="348"/>
      <c r="Q741" s="348"/>
      <c r="R741" s="432" t="s">
        <v>1617</v>
      </c>
      <c r="S741" s="432" t="s">
        <v>1864</v>
      </c>
    </row>
    <row r="742" spans="6:19" ht="10.5" customHeight="1">
      <c r="F742" s="371"/>
      <c r="G742" s="348"/>
      <c r="H742" s="348"/>
      <c r="I742" s="348"/>
      <c r="J742" s="348"/>
      <c r="K742" s="348"/>
      <c r="L742" s="348"/>
      <c r="M742" s="348"/>
      <c r="N742" s="348"/>
      <c r="O742" s="348"/>
      <c r="P742" s="348"/>
      <c r="Q742" s="348"/>
      <c r="R742" s="432" t="s">
        <v>1618</v>
      </c>
      <c r="S742" s="432" t="s">
        <v>1146</v>
      </c>
    </row>
    <row r="743" spans="6:19" ht="10.5" customHeight="1">
      <c r="F743" s="371"/>
      <c r="G743" s="348"/>
      <c r="H743" s="348"/>
      <c r="I743" s="348"/>
      <c r="J743" s="348"/>
      <c r="K743" s="348"/>
      <c r="L743" s="348"/>
      <c r="M743" s="348"/>
      <c r="N743" s="348"/>
      <c r="O743" s="348"/>
      <c r="P743" s="348"/>
      <c r="Q743" s="348"/>
      <c r="R743" s="432" t="s">
        <v>1131</v>
      </c>
      <c r="S743" s="432" t="s">
        <v>164</v>
      </c>
    </row>
    <row r="744" spans="6:19" ht="10.5" customHeight="1">
      <c r="F744" s="371"/>
      <c r="G744" s="348"/>
      <c r="H744" s="348"/>
      <c r="I744" s="348"/>
      <c r="J744" s="348"/>
      <c r="K744" s="348"/>
      <c r="L744" s="348"/>
      <c r="M744" s="348"/>
      <c r="N744" s="348"/>
      <c r="O744" s="348"/>
      <c r="P744" s="348"/>
      <c r="Q744" s="348"/>
      <c r="R744" s="432" t="s">
        <v>1619</v>
      </c>
      <c r="S744" s="432" t="s">
        <v>1377</v>
      </c>
    </row>
    <row r="745" spans="6:19" ht="10.5" customHeight="1">
      <c r="F745" s="371"/>
      <c r="G745" s="348"/>
      <c r="H745" s="348"/>
      <c r="I745" s="348"/>
      <c r="J745" s="348"/>
      <c r="K745" s="348"/>
      <c r="L745" s="348"/>
      <c r="M745" s="348"/>
      <c r="N745" s="348"/>
      <c r="O745" s="348"/>
      <c r="P745" s="348"/>
      <c r="Q745" s="348"/>
      <c r="R745" s="432" t="s">
        <v>1620</v>
      </c>
      <c r="S745" s="432" t="s">
        <v>170</v>
      </c>
    </row>
    <row r="746" spans="6:19" ht="10.5" customHeight="1">
      <c r="F746" s="371"/>
      <c r="G746" s="348"/>
      <c r="H746" s="348"/>
      <c r="I746" s="348"/>
      <c r="J746" s="348"/>
      <c r="K746" s="348"/>
      <c r="L746" s="348"/>
      <c r="M746" s="348"/>
      <c r="N746" s="348"/>
      <c r="O746" s="348"/>
      <c r="P746" s="348"/>
      <c r="Q746" s="348"/>
      <c r="R746" s="432" t="s">
        <v>1621</v>
      </c>
      <c r="S746" s="432" t="s">
        <v>1398</v>
      </c>
    </row>
    <row r="747" spans="6:19" ht="10.5" customHeight="1">
      <c r="F747" s="371"/>
      <c r="G747" s="348"/>
      <c r="H747" s="348"/>
      <c r="I747" s="348"/>
      <c r="J747" s="348"/>
      <c r="K747" s="348"/>
      <c r="L747" s="348"/>
      <c r="M747" s="348"/>
      <c r="N747" s="348"/>
      <c r="O747" s="348"/>
      <c r="P747" s="348"/>
      <c r="Q747" s="348"/>
      <c r="R747" s="432" t="s">
        <v>1622</v>
      </c>
      <c r="S747" s="432" t="s">
        <v>1974</v>
      </c>
    </row>
    <row r="748" spans="6:19" ht="10.5" customHeight="1">
      <c r="F748" s="371"/>
      <c r="G748" s="348"/>
      <c r="H748" s="348"/>
      <c r="I748" s="348"/>
      <c r="J748" s="348"/>
      <c r="K748" s="348"/>
      <c r="L748" s="348"/>
      <c r="M748" s="348"/>
      <c r="N748" s="348"/>
      <c r="O748" s="348"/>
      <c r="P748" s="348"/>
      <c r="Q748" s="348"/>
      <c r="R748" s="432" t="s">
        <v>1623</v>
      </c>
      <c r="S748" s="432" t="s">
        <v>2281</v>
      </c>
    </row>
    <row r="749" spans="6:19" ht="10.5" customHeight="1">
      <c r="F749" s="371"/>
      <c r="G749" s="348"/>
      <c r="H749" s="348"/>
      <c r="I749" s="348"/>
      <c r="J749" s="348"/>
      <c r="K749" s="348"/>
      <c r="L749" s="348"/>
      <c r="M749" s="348"/>
      <c r="N749" s="348"/>
      <c r="O749" s="348"/>
      <c r="P749" s="348"/>
      <c r="Q749" s="348"/>
      <c r="R749" s="432" t="s">
        <v>1624</v>
      </c>
      <c r="S749" s="432" t="s">
        <v>169</v>
      </c>
    </row>
    <row r="750" spans="6:19" ht="10.5" customHeight="1">
      <c r="F750" s="371"/>
      <c r="G750" s="348"/>
      <c r="H750" s="348"/>
      <c r="I750" s="348"/>
      <c r="J750" s="348"/>
      <c r="K750" s="348"/>
      <c r="L750" s="348"/>
      <c r="M750" s="348"/>
      <c r="N750" s="348"/>
      <c r="O750" s="348"/>
      <c r="P750" s="348"/>
      <c r="Q750" s="348"/>
      <c r="R750" s="432" t="s">
        <v>2494</v>
      </c>
      <c r="S750" s="432" t="s">
        <v>706</v>
      </c>
    </row>
    <row r="751" spans="6:19" ht="10.5" customHeight="1">
      <c r="F751" s="371"/>
      <c r="G751" s="348"/>
      <c r="H751" s="348"/>
      <c r="I751" s="348"/>
      <c r="J751" s="348"/>
      <c r="K751" s="348"/>
      <c r="L751" s="348"/>
      <c r="M751" s="348"/>
      <c r="N751" s="348"/>
      <c r="O751" s="348"/>
      <c r="P751" s="348"/>
      <c r="Q751" s="348"/>
      <c r="R751" s="432" t="s">
        <v>2495</v>
      </c>
      <c r="S751" s="432" t="s">
        <v>692</v>
      </c>
    </row>
    <row r="752" spans="6:19" ht="10.5" customHeight="1">
      <c r="F752" s="371"/>
      <c r="G752" s="348"/>
      <c r="H752" s="348"/>
      <c r="I752" s="348"/>
      <c r="J752" s="348"/>
      <c r="K752" s="348"/>
      <c r="L752" s="348"/>
      <c r="M752" s="348"/>
      <c r="N752" s="348"/>
      <c r="O752" s="348"/>
      <c r="P752" s="348"/>
      <c r="Q752" s="348"/>
      <c r="R752" s="432" t="s">
        <v>2496</v>
      </c>
      <c r="S752" s="432" t="s">
        <v>341</v>
      </c>
    </row>
    <row r="753" spans="6:19" ht="10.5" customHeight="1">
      <c r="F753" s="371"/>
      <c r="G753" s="348"/>
      <c r="H753" s="348"/>
      <c r="I753" s="348"/>
      <c r="J753" s="348"/>
      <c r="K753" s="348"/>
      <c r="L753" s="348"/>
      <c r="M753" s="348"/>
      <c r="N753" s="348"/>
      <c r="O753" s="348"/>
      <c r="P753" s="348"/>
      <c r="Q753" s="348"/>
      <c r="R753" s="432" t="s">
        <v>875</v>
      </c>
      <c r="S753" s="432" t="s">
        <v>345</v>
      </c>
    </row>
    <row r="754" spans="6:19" ht="10.5" customHeight="1">
      <c r="F754" s="371"/>
      <c r="G754" s="348"/>
      <c r="H754" s="348"/>
      <c r="I754" s="348"/>
      <c r="J754" s="348"/>
      <c r="K754" s="348"/>
      <c r="L754" s="348"/>
      <c r="M754" s="348"/>
      <c r="N754" s="348"/>
      <c r="O754" s="348"/>
      <c r="P754" s="348"/>
      <c r="Q754" s="348"/>
      <c r="R754" s="432" t="s">
        <v>876</v>
      </c>
      <c r="S754" s="432" t="s">
        <v>2103</v>
      </c>
    </row>
    <row r="755" spans="6:19" ht="10.5" customHeight="1">
      <c r="F755" s="371"/>
      <c r="G755" s="348"/>
      <c r="H755" s="348"/>
      <c r="I755" s="348"/>
      <c r="J755" s="348"/>
      <c r="K755" s="348"/>
      <c r="L755" s="348"/>
      <c r="M755" s="348"/>
      <c r="N755" s="348"/>
      <c r="O755" s="348"/>
      <c r="P755" s="348"/>
      <c r="Q755" s="348"/>
      <c r="R755" s="432" t="s">
        <v>3261</v>
      </c>
      <c r="S755" s="432" t="s">
        <v>116</v>
      </c>
    </row>
    <row r="756" spans="6:19" ht="10.5" customHeight="1">
      <c r="F756" s="371"/>
      <c r="G756" s="348"/>
      <c r="H756" s="348"/>
      <c r="I756" s="348"/>
      <c r="J756" s="348"/>
      <c r="K756" s="348"/>
      <c r="L756" s="348"/>
      <c r="M756" s="348"/>
      <c r="N756" s="348"/>
      <c r="O756" s="348"/>
      <c r="P756" s="348"/>
      <c r="Q756" s="348"/>
      <c r="R756" s="432" t="s">
        <v>877</v>
      </c>
      <c r="S756" s="432" t="s">
        <v>2007</v>
      </c>
    </row>
    <row r="757" spans="6:19" ht="10.5" customHeight="1">
      <c r="F757" s="371"/>
      <c r="G757" s="348"/>
      <c r="H757" s="348"/>
      <c r="I757" s="348"/>
      <c r="J757" s="348"/>
      <c r="K757" s="348"/>
      <c r="L757" s="348"/>
      <c r="M757" s="348"/>
      <c r="N757" s="348"/>
      <c r="O757" s="348"/>
      <c r="P757" s="348"/>
      <c r="Q757" s="348"/>
      <c r="R757" s="432" t="s">
        <v>878</v>
      </c>
      <c r="S757" s="432" t="s">
        <v>1146</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cojNLWGUddaEUWLV3XErQoG6sVkj6TwmcdJPjImhfHgejrasjgzKx9/6ivqnbKp9IrRtaedrKPMgkixbGIWbSw==" saltValue="tVM4xv4RJN58TyXOqSfZww=="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 width="9.28515625" style="926" bestFit="1" customWidth="1"/>
    <col min="2" max="11" width="10.28515625" style="926" bestFit="1" customWidth="1"/>
    <col min="12" max="17" width="9.28515625" style="926" bestFit="1" customWidth="1"/>
    <col min="18" max="19" width="9.140625" style="926"/>
    <col min="20" max="20" width="9.28515625" style="926" bestFit="1" customWidth="1"/>
    <col min="21" max="21" width="9.140625" style="926"/>
    <col min="22" max="277" width="9.28515625" style="926" bestFit="1" customWidth="1"/>
    <col min="278" max="16384" width="9.140625" style="926"/>
  </cols>
  <sheetData>
    <row r="1" spans="1:16">
      <c r="A1" s="926" t="s">
        <v>1026</v>
      </c>
    </row>
    <row r="2" spans="1:16">
      <c r="A2" s="926" t="str">
        <f>'Project Narrative'!A2</f>
        <v>Arbor Trace Apartments Phase II</v>
      </c>
    </row>
    <row r="3" spans="1:16">
      <c r="A3" s="926" t="str">
        <f>'Project Narrative'!A3</f>
        <v>Lake Park, Lowndes County</v>
      </c>
    </row>
    <row r="5" spans="1:16">
      <c r="A5" s="926" t="str">
        <f>'Project Narrative'!A5</f>
        <v xml:space="preserve">Arbor Trace II Lake Park LP is proposing to acquire and rehabilitate Arbor Trace II Apartments located in an USDA designated rural section of Lowndes County near the city of Lake Park, Georgia.  Arbor Trace II Apartments is USDA, Rural Development 515 interest credit loan financed and currently owned by Arbor Trace Apartments Phase II LP.     The interest credit reduces the effective interest rate of the 515 loan to 1%.   The long-term financing for the rehabilitation of the project will be the assumption of the existing debt and the equity from the sale of the tax credits.  
The project meets all of DCA’s underwriting requirements.   A 110% basis boost is requested based on the Georgia 2015 Qualified Allocation Plan.  This project meets DCA’s eligibility requirements for the requested boost because it is a multi-family rural project without DCA HOME as a source.  Applicant is requesting that the basis boost deferred developers fee be waived because of the restrictions of the USDA 515 loan.  
Arbor Trace II consists of forty-two units built 1994.  There is also currently a managers unit but the manager's unit will be converted to community room area .The property received a 1993 allocation of LIHTCs (93-005).  The tax credit compliance period ended in 2009.  The property currently receives seven units of project based rental assistance from USDA, Rural Development.
Arbor Trace II Apartments is adjacent to residential development and surrounded by established development.  The property is located within two miles of many desirable activities.  The Lowndes County Commission is in unanimous support of the renovations.
Arbor Trace II Apartments are in a state of decline due to age and in need of a major renovation.  The rehabilitation will bring the property into compliance with current ADA codes and guidelines.  The interiors and exteriors of all the units will be completely rehabilitated. Energy efficiency codes and guidelines will be exceeded.  Increased energy efficiency will greatly benefit the residents and the environment.
The rehabilitation of Arbor Trace II Apartments will provide the tenants currently living in the community with improved living conditions and expanded amenities including a playground and covered picnic/barbecue area. Proposed supportive services will target the family tenant base and provide a greater sense of community for the residents.  
The improvement of the external appearance of the property will benefit the neighborhood and entire community. The construction will provide jobs to residents of the community as well.  The current residents are excited about the potential rehabilitation and are supportive of the acquisition/rehab proposal.  The environment of our residents will be greatly enhanced by the proposed renovation.
</v>
      </c>
    </row>
    <row r="7" spans="1:16">
      <c r="A7" s="2711" t="str">
        <f>CONCATENATE("PART ONE - PROJECT INFORMATION"," - ",$O$4," ",$F$24,", ",'Part I-Project Information'!F34,", ",'Part I-Project Information'!J35," County")</f>
        <v>PART ONE - PROJECT INFORMATION -  GA, ,  County</v>
      </c>
      <c r="B7" s="2711"/>
      <c r="C7" s="2711"/>
      <c r="D7" s="2711"/>
      <c r="E7" s="2711"/>
      <c r="F7" s="2711"/>
      <c r="G7" s="2711"/>
      <c r="H7" s="2711"/>
      <c r="I7" s="2711"/>
      <c r="J7" s="2711"/>
      <c r="K7" s="2711"/>
      <c r="L7" s="2711"/>
      <c r="M7" s="2711"/>
      <c r="N7" s="2711"/>
      <c r="O7" s="2711"/>
      <c r="P7" s="2711"/>
    </row>
    <row r="8" spans="1:16">
      <c r="A8" s="2712"/>
      <c r="B8" s="2712"/>
      <c r="C8" s="2712"/>
      <c r="D8" s="2712"/>
      <c r="E8" s="2712"/>
      <c r="F8" s="2712"/>
      <c r="G8" s="2712"/>
      <c r="H8" s="2712"/>
      <c r="I8" s="2712"/>
      <c r="J8" s="2712"/>
      <c r="K8" s="2712"/>
      <c r="L8" s="2712"/>
      <c r="M8" s="2712"/>
      <c r="N8" s="2712"/>
      <c r="O8" s="2712"/>
      <c r="P8" s="2712"/>
    </row>
    <row r="9" spans="1:16" ht="13.5">
      <c r="A9" s="2713"/>
      <c r="B9" s="2714" t="s">
        <v>2475</v>
      </c>
      <c r="C9" s="2713"/>
      <c r="D9" s="2713"/>
      <c r="E9" s="2713"/>
      <c r="F9" s="2712"/>
      <c r="G9" s="2715" t="s">
        <v>4569</v>
      </c>
      <c r="H9" s="2713"/>
      <c r="I9" s="2713"/>
      <c r="J9" s="2713"/>
      <c r="K9" s="2713"/>
      <c r="L9" s="2712"/>
      <c r="M9" s="2713"/>
      <c r="N9" s="2713"/>
      <c r="O9" s="2711" t="s">
        <v>2826</v>
      </c>
      <c r="P9" s="2711"/>
    </row>
    <row r="10" spans="1:16" ht="13.5">
      <c r="A10" s="2712"/>
      <c r="B10" s="2716"/>
      <c r="C10" s="2713"/>
      <c r="D10" s="2713"/>
      <c r="E10" s="2713"/>
      <c r="F10" s="2712"/>
      <c r="G10" s="2715" t="s">
        <v>4570</v>
      </c>
      <c r="H10" s="2717"/>
      <c r="I10" s="2717"/>
      <c r="J10" s="2717"/>
      <c r="K10" s="2713"/>
      <c r="L10" s="2713"/>
      <c r="M10" s="2713"/>
      <c r="N10" s="2713"/>
      <c r="O10" s="2711" t="str">
        <f>'Part I-Project Information'!O4</f>
        <v>2015-026</v>
      </c>
      <c r="P10" s="2711"/>
    </row>
    <row r="11" spans="1:16">
      <c r="A11" s="2712"/>
      <c r="B11" s="2716"/>
      <c r="C11" s="2716"/>
      <c r="D11" s="2718"/>
      <c r="E11" s="2713"/>
      <c r="F11" s="2716"/>
      <c r="G11" s="2718" t="s">
        <v>3770</v>
      </c>
      <c r="H11" s="2717"/>
      <c r="I11" s="2717"/>
      <c r="J11" s="2717"/>
      <c r="K11" s="2713"/>
      <c r="L11" s="2713"/>
      <c r="M11" s="2713"/>
      <c r="N11" s="2713"/>
      <c r="O11" s="2713"/>
      <c r="P11" s="2713"/>
    </row>
    <row r="12" spans="1:16">
      <c r="A12" s="2712"/>
      <c r="B12" s="2716"/>
      <c r="C12" s="2716"/>
      <c r="D12" s="2716"/>
      <c r="E12" s="2717"/>
      <c r="F12" s="2713"/>
      <c r="G12" s="2713"/>
      <c r="H12" s="2717"/>
      <c r="I12" s="2717"/>
      <c r="J12" s="2717"/>
      <c r="K12" s="2714"/>
      <c r="L12" s="2713"/>
      <c r="M12" s="2717"/>
      <c r="N12" s="2713"/>
      <c r="O12" s="2713"/>
      <c r="P12" s="2713"/>
    </row>
    <row r="13" spans="1:16">
      <c r="A13" s="2716" t="s">
        <v>646</v>
      </c>
      <c r="B13" s="2716" t="s">
        <v>2488</v>
      </c>
      <c r="C13" s="2713"/>
      <c r="D13" s="2719"/>
      <c r="E13" s="2720"/>
      <c r="F13" s="2721" t="s">
        <v>1801</v>
      </c>
      <c r="G13" s="2713"/>
      <c r="H13" s="2713"/>
      <c r="I13" s="2713"/>
      <c r="J13" s="2722">
        <f>'Part I-Project Information'!J7</f>
        <v>359705.74626865669</v>
      </c>
      <c r="K13" s="2722"/>
      <c r="L13" s="2713"/>
      <c r="M13" s="2717"/>
      <c r="N13" s="2713"/>
      <c r="O13" s="2713"/>
      <c r="P13" s="2713"/>
    </row>
    <row r="14" spans="1:16">
      <c r="A14" s="524"/>
      <c r="B14" s="524"/>
      <c r="C14" s="521"/>
      <c r="E14" s="2723"/>
      <c r="F14" s="2713" t="s">
        <v>1347</v>
      </c>
      <c r="G14" s="521"/>
      <c r="H14" s="521"/>
      <c r="I14" s="521"/>
      <c r="J14" s="2722">
        <f>'Part I-Project Information'!J8</f>
        <v>0</v>
      </c>
      <c r="K14" s="2722"/>
      <c r="L14" s="2713"/>
      <c r="M14" s="2717"/>
      <c r="N14" s="2713"/>
      <c r="O14" s="2713"/>
      <c r="P14" s="2713"/>
    </row>
    <row r="15" spans="1:16">
      <c r="A15" s="2716"/>
      <c r="B15" s="2716"/>
      <c r="C15" s="2713"/>
      <c r="D15" s="2719"/>
      <c r="E15" s="2720"/>
      <c r="F15" s="2720"/>
      <c r="G15" s="2713"/>
      <c r="H15" s="2713"/>
      <c r="I15" s="2714"/>
      <c r="J15" s="2713"/>
      <c r="K15" s="2713"/>
      <c r="L15" s="2713"/>
      <c r="M15" s="2713"/>
      <c r="N15" s="2724"/>
      <c r="O15" s="2713"/>
      <c r="P15" s="2713"/>
    </row>
    <row r="16" spans="1:16" ht="13.5">
      <c r="A16" s="2714" t="s">
        <v>779</v>
      </c>
      <c r="B16" s="2716" t="s">
        <v>2140</v>
      </c>
      <c r="C16" s="2713"/>
      <c r="D16" s="2713"/>
      <c r="E16" s="2713"/>
      <c r="F16" s="2725" t="str">
        <f>'Part I-Project Information'!F10</f>
        <v>Competitive Round</v>
      </c>
      <c r="G16" s="2725"/>
      <c r="H16" s="2725"/>
      <c r="I16" s="2726"/>
      <c r="J16" s="2716" t="s">
        <v>4571</v>
      </c>
      <c r="K16" s="2716"/>
      <c r="L16" s="2717"/>
      <c r="M16" s="2713"/>
      <c r="N16" s="2713"/>
      <c r="O16" s="2727" t="str">
        <f>'Part I-Project Information'!O10</f>
        <v>N/A</v>
      </c>
      <c r="P16" s="2727"/>
    </row>
    <row r="17" spans="1:16">
      <c r="A17" s="2712"/>
      <c r="B17" s="2713"/>
      <c r="C17" s="2713"/>
      <c r="D17" s="2713"/>
      <c r="E17" s="2713"/>
      <c r="F17" s="2713"/>
      <c r="G17" s="2713"/>
      <c r="H17" s="2717"/>
      <c r="I17" s="2713"/>
      <c r="J17" s="2721" t="s">
        <v>2916</v>
      </c>
      <c r="K17" s="2714"/>
      <c r="L17" s="2713"/>
      <c r="M17" s="2717"/>
      <c r="N17" s="2713"/>
      <c r="O17" s="2727" t="str">
        <f>'Part I-Project Information'!O11</f>
        <v>N/A - no pre-app</v>
      </c>
      <c r="P17" s="2727"/>
    </row>
    <row r="18" spans="1:16">
      <c r="A18" s="2713"/>
      <c r="B18" s="2713"/>
      <c r="C18" s="2713"/>
      <c r="D18" s="2713"/>
      <c r="E18" s="2713"/>
      <c r="F18" s="2713"/>
      <c r="G18" s="2713"/>
      <c r="H18" s="2713"/>
      <c r="I18" s="2719"/>
      <c r="J18" s="2719"/>
      <c r="K18" s="2719"/>
      <c r="L18" s="2719"/>
      <c r="M18" s="2719"/>
      <c r="N18" s="2719"/>
      <c r="O18" s="2719"/>
      <c r="P18" s="2719"/>
    </row>
    <row r="19" spans="1:16">
      <c r="A19" s="2714" t="s">
        <v>781</v>
      </c>
      <c r="B19" s="2716" t="s">
        <v>1547</v>
      </c>
      <c r="C19" s="2713"/>
      <c r="D19" s="2721"/>
      <c r="E19" s="2720"/>
      <c r="F19" s="2713"/>
      <c r="G19" s="2720"/>
      <c r="H19" s="2720"/>
      <c r="I19" s="2720"/>
      <c r="J19" s="2713"/>
      <c r="K19" s="2724"/>
      <c r="L19" s="2724"/>
      <c r="M19" s="2713"/>
      <c r="N19" s="2713"/>
      <c r="O19" s="2713"/>
      <c r="P19" s="2713"/>
    </row>
    <row r="20" spans="1:16">
      <c r="A20" s="2714"/>
      <c r="B20" s="2720"/>
      <c r="C20" s="2716"/>
      <c r="D20" s="2721"/>
      <c r="E20" s="2720"/>
      <c r="F20" s="2713"/>
      <c r="G20" s="2720"/>
      <c r="H20" s="2720"/>
      <c r="I20" s="2720"/>
      <c r="J20" s="2713"/>
      <c r="K20" s="2724"/>
      <c r="L20" s="2724"/>
      <c r="M20" s="2713"/>
      <c r="N20" s="2713"/>
      <c r="O20" s="2712"/>
      <c r="P20" s="2713"/>
    </row>
    <row r="21" spans="1:16">
      <c r="A21" s="2713"/>
      <c r="B21" s="2713" t="s">
        <v>2409</v>
      </c>
      <c r="C21" s="2713"/>
      <c r="D21" s="2713"/>
      <c r="E21" s="2713"/>
      <c r="F21" s="2728" t="str">
        <f>'Part I-Project Information'!F15</f>
        <v>Melanie Ferrell</v>
      </c>
      <c r="G21" s="2728"/>
      <c r="H21" s="2728"/>
      <c r="I21" s="2728"/>
      <c r="J21" s="2728"/>
      <c r="K21" s="2728"/>
      <c r="L21" s="2728"/>
      <c r="M21" s="2721" t="s">
        <v>2077</v>
      </c>
      <c r="N21" s="2728" t="str">
        <f>'Part I-Project Information'!N15</f>
        <v>Member</v>
      </c>
      <c r="O21" s="2728"/>
      <c r="P21" s="2728"/>
    </row>
    <row r="22" spans="1:16">
      <c r="A22" s="2713"/>
      <c r="B22" s="2721" t="s">
        <v>2078</v>
      </c>
      <c r="C22" s="2713"/>
      <c r="D22" s="2713"/>
      <c r="E22" s="2713"/>
      <c r="F22" s="2728" t="str">
        <f>'Part I-Project Information'!F16</f>
        <v>3548 North Crossing Circle</v>
      </c>
      <c r="G22" s="2728"/>
      <c r="H22" s="2728"/>
      <c r="I22" s="2728"/>
      <c r="J22" s="2728"/>
      <c r="K22" s="2728"/>
      <c r="L22" s="2728"/>
      <c r="M22" s="2721" t="s">
        <v>1807</v>
      </c>
      <c r="N22" s="2713"/>
      <c r="O22" s="2729">
        <f>'Part I-Project Information'!O16</f>
        <v>0</v>
      </c>
      <c r="P22" s="2729"/>
    </row>
    <row r="23" spans="1:16">
      <c r="A23" s="2713"/>
      <c r="B23" s="2721" t="s">
        <v>648</v>
      </c>
      <c r="C23" s="2713"/>
      <c r="D23" s="2713"/>
      <c r="E23" s="2713"/>
      <c r="F23" s="2728" t="str">
        <f>'Part I-Project Information'!F17</f>
        <v>Valdosta</v>
      </c>
      <c r="G23" s="2728"/>
      <c r="H23" s="2728"/>
      <c r="I23" s="2713"/>
      <c r="J23" s="2713"/>
      <c r="K23" s="2713"/>
      <c r="L23" s="2713"/>
      <c r="M23" s="2721" t="s">
        <v>1889</v>
      </c>
      <c r="N23" s="2713"/>
      <c r="O23" s="2729">
        <f>'Part I-Project Information'!O17</f>
        <v>2292451173</v>
      </c>
      <c r="P23" s="2729"/>
    </row>
    <row r="24" spans="1:16">
      <c r="A24" s="2713"/>
      <c r="B24" s="2721" t="s">
        <v>1886</v>
      </c>
      <c r="C24" s="2713"/>
      <c r="D24" s="2713"/>
      <c r="E24" s="2713"/>
      <c r="F24" s="2730" t="str">
        <f>'Part I-Project Information'!F18</f>
        <v>GA</v>
      </c>
      <c r="G24" s="2713"/>
      <c r="H24" s="2713"/>
      <c r="I24" s="2717" t="s">
        <v>2335</v>
      </c>
      <c r="J24" s="2731">
        <f>'Part I-Project Information'!J18</f>
        <v>316026408</v>
      </c>
      <c r="K24" s="2731"/>
      <c r="L24" s="2713"/>
      <c r="M24" s="2721" t="s">
        <v>2076</v>
      </c>
      <c r="N24" s="2713"/>
      <c r="O24" s="2729">
        <f>'Part I-Project Information'!O18</f>
        <v>2295610898</v>
      </c>
      <c r="P24" s="2729"/>
    </row>
    <row r="25" spans="1:16">
      <c r="A25" s="2713"/>
      <c r="B25" s="2721" t="s">
        <v>1806</v>
      </c>
      <c r="C25" s="2713"/>
      <c r="D25" s="2713"/>
      <c r="E25" s="2713"/>
      <c r="F25" s="2729">
        <f>'Part I-Project Information'!F19</f>
        <v>2292479956</v>
      </c>
      <c r="G25" s="2729"/>
      <c r="H25" s="2729"/>
      <c r="I25" s="2717" t="s">
        <v>1805</v>
      </c>
      <c r="J25" s="2717">
        <f>'Part I-Project Information'!J19</f>
        <v>214</v>
      </c>
      <c r="K25" s="2717" t="s">
        <v>2081</v>
      </c>
      <c r="L25" s="2728" t="str">
        <f>'Part I-Project Information'!L19</f>
        <v>mferrell@invmgt.com</v>
      </c>
      <c r="M25" s="2728"/>
      <c r="N25" s="2728"/>
      <c r="O25" s="2728"/>
      <c r="P25" s="2728"/>
    </row>
    <row r="26" spans="1:16" ht="13.5">
      <c r="A26" s="2716"/>
      <c r="B26" s="2715" t="s">
        <v>688</v>
      </c>
      <c r="C26" s="2713"/>
      <c r="D26" s="2720"/>
      <c r="E26" s="2713"/>
      <c r="F26" s="2713"/>
      <c r="G26" s="2720"/>
      <c r="H26" s="2720"/>
      <c r="I26" s="2720"/>
      <c r="J26" s="2713"/>
      <c r="K26" s="2713"/>
      <c r="L26" s="2713"/>
      <c r="M26" s="2713"/>
      <c r="N26" s="2713"/>
      <c r="O26" s="2713"/>
      <c r="P26" s="2713"/>
    </row>
    <row r="27" spans="1:16">
      <c r="A27" s="2712"/>
      <c r="B27" s="2712"/>
      <c r="C27" s="2719"/>
      <c r="D27" s="2713"/>
      <c r="E27" s="2713"/>
      <c r="F27" s="2713"/>
      <c r="G27" s="2713"/>
      <c r="H27" s="2717"/>
      <c r="I27" s="2713"/>
      <c r="J27" s="2719"/>
      <c r="K27" s="2713"/>
      <c r="L27" s="2713"/>
      <c r="M27" s="2713"/>
      <c r="N27" s="2713"/>
      <c r="O27" s="2713"/>
      <c r="P27" s="2732"/>
    </row>
    <row r="28" spans="1:16">
      <c r="A28" s="2714" t="s">
        <v>1879</v>
      </c>
      <c r="B28" s="2716" t="s">
        <v>1548</v>
      </c>
      <c r="C28" s="2713"/>
      <c r="D28" s="2719"/>
      <c r="E28" s="2720"/>
      <c r="F28" s="2720"/>
      <c r="G28" s="2721"/>
      <c r="H28" s="2720"/>
      <c r="I28" s="2720"/>
      <c r="J28" s="2720"/>
      <c r="K28" s="2713"/>
      <c r="L28" s="2724"/>
      <c r="M28" s="2724"/>
      <c r="N28" s="2713"/>
      <c r="O28" s="2713"/>
      <c r="P28" s="2713"/>
    </row>
    <row r="29" spans="1:16">
      <c r="A29" s="2714"/>
      <c r="B29" s="2716"/>
      <c r="C29" s="2713"/>
      <c r="D29" s="2719"/>
      <c r="E29" s="2720"/>
      <c r="F29" s="2720"/>
      <c r="G29" s="2721"/>
      <c r="H29" s="2720"/>
      <c r="I29" s="2720"/>
      <c r="J29" s="2720"/>
      <c r="K29" s="2713"/>
      <c r="L29" s="2724"/>
      <c r="M29" s="2713"/>
      <c r="N29" s="2713"/>
      <c r="O29" s="2713"/>
      <c r="P29" s="2713"/>
    </row>
    <row r="30" spans="1:16">
      <c r="A30" s="2716"/>
      <c r="B30" s="2713" t="s">
        <v>647</v>
      </c>
      <c r="C30" s="2713"/>
      <c r="D30" s="2716"/>
      <c r="E30" s="2713"/>
      <c r="F30" s="2733" t="str">
        <f>'Part I-Project Information'!F24</f>
        <v>Arbor Trace Apartments Phase II</v>
      </c>
      <c r="G30" s="2733"/>
      <c r="H30" s="2733"/>
      <c r="I30" s="2733"/>
      <c r="J30" s="2733"/>
      <c r="K30" s="2733"/>
      <c r="L30" s="2733"/>
      <c r="M30" s="2721" t="s">
        <v>2294</v>
      </c>
      <c r="N30" s="2713"/>
      <c r="O30" s="2728" t="str">
        <f>'Part I-Project Information'!O24</f>
        <v>No</v>
      </c>
      <c r="P30" s="2728"/>
    </row>
    <row r="31" spans="1:16">
      <c r="A31" s="2734"/>
      <c r="B31" s="2713" t="s">
        <v>2860</v>
      </c>
      <c r="C31" s="2713"/>
      <c r="D31" s="2724"/>
      <c r="E31" s="2713"/>
      <c r="F31" s="2733" t="str">
        <f>'Part I-Project Information'!F25</f>
        <v>4700 Rolling Pine Drive</v>
      </c>
      <c r="G31" s="2733"/>
      <c r="H31" s="2733"/>
      <c r="I31" s="2733"/>
      <c r="J31" s="2733"/>
      <c r="K31" s="2733"/>
      <c r="L31" s="2733"/>
      <c r="M31" s="2721" t="s">
        <v>2150</v>
      </c>
      <c r="N31" s="2713"/>
      <c r="O31" s="2728" t="str">
        <f>'Part I-Project Information'!O25</f>
        <v>No</v>
      </c>
      <c r="P31" s="2728"/>
    </row>
    <row r="32" spans="1:16">
      <c r="A32" s="2734"/>
      <c r="B32" s="2713" t="s">
        <v>4572</v>
      </c>
      <c r="C32" s="2713"/>
      <c r="D32" s="2724"/>
      <c r="E32" s="2713"/>
      <c r="F32" s="2733">
        <f>'Part I-Project Information'!F26</f>
        <v>0</v>
      </c>
      <c r="G32" s="2733"/>
      <c r="H32" s="2733"/>
      <c r="I32" s="2733"/>
      <c r="J32" s="2733"/>
      <c r="K32" s="2733"/>
      <c r="L32" s="2733"/>
      <c r="M32" s="2721" t="s">
        <v>2920</v>
      </c>
      <c r="N32" s="2713"/>
      <c r="O32" s="2728">
        <f>'Part I-Project Information'!O26</f>
        <v>0</v>
      </c>
      <c r="P32" s="2728"/>
    </row>
    <row r="33" spans="1:16">
      <c r="A33" s="2734"/>
      <c r="B33" s="2713" t="s">
        <v>3086</v>
      </c>
      <c r="C33" s="2713"/>
      <c r="D33" s="2724"/>
      <c r="E33" s="2713"/>
      <c r="F33" s="2733" t="str">
        <f>'Part I-Project Information'!F27</f>
        <v>30° 40' 55.20'' N,83° 13' 49.80'' W</v>
      </c>
      <c r="G33" s="2733"/>
      <c r="H33" s="2733"/>
      <c r="I33" s="2733"/>
      <c r="J33" s="2733"/>
      <c r="K33" s="2733"/>
      <c r="L33" s="2733"/>
      <c r="M33" s="2721" t="s">
        <v>2391</v>
      </c>
      <c r="N33" s="2713"/>
      <c r="O33" s="2735">
        <f>'Part I-Project Information'!O27</f>
        <v>4</v>
      </c>
      <c r="P33" s="2735"/>
    </row>
    <row r="34" spans="1:16" ht="16.5">
      <c r="A34" s="2712"/>
      <c r="B34" s="2713" t="s">
        <v>648</v>
      </c>
      <c r="C34" s="2713"/>
      <c r="D34" s="2713"/>
      <c r="E34" s="2713"/>
      <c r="F34" s="2728" t="str">
        <f>'Part I-Project Information'!F28</f>
        <v>Lake Park</v>
      </c>
      <c r="G34" s="2728"/>
      <c r="H34" s="2728"/>
      <c r="I34" s="2726" t="s">
        <v>4573</v>
      </c>
      <c r="J34" s="2731">
        <f>'Part I-Project Information'!J28</f>
        <v>316364952</v>
      </c>
      <c r="K34" s="2731"/>
      <c r="L34" s="2716" t="str">
        <f>IF(AND(NOT(F30=""),NOT(F34="Select from list"),J34=""),"Enter Zip!","")</f>
        <v/>
      </c>
      <c r="M34" s="2736" t="s">
        <v>3327</v>
      </c>
      <c r="N34" s="2713"/>
      <c r="O34" s="2737" t="str">
        <f>'Part I-Project Information'!O28</f>
        <v>0114.03</v>
      </c>
      <c r="P34" s="2738"/>
    </row>
    <row r="35" spans="1:16">
      <c r="A35" s="2712"/>
      <c r="B35" s="2713" t="s">
        <v>3065</v>
      </c>
      <c r="C35" s="2713"/>
      <c r="D35" s="2713"/>
      <c r="E35" s="2713"/>
      <c r="F35" s="2728" t="str">
        <f>'Part I-Project Information'!F29</f>
        <v>In Unincorporated County</v>
      </c>
      <c r="G35" s="2728"/>
      <c r="H35" s="2728"/>
      <c r="I35" s="2739" t="s">
        <v>649</v>
      </c>
      <c r="J35" s="2733" t="str">
        <f>'Part I-Project Information'!J29</f>
        <v>Lowndes</v>
      </c>
      <c r="K35" s="2733"/>
      <c r="L35" s="2713"/>
      <c r="M35" s="2721" t="s">
        <v>470</v>
      </c>
      <c r="N35" s="2740" t="str">
        <f>'Part I-Project Information'!N29</f>
        <v>No</v>
      </c>
      <c r="O35" s="2724" t="s">
        <v>471</v>
      </c>
      <c r="P35" s="2740" t="str">
        <f>'Part I-Project Information'!P29</f>
        <v>No</v>
      </c>
    </row>
    <row r="36" spans="1:16">
      <c r="A36" s="2712"/>
      <c r="B36" s="2716"/>
      <c r="C36" s="2713" t="s">
        <v>1634</v>
      </c>
      <c r="D36" s="2713"/>
      <c r="E36" s="2713"/>
      <c r="F36" s="2721" t="str">
        <f>'Part I-Project Information'!F30</f>
        <v>Yes</v>
      </c>
      <c r="G36" s="2727" t="s">
        <v>3087</v>
      </c>
      <c r="H36" s="2727"/>
      <c r="I36" s="2717" t="str">
        <f>'Part I-Project Information'!I30</f>
        <v>No</v>
      </c>
      <c r="J36" s="2717" t="s">
        <v>3108</v>
      </c>
      <c r="K36" s="2717" t="str">
        <f>IF(OR(F36="Yes",I36="Yes"),"Rural","Urban")</f>
        <v>Rural</v>
      </c>
      <c r="L36" s="2713"/>
      <c r="M36" s="2721" t="s">
        <v>2738</v>
      </c>
      <c r="N36" s="2712" t="str">
        <f>'Part I-Project Information'!N30</f>
        <v>MSA</v>
      </c>
      <c r="O36" s="2728" t="str">
        <f>'Part I-Project Information'!O30</f>
        <v>Valdosta</v>
      </c>
      <c r="P36" s="2728"/>
    </row>
    <row r="37" spans="1:16">
      <c r="A37" s="2712"/>
      <c r="B37" s="2716"/>
      <c r="C37" s="2716"/>
      <c r="D37" s="2713"/>
      <c r="E37" s="2713"/>
      <c r="F37" s="2713"/>
      <c r="G37" s="2713"/>
      <c r="H37" s="2713"/>
      <c r="I37" s="2721"/>
      <c r="J37" s="2713"/>
      <c r="K37" s="2713"/>
      <c r="L37" s="2741"/>
      <c r="M37" s="2741"/>
      <c r="N37" s="2741"/>
      <c r="O37" s="2741"/>
      <c r="P37" s="2741"/>
    </row>
    <row r="38" spans="1:16" ht="13.5">
      <c r="A38" s="2712"/>
      <c r="B38" s="2713"/>
      <c r="C38" s="2713" t="s">
        <v>4574</v>
      </c>
      <c r="D38" s="2713"/>
      <c r="E38" s="2713"/>
      <c r="F38" s="2742" t="s">
        <v>3032</v>
      </c>
      <c r="G38" s="2742"/>
      <c r="H38" s="2727" t="s">
        <v>775</v>
      </c>
      <c r="I38" s="2727"/>
      <c r="J38" s="2727" t="s">
        <v>776</v>
      </c>
      <c r="K38" s="2727"/>
      <c r="L38" s="2743" t="s">
        <v>4370</v>
      </c>
      <c r="M38" s="2713"/>
      <c r="N38" s="2713"/>
      <c r="O38" s="2713"/>
      <c r="P38" s="2713"/>
    </row>
    <row r="39" spans="1:16">
      <c r="A39" s="2712"/>
      <c r="B39" s="2713" t="s">
        <v>4575</v>
      </c>
      <c r="C39" s="2713"/>
      <c r="D39" s="2716"/>
      <c r="E39" s="2713"/>
      <c r="F39" s="2744">
        <f>'Part I-Project Information'!F33</f>
        <v>8</v>
      </c>
      <c r="G39" s="2744"/>
      <c r="H39" s="2744">
        <f>'Part I-Project Information'!H33</f>
        <v>8</v>
      </c>
      <c r="I39" s="2744"/>
      <c r="J39" s="2744">
        <f>'Part I-Project Information'!J33</f>
        <v>174</v>
      </c>
      <c r="K39" s="2744"/>
      <c r="L39" s="2718" t="s">
        <v>1343</v>
      </c>
      <c r="M39" s="2713"/>
      <c r="N39" s="2745" t="s">
        <v>1344</v>
      </c>
      <c r="O39" s="2745"/>
      <c r="P39" s="2745"/>
    </row>
    <row r="40" spans="1:16">
      <c r="A40" s="2712"/>
      <c r="B40" s="2721" t="s">
        <v>777</v>
      </c>
      <c r="C40" s="2713"/>
      <c r="D40" s="2713"/>
      <c r="E40" s="2713"/>
      <c r="F40" s="2744">
        <f>'Part I-Project Information'!F34</f>
        <v>0</v>
      </c>
      <c r="G40" s="2744"/>
      <c r="H40" s="2744">
        <f>'Part I-Project Information'!H34</f>
        <v>0</v>
      </c>
      <c r="I40" s="2744"/>
      <c r="J40" s="2744">
        <f>'Part I-Project Information'!J34</f>
        <v>0</v>
      </c>
      <c r="K40" s="2744"/>
      <c r="L40" s="2718" t="s">
        <v>3030</v>
      </c>
      <c r="M40" s="2713"/>
      <c r="N40" s="2745" t="s">
        <v>3029</v>
      </c>
      <c r="O40" s="2745"/>
      <c r="P40" s="2713"/>
    </row>
    <row r="41" spans="1:16">
      <c r="A41" s="2712"/>
      <c r="B41" s="2713"/>
      <c r="C41" s="2713"/>
      <c r="D41" s="2713"/>
      <c r="E41" s="2713"/>
      <c r="F41" s="2713"/>
      <c r="G41" s="2713"/>
      <c r="H41" s="2713"/>
      <c r="I41" s="2741"/>
      <c r="J41" s="2741"/>
      <c r="K41" s="2741"/>
      <c r="L41" s="2713"/>
      <c r="M41" s="2713"/>
      <c r="N41" s="2713"/>
      <c r="O41" s="2713"/>
      <c r="P41" s="2713"/>
    </row>
    <row r="42" spans="1:16">
      <c r="A42" s="2712"/>
      <c r="B42" s="2716" t="s">
        <v>667</v>
      </c>
      <c r="C42" s="2713"/>
      <c r="D42" s="2713"/>
      <c r="E42" s="2713"/>
      <c r="F42" s="2746" t="str">
        <f>'Part I-Project Information'!F36</f>
        <v>Lowndes County</v>
      </c>
      <c r="G42" s="2746"/>
      <c r="H42" s="2746"/>
      <c r="I42" s="2746"/>
      <c r="J42" s="2746"/>
      <c r="K42" s="2746"/>
      <c r="L42" s="2713"/>
      <c r="M42" s="2747" t="s">
        <v>2873</v>
      </c>
      <c r="N42" s="2728" t="str">
        <f>'Part I-Project Information'!N36</f>
        <v>http://www.lowndescounty.com/</v>
      </c>
      <c r="O42" s="2728"/>
      <c r="P42" s="2728"/>
    </row>
    <row r="43" spans="1:16">
      <c r="A43" s="2712"/>
      <c r="B43" s="2713" t="s">
        <v>668</v>
      </c>
      <c r="C43" s="2713"/>
      <c r="D43" s="2713"/>
      <c r="E43" s="2713"/>
      <c r="F43" s="2746" t="str">
        <f>'Part I-Project Information'!F37</f>
        <v>Bill Slaughter</v>
      </c>
      <c r="G43" s="2746"/>
      <c r="H43" s="2746"/>
      <c r="I43" s="2717" t="s">
        <v>2077</v>
      </c>
      <c r="J43" s="2728" t="str">
        <f>'Part I-Project Information'!J37</f>
        <v>Chairman, Board of Commissioners</v>
      </c>
      <c r="K43" s="2728"/>
      <c r="L43" s="2728"/>
      <c r="M43" s="2721" t="s">
        <v>1887</v>
      </c>
      <c r="N43" s="2728" t="str">
        <f>'Part I-Project Information'!N37</f>
        <v>bslaughter@lowndescounty.com</v>
      </c>
      <c r="O43" s="2728"/>
      <c r="P43" s="2728"/>
    </row>
    <row r="44" spans="1:16">
      <c r="A44" s="2712"/>
      <c r="B44" s="2713" t="s">
        <v>2078</v>
      </c>
      <c r="C44" s="2713"/>
      <c r="D44" s="2713"/>
      <c r="E44" s="2713"/>
      <c r="F44" s="2746" t="str">
        <f>'Part I-Project Information'!F38</f>
        <v>PO Box 1349</v>
      </c>
      <c r="G44" s="2746"/>
      <c r="H44" s="2746"/>
      <c r="I44" s="2746"/>
      <c r="J44" s="2746"/>
      <c r="K44" s="2746"/>
      <c r="L44" s="2713"/>
      <c r="M44" s="2721" t="s">
        <v>648</v>
      </c>
      <c r="N44" s="2728" t="str">
        <f>'Part I-Project Information'!N38</f>
        <v>Valdosta</v>
      </c>
      <c r="O44" s="2728"/>
      <c r="P44" s="2728"/>
    </row>
    <row r="45" spans="1:16">
      <c r="A45" s="2712"/>
      <c r="B45" s="2721" t="s">
        <v>2335</v>
      </c>
      <c r="C45" s="2713"/>
      <c r="D45" s="2713"/>
      <c r="E45" s="2713"/>
      <c r="F45" s="2748">
        <f>'Part I-Project Information'!F39</f>
        <v>316031349</v>
      </c>
      <c r="G45" s="2748"/>
      <c r="H45" s="2717" t="s">
        <v>2079</v>
      </c>
      <c r="I45" s="2749">
        <f>'Part I-Project Information'!I39</f>
        <v>2296712442</v>
      </c>
      <c r="J45" s="2749"/>
      <c r="K45" s="2749"/>
      <c r="L45" s="2713"/>
      <c r="M45" s="2721" t="s">
        <v>1889</v>
      </c>
      <c r="N45" s="2729">
        <f>'Part I-Project Information'!N39</f>
        <v>2292455222</v>
      </c>
      <c r="O45" s="2729"/>
      <c r="P45" s="2713"/>
    </row>
    <row r="46" spans="1:16">
      <c r="A46" s="2712"/>
      <c r="B46" s="2712"/>
      <c r="C46" s="2750"/>
      <c r="D46" s="2726"/>
      <c r="E46" s="2726"/>
      <c r="F46" s="2717"/>
      <c r="G46" s="2717"/>
      <c r="H46" s="2717"/>
      <c r="I46" s="2717"/>
      <c r="J46" s="2726"/>
      <c r="K46" s="2717"/>
      <c r="L46" s="2717"/>
      <c r="M46" s="2713"/>
      <c r="N46" s="2713"/>
      <c r="O46" s="2713"/>
      <c r="P46" s="2732"/>
    </row>
    <row r="47" spans="1:16">
      <c r="A47" s="2714" t="s">
        <v>1881</v>
      </c>
      <c r="B47" s="2716" t="s">
        <v>1549</v>
      </c>
      <c r="C47" s="2713"/>
      <c r="D47" s="2713"/>
      <c r="E47" s="2713"/>
      <c r="F47" s="2751"/>
      <c r="G47" s="2713"/>
      <c r="H47" s="2713"/>
      <c r="I47" s="2721"/>
      <c r="J47" s="2713"/>
      <c r="K47" s="2713"/>
      <c r="L47" s="2713"/>
      <c r="M47" s="2713"/>
      <c r="N47" s="2713"/>
      <c r="O47" s="2713"/>
      <c r="P47" s="2713"/>
    </row>
    <row r="48" spans="1:16">
      <c r="A48" s="2712"/>
      <c r="B48" s="2716"/>
      <c r="C48" s="2716"/>
      <c r="D48" s="2713"/>
      <c r="E48" s="2713"/>
      <c r="F48" s="2713"/>
      <c r="G48" s="2713"/>
      <c r="H48" s="2713"/>
      <c r="I48" s="2721"/>
      <c r="J48" s="2713"/>
      <c r="K48" s="2713"/>
      <c r="L48" s="2713"/>
      <c r="M48" s="2713"/>
      <c r="N48" s="2713"/>
      <c r="O48" s="2713"/>
      <c r="P48" s="2713"/>
    </row>
    <row r="49" spans="1:16">
      <c r="A49" s="2712"/>
      <c r="B49" s="2712" t="s">
        <v>2080</v>
      </c>
      <c r="C49" s="2716" t="s">
        <v>4576</v>
      </c>
      <c r="D49" s="2713"/>
      <c r="E49" s="2713"/>
      <c r="F49" s="2713"/>
      <c r="G49" s="2713"/>
      <c r="H49" s="2713"/>
      <c r="I49" s="2713"/>
      <c r="J49" s="2713"/>
      <c r="K49" s="2718"/>
      <c r="L49" s="2713"/>
      <c r="M49" s="2752"/>
      <c r="N49" s="2752"/>
      <c r="O49" s="2752"/>
      <c r="P49" s="2752"/>
    </row>
    <row r="50" spans="1:16">
      <c r="A50" s="2719"/>
      <c r="B50" s="2712"/>
      <c r="C50" s="2713" t="s">
        <v>2403</v>
      </c>
      <c r="D50" s="2713"/>
      <c r="E50" s="2713"/>
      <c r="F50" s="2719"/>
      <c r="G50" s="2719"/>
      <c r="H50" s="2753">
        <f>'Part I-Project Information'!H44</f>
        <v>0</v>
      </c>
      <c r="I50" s="2719"/>
      <c r="J50" s="2719"/>
      <c r="K50" s="2721" t="s">
        <v>379</v>
      </c>
      <c r="L50" s="2713"/>
      <c r="M50" s="2719"/>
      <c r="N50" s="2719"/>
      <c r="O50" s="2719"/>
      <c r="P50" s="2753">
        <f>'Part I-Project Information'!P44</f>
        <v>0</v>
      </c>
    </row>
    <row r="51" spans="1:16">
      <c r="A51" s="2712"/>
      <c r="B51" s="2712"/>
      <c r="C51" s="2754" t="s">
        <v>360</v>
      </c>
      <c r="D51" s="2713"/>
      <c r="E51" s="2713"/>
      <c r="F51" s="2713"/>
      <c r="G51" s="2713"/>
      <c r="H51" s="2753">
        <f>'Part I-Project Information'!H45</f>
        <v>0</v>
      </c>
      <c r="I51" s="2713"/>
      <c r="J51" s="2713"/>
      <c r="K51" s="2754" t="s">
        <v>380</v>
      </c>
      <c r="L51" s="2713"/>
      <c r="M51" s="2713"/>
      <c r="N51" s="2713"/>
      <c r="O51" s="2713"/>
      <c r="P51" s="2753">
        <f>'Part I-Project Information'!P45</f>
        <v>0</v>
      </c>
    </row>
    <row r="52" spans="1:16">
      <c r="A52" s="2713"/>
      <c r="B52" s="2712"/>
      <c r="C52" s="2721" t="s">
        <v>359</v>
      </c>
      <c r="D52" s="2713"/>
      <c r="E52" s="2713"/>
      <c r="F52" s="2713"/>
      <c r="G52" s="2713"/>
      <c r="H52" s="2753">
        <f>'Part I-Project Information'!H46</f>
        <v>42</v>
      </c>
      <c r="I52" s="2755" t="s">
        <v>3335</v>
      </c>
      <c r="J52" s="2713"/>
      <c r="K52" s="2713" t="s">
        <v>361</v>
      </c>
      <c r="L52" s="2713"/>
      <c r="M52" s="2713"/>
      <c r="N52" s="2713"/>
      <c r="O52" s="2713"/>
      <c r="P52" s="2756">
        <f>'Part I-Project Information'!P46</f>
        <v>34831</v>
      </c>
    </row>
    <row r="53" spans="1:16">
      <c r="A53" s="2712"/>
      <c r="B53" s="2713"/>
      <c r="C53" s="2713"/>
      <c r="D53" s="2713"/>
      <c r="E53" s="2713"/>
      <c r="F53" s="2713"/>
      <c r="G53" s="2713"/>
      <c r="H53" s="2713"/>
      <c r="I53" s="2713"/>
      <c r="J53" s="2713"/>
      <c r="K53" s="2713"/>
      <c r="L53" s="2713"/>
      <c r="M53" s="2713"/>
      <c r="N53" s="2713"/>
      <c r="O53" s="2713"/>
      <c r="P53" s="2713"/>
    </row>
    <row r="54" spans="1:16">
      <c r="A54" s="2712"/>
      <c r="B54" s="2712" t="s">
        <v>2083</v>
      </c>
      <c r="C54" s="2716" t="s">
        <v>2404</v>
      </c>
      <c r="D54" s="2713"/>
      <c r="E54" s="2713"/>
      <c r="F54" s="2713"/>
      <c r="G54" s="2713"/>
      <c r="H54" s="2717" t="str">
        <f>'Part I-Project Information'!H48</f>
        <v>No</v>
      </c>
      <c r="I54" s="2713"/>
      <c r="J54" s="2713"/>
      <c r="K54" s="2713"/>
      <c r="L54" s="2713"/>
      <c r="M54" s="2713"/>
      <c r="N54" s="2713"/>
      <c r="O54" s="2752"/>
      <c r="P54" s="2718"/>
    </row>
    <row r="55" spans="1:16">
      <c r="A55" s="2712"/>
      <c r="B55" s="2713"/>
      <c r="C55" s="2713"/>
      <c r="D55" s="2713"/>
      <c r="E55" s="2713"/>
      <c r="F55" s="2713"/>
      <c r="G55" s="2713"/>
      <c r="H55" s="2713"/>
      <c r="I55" s="2713"/>
      <c r="J55" s="2718"/>
      <c r="K55" s="2757"/>
      <c r="L55" s="2718"/>
      <c r="M55" s="2757"/>
      <c r="N55" s="2757"/>
      <c r="O55" s="2757"/>
      <c r="P55" s="2757"/>
    </row>
    <row r="56" spans="1:16" ht="12.75" customHeight="1">
      <c r="A56" s="2712"/>
      <c r="B56" s="2734" t="s">
        <v>788</v>
      </c>
      <c r="C56" s="2716" t="s">
        <v>2384</v>
      </c>
      <c r="D56" s="2713"/>
      <c r="E56" s="2713"/>
      <c r="F56" s="2713"/>
      <c r="G56" s="2713"/>
      <c r="H56" s="2713"/>
      <c r="I56" s="2758" t="s">
        <v>4359</v>
      </c>
      <c r="J56" s="2734" t="s">
        <v>2215</v>
      </c>
      <c r="K56" s="2759" t="s">
        <v>2410</v>
      </c>
      <c r="L56" s="2713"/>
      <c r="M56" s="2713"/>
      <c r="N56" s="2713"/>
      <c r="O56" s="2713"/>
      <c r="P56" s="2717"/>
    </row>
    <row r="57" spans="1:16">
      <c r="A57" s="2712"/>
      <c r="B57" s="2730"/>
      <c r="C57" s="2719" t="s">
        <v>2385</v>
      </c>
      <c r="D57" s="2713"/>
      <c r="E57" s="2713"/>
      <c r="F57" s="2713"/>
      <c r="G57" s="2713"/>
      <c r="H57" s="2760">
        <f>SUM(H58:H59)</f>
        <v>42</v>
      </c>
      <c r="I57" s="2760">
        <f>SUM(I58:I59)</f>
        <v>7</v>
      </c>
      <c r="J57" s="2712"/>
      <c r="K57" s="2719" t="s">
        <v>3078</v>
      </c>
      <c r="L57" s="2713"/>
      <c r="M57" s="2713"/>
      <c r="N57" s="2713"/>
      <c r="O57" s="2713"/>
      <c r="P57" s="2760">
        <f>'Part I-Project Information'!P51</f>
        <v>36371</v>
      </c>
    </row>
    <row r="58" spans="1:16">
      <c r="A58" s="2712"/>
      <c r="B58" s="2719"/>
      <c r="C58" s="2713"/>
      <c r="D58" s="2761" t="s">
        <v>399</v>
      </c>
      <c r="E58" s="2713"/>
      <c r="F58" s="2713"/>
      <c r="G58" s="2713"/>
      <c r="H58" s="2760">
        <f>'Part I-Project Information'!H52</f>
        <v>9</v>
      </c>
      <c r="I58" s="2760">
        <f>'Part I-Project Information'!I52</f>
        <v>7</v>
      </c>
      <c r="J58" s="2713"/>
      <c r="K58" s="2719" t="s">
        <v>3079</v>
      </c>
      <c r="L58" s="2713"/>
      <c r="M58" s="2713"/>
      <c r="N58" s="2713"/>
      <c r="O58" s="2713"/>
      <c r="P58" s="2760">
        <f>'Part I-Project Information'!P52</f>
        <v>0</v>
      </c>
    </row>
    <row r="59" spans="1:16">
      <c r="A59" s="2712"/>
      <c r="B59" s="2713"/>
      <c r="C59" s="2713"/>
      <c r="D59" s="2761" t="s">
        <v>1912</v>
      </c>
      <c r="E59" s="2761"/>
      <c r="F59" s="2713"/>
      <c r="G59" s="2713"/>
      <c r="H59" s="2760">
        <f>'Part I-Project Information'!H53</f>
        <v>33</v>
      </c>
      <c r="I59" s="2760">
        <f>'Part I-Project Information'!I53</f>
        <v>0</v>
      </c>
      <c r="J59" s="2713"/>
      <c r="K59" s="2719" t="s">
        <v>3080</v>
      </c>
      <c r="L59" s="2713"/>
      <c r="M59" s="2713"/>
      <c r="N59" s="2713"/>
      <c r="O59" s="2713"/>
      <c r="P59" s="2760">
        <f>P57+P58</f>
        <v>36371</v>
      </c>
    </row>
    <row r="60" spans="1:16">
      <c r="A60" s="2712"/>
      <c r="B60" s="2713"/>
      <c r="C60" s="2719" t="s">
        <v>264</v>
      </c>
      <c r="D60" s="2713"/>
      <c r="E60" s="2713"/>
      <c r="F60" s="2713"/>
      <c r="G60" s="2713"/>
      <c r="H60" s="2760">
        <f>'Part I-Project Information'!H54</f>
        <v>0</v>
      </c>
      <c r="I60" s="2713"/>
      <c r="J60" s="2712"/>
      <c r="K60" s="2719" t="s">
        <v>3081</v>
      </c>
      <c r="L60" s="2713"/>
      <c r="M60" s="2713"/>
      <c r="N60" s="2713"/>
      <c r="O60" s="2713"/>
      <c r="P60" s="2760">
        <f>'Part I-Project Information'!P54</f>
        <v>0</v>
      </c>
    </row>
    <row r="61" spans="1:16">
      <c r="A61" s="2712"/>
      <c r="B61" s="2713"/>
      <c r="C61" s="2719" t="s">
        <v>2526</v>
      </c>
      <c r="D61" s="2713"/>
      <c r="E61" s="2713"/>
      <c r="F61" s="2713"/>
      <c r="G61" s="2713"/>
      <c r="H61" s="2760">
        <f>H57+H60</f>
        <v>42</v>
      </c>
      <c r="I61" s="2713"/>
      <c r="J61" s="2712"/>
      <c r="K61" s="2719" t="s">
        <v>1490</v>
      </c>
      <c r="L61" s="2713"/>
      <c r="M61" s="2713"/>
      <c r="N61" s="2713"/>
      <c r="O61" s="2713"/>
      <c r="P61" s="2760">
        <f>+P59+P60</f>
        <v>36371</v>
      </c>
    </row>
    <row r="62" spans="1:16">
      <c r="A62" s="2712"/>
      <c r="B62" s="2713"/>
      <c r="C62" s="2719" t="s">
        <v>2527</v>
      </c>
      <c r="D62" s="2713"/>
      <c r="E62" s="2713"/>
      <c r="F62" s="2713"/>
      <c r="G62" s="2713"/>
      <c r="H62" s="2760">
        <f>'Part I-Project Information'!H56</f>
        <v>0</v>
      </c>
      <c r="I62" s="2713"/>
      <c r="J62" s="2712"/>
      <c r="K62" s="2713"/>
      <c r="L62" s="2713"/>
      <c r="M62" s="2713"/>
      <c r="N62" s="2713"/>
      <c r="O62" s="2713"/>
      <c r="P62" s="2713"/>
    </row>
    <row r="63" spans="1:16">
      <c r="A63" s="2712"/>
      <c r="B63" s="2713"/>
      <c r="C63" s="2719" t="s">
        <v>1880</v>
      </c>
      <c r="D63" s="2713"/>
      <c r="E63" s="2713"/>
      <c r="F63" s="2713"/>
      <c r="G63" s="2713"/>
      <c r="H63" s="2760">
        <f>+H61+H62</f>
        <v>42</v>
      </c>
      <c r="I63" s="2713"/>
      <c r="J63" s="2713"/>
      <c r="K63" s="2713"/>
      <c r="L63" s="2713"/>
      <c r="M63" s="2713"/>
      <c r="N63" s="2713"/>
      <c r="O63" s="2713"/>
      <c r="P63" s="2713"/>
    </row>
    <row r="64" spans="1:16">
      <c r="A64" s="2712"/>
      <c r="B64" s="2713"/>
      <c r="C64" s="2713"/>
      <c r="D64" s="2713"/>
      <c r="E64" s="2713"/>
      <c r="F64" s="2713"/>
      <c r="G64" s="2713"/>
      <c r="H64" s="2713"/>
      <c r="I64" s="2717"/>
      <c r="J64" s="2713"/>
      <c r="K64" s="2713"/>
      <c r="L64" s="2717"/>
      <c r="M64" s="2717"/>
      <c r="N64" s="2713"/>
      <c r="O64" s="2713"/>
      <c r="P64" s="2732"/>
    </row>
    <row r="65" spans="1:16">
      <c r="A65" s="2712"/>
      <c r="B65" s="2712" t="s">
        <v>1822</v>
      </c>
      <c r="C65" s="2716" t="s">
        <v>2405</v>
      </c>
      <c r="D65" s="2761" t="s">
        <v>2094</v>
      </c>
      <c r="E65" s="2713"/>
      <c r="F65" s="2713"/>
      <c r="G65" s="2713"/>
      <c r="H65" s="2760">
        <f>'Part I-Project Information'!H59</f>
        <v>6</v>
      </c>
      <c r="I65" s="2713"/>
      <c r="J65" s="2713"/>
      <c r="K65" s="2719" t="s">
        <v>1177</v>
      </c>
      <c r="L65" s="2713"/>
      <c r="M65" s="2713"/>
      <c r="N65" s="2713"/>
      <c r="O65" s="2713"/>
      <c r="P65" s="2760">
        <f>'Part I-Project Information'!P59</f>
        <v>1350</v>
      </c>
    </row>
    <row r="66" spans="1:16">
      <c r="A66" s="2712"/>
      <c r="B66" s="2712"/>
      <c r="C66" s="2713"/>
      <c r="D66" s="2730" t="s">
        <v>2095</v>
      </c>
      <c r="E66" s="2713"/>
      <c r="F66" s="2713"/>
      <c r="G66" s="2713"/>
      <c r="H66" s="2760">
        <f>'Part I-Project Information'!H60</f>
        <v>1</v>
      </c>
      <c r="I66" s="2713"/>
      <c r="J66" s="2713"/>
      <c r="K66" s="2719" t="s">
        <v>263</v>
      </c>
      <c r="L66" s="2713"/>
      <c r="M66" s="2713"/>
      <c r="N66" s="2713"/>
      <c r="O66" s="2713"/>
      <c r="P66" s="2760">
        <f>+P61+P65</f>
        <v>37721</v>
      </c>
    </row>
    <row r="67" spans="1:16">
      <c r="A67" s="2712"/>
      <c r="B67" s="2712"/>
      <c r="C67" s="2713"/>
      <c r="D67" s="2730" t="s">
        <v>2096</v>
      </c>
      <c r="E67" s="2713"/>
      <c r="F67" s="2713"/>
      <c r="G67" s="2713"/>
      <c r="H67" s="2760">
        <f>+H65+H66</f>
        <v>7</v>
      </c>
      <c r="I67" s="2713"/>
      <c r="J67" s="2713"/>
      <c r="K67" s="2713"/>
      <c r="L67" s="2713"/>
      <c r="M67" s="2713"/>
      <c r="N67" s="2713"/>
      <c r="O67" s="2713"/>
      <c r="P67" s="2713"/>
    </row>
    <row r="68" spans="1:16">
      <c r="A68" s="2712"/>
      <c r="B68" s="2712"/>
      <c r="C68" s="2713"/>
      <c r="D68" s="2713"/>
      <c r="E68" s="2713"/>
      <c r="F68" s="2713"/>
      <c r="G68" s="2717"/>
      <c r="H68" s="2713"/>
      <c r="I68" s="2719"/>
      <c r="J68" s="2713"/>
      <c r="K68" s="2713"/>
      <c r="L68" s="2713"/>
      <c r="M68" s="2713"/>
      <c r="N68" s="2713"/>
      <c r="O68" s="2713"/>
      <c r="P68" s="2732"/>
    </row>
    <row r="69" spans="1:16">
      <c r="A69" s="2712"/>
      <c r="B69" s="2712" t="s">
        <v>1823</v>
      </c>
      <c r="C69" s="2716" t="s">
        <v>3182</v>
      </c>
      <c r="D69" s="2713"/>
      <c r="E69" s="2713"/>
      <c r="F69" s="2713"/>
      <c r="G69" s="2713"/>
      <c r="H69" s="2760">
        <f>'Part I-Project Information'!H63</f>
        <v>86</v>
      </c>
      <c r="I69" s="2713"/>
      <c r="J69" s="2713"/>
      <c r="K69" s="2713" t="s">
        <v>3185</v>
      </c>
      <c r="L69" s="2713"/>
      <c r="M69" s="2713"/>
      <c r="N69" s="2713"/>
      <c r="O69" s="2713"/>
      <c r="P69" s="2713"/>
    </row>
    <row r="70" spans="1:16">
      <c r="A70" s="2712"/>
      <c r="B70" s="2712"/>
      <c r="C70" s="2719"/>
      <c r="D70" s="2713"/>
      <c r="E70" s="2713"/>
      <c r="F70" s="2713"/>
      <c r="G70" s="2717"/>
      <c r="H70" s="2713"/>
      <c r="I70" s="2719"/>
      <c r="J70" s="2719"/>
      <c r="K70" s="2713"/>
      <c r="L70" s="2713"/>
      <c r="M70" s="2713"/>
      <c r="N70" s="2713"/>
      <c r="O70" s="2713"/>
      <c r="P70" s="2732"/>
    </row>
    <row r="71" spans="1:16">
      <c r="A71" s="2712" t="s">
        <v>553</v>
      </c>
      <c r="B71" s="2762" t="s">
        <v>1246</v>
      </c>
      <c r="C71" s="2713"/>
      <c r="D71" s="2762"/>
      <c r="E71" s="2762"/>
      <c r="F71" s="2713"/>
      <c r="G71" s="2717"/>
      <c r="H71" s="2713"/>
      <c r="I71" s="2713"/>
      <c r="J71" s="2713"/>
      <c r="K71" s="2713"/>
      <c r="L71" s="2713"/>
      <c r="M71" s="2713"/>
      <c r="N71" s="2713"/>
      <c r="O71" s="2713"/>
      <c r="P71" s="2713"/>
    </row>
    <row r="72" spans="1:16">
      <c r="A72" s="2712"/>
      <c r="B72" s="2713"/>
      <c r="C72" s="2763"/>
      <c r="D72" s="2763"/>
      <c r="E72" s="2763"/>
      <c r="F72" s="2713"/>
      <c r="G72" s="2717"/>
      <c r="H72" s="2713"/>
      <c r="I72" s="2713"/>
      <c r="J72" s="2713"/>
      <c r="K72" s="2713"/>
      <c r="L72" s="2713"/>
      <c r="M72" s="2713"/>
      <c r="N72" s="2713"/>
      <c r="O72" s="2713"/>
      <c r="P72" s="2732"/>
    </row>
    <row r="73" spans="1:16">
      <c r="A73" s="2712"/>
      <c r="B73" s="2712" t="s">
        <v>2080</v>
      </c>
      <c r="C73" s="2714" t="s">
        <v>4577</v>
      </c>
      <c r="D73" s="2763"/>
      <c r="E73" s="2763"/>
      <c r="F73" s="2713"/>
      <c r="G73" s="2717"/>
      <c r="H73" s="2764" t="str">
        <f>'Part I-Project Information'!H67</f>
        <v>Family</v>
      </c>
      <c r="I73" s="2764"/>
      <c r="J73" s="2713"/>
      <c r="K73" s="2728" t="s">
        <v>1859</v>
      </c>
      <c r="L73" s="2728"/>
      <c r="M73" s="2713"/>
      <c r="N73" s="2728">
        <f>'Part I-Project Information'!N67</f>
        <v>0</v>
      </c>
      <c r="O73" s="2728"/>
      <c r="P73" s="2728"/>
    </row>
    <row r="74" spans="1:16">
      <c r="A74" s="2712"/>
      <c r="B74" s="2712"/>
      <c r="C74" s="2713"/>
      <c r="D74" s="2730"/>
      <c r="E74" s="2730"/>
      <c r="F74" s="2730"/>
      <c r="G74" s="2730"/>
      <c r="H74" s="2713"/>
      <c r="I74" s="2717"/>
      <c r="J74" s="2713"/>
      <c r="K74" s="2721"/>
      <c r="L74" s="2721"/>
      <c r="M74" s="2717"/>
      <c r="N74" s="2713"/>
      <c r="O74" s="2713"/>
      <c r="P74" s="2732"/>
    </row>
    <row r="75" spans="1:16">
      <c r="A75" s="2712"/>
      <c r="B75" s="2712"/>
      <c r="C75" s="2713"/>
      <c r="D75" s="2713"/>
      <c r="E75" s="2763"/>
      <c r="F75" s="2713"/>
      <c r="G75" s="2713"/>
      <c r="H75" s="2713"/>
      <c r="I75" s="2713"/>
      <c r="J75" s="2713"/>
      <c r="K75" s="2765" t="s">
        <v>3771</v>
      </c>
      <c r="L75" s="2765"/>
      <c r="M75" s="2766" t="s">
        <v>3336</v>
      </c>
      <c r="N75" s="2760">
        <f>'Part I-Project Information'!N69</f>
        <v>0</v>
      </c>
      <c r="O75" s="2766" t="s">
        <v>3337</v>
      </c>
      <c r="P75" s="2760">
        <f>'Part I-Project Information'!P69</f>
        <v>0</v>
      </c>
    </row>
    <row r="76" spans="1:16">
      <c r="A76" s="2712"/>
      <c r="B76" s="2712"/>
      <c r="C76" s="2713"/>
      <c r="D76" s="2730"/>
      <c r="E76" s="2730"/>
      <c r="F76" s="2730"/>
      <c r="G76" s="2730"/>
      <c r="H76" s="2713"/>
      <c r="I76" s="2713"/>
      <c r="J76" s="2713"/>
      <c r="K76" s="2765"/>
      <c r="L76" s="2765"/>
      <c r="M76" s="2717"/>
      <c r="N76" s="2713"/>
      <c r="O76" s="2713"/>
      <c r="P76" s="2732"/>
    </row>
    <row r="77" spans="1:16">
      <c r="A77" s="2712"/>
      <c r="B77" s="2712"/>
      <c r="C77" s="2713"/>
      <c r="D77" s="2721"/>
      <c r="E77" s="2763"/>
      <c r="F77" s="2713"/>
      <c r="G77" s="2713"/>
      <c r="H77" s="2713"/>
      <c r="I77" s="2713"/>
      <c r="J77" s="2713"/>
      <c r="K77" s="2765"/>
      <c r="L77" s="2765"/>
      <c r="M77" s="2724" t="s">
        <v>3338</v>
      </c>
      <c r="N77" s="2760">
        <f>'Part I-Project Information'!N71</f>
        <v>0</v>
      </c>
      <c r="O77" s="2724" t="s">
        <v>1678</v>
      </c>
      <c r="P77" s="2760">
        <f>'Part I-Project Information'!P71</f>
        <v>0</v>
      </c>
    </row>
    <row r="78" spans="1:16">
      <c r="A78" s="2712"/>
      <c r="B78" s="2712"/>
      <c r="C78" s="2713"/>
      <c r="D78" s="2730"/>
      <c r="E78" s="2730"/>
      <c r="F78" s="2730"/>
      <c r="G78" s="2730"/>
      <c r="H78" s="2713"/>
      <c r="I78" s="2717"/>
      <c r="J78" s="2713"/>
      <c r="K78" s="2721"/>
      <c r="L78" s="2721"/>
      <c r="M78" s="2717"/>
      <c r="N78" s="2713"/>
      <c r="O78" s="2713"/>
      <c r="P78" s="2732"/>
    </row>
    <row r="79" spans="1:16">
      <c r="A79" s="2712"/>
      <c r="B79" s="2712" t="s">
        <v>2083</v>
      </c>
      <c r="C79" s="2716" t="s">
        <v>1481</v>
      </c>
      <c r="D79" s="2713"/>
      <c r="E79" s="2761"/>
      <c r="F79" s="2730" t="s">
        <v>837</v>
      </c>
      <c r="G79" s="2713"/>
      <c r="H79" s="2760">
        <f>'Part I-Project Information'!H73</f>
        <v>3</v>
      </c>
      <c r="I79" s="2713"/>
      <c r="J79" s="2713"/>
      <c r="K79" s="2728" t="s">
        <v>543</v>
      </c>
      <c r="L79" s="2728"/>
      <c r="M79" s="2713"/>
      <c r="N79" s="2713"/>
      <c r="O79" s="2713"/>
      <c r="P79" s="2767">
        <f>'Part I-Project Information'!P73</f>
        <v>7.1428571428571425E-2</v>
      </c>
    </row>
    <row r="80" spans="1:16">
      <c r="A80" s="2712"/>
      <c r="B80" s="2712"/>
      <c r="C80" s="2713"/>
      <c r="D80" s="2730" t="s">
        <v>3180</v>
      </c>
      <c r="E80" s="2730"/>
      <c r="F80" s="2730" t="s">
        <v>837</v>
      </c>
      <c r="G80" s="2713"/>
      <c r="H80" s="2760">
        <f>'Part I-Project Information'!H74</f>
        <v>2</v>
      </c>
      <c r="I80" s="2713"/>
      <c r="J80" s="2713"/>
      <c r="K80" s="2713" t="s">
        <v>3181</v>
      </c>
      <c r="L80" s="2713"/>
      <c r="M80" s="2713"/>
      <c r="N80" s="2713"/>
      <c r="O80" s="2713"/>
      <c r="P80" s="2767">
        <f>IF(H79=0,0,H80/H79)</f>
        <v>0.66666666666666663</v>
      </c>
    </row>
    <row r="81" spans="1:16">
      <c r="A81" s="2712"/>
      <c r="B81" s="2712"/>
      <c r="C81" s="2713"/>
      <c r="D81" s="2730"/>
      <c r="E81" s="2730"/>
      <c r="F81" s="2730"/>
      <c r="G81" s="2713"/>
      <c r="H81" s="2713"/>
      <c r="I81" s="2717"/>
      <c r="J81" s="2713"/>
      <c r="K81" s="2721"/>
      <c r="L81" s="2721"/>
      <c r="M81" s="2717"/>
      <c r="N81" s="2713"/>
      <c r="O81" s="2713"/>
      <c r="P81" s="2717"/>
    </row>
    <row r="82" spans="1:16">
      <c r="A82" s="2712"/>
      <c r="B82" s="2712" t="s">
        <v>788</v>
      </c>
      <c r="C82" s="2716" t="s">
        <v>1935</v>
      </c>
      <c r="D82" s="2761"/>
      <c r="E82" s="2761"/>
      <c r="F82" s="2730" t="s">
        <v>837</v>
      </c>
      <c r="G82" s="2713"/>
      <c r="H82" s="2760">
        <f>'Part I-Project Information'!H76</f>
        <v>1</v>
      </c>
      <c r="I82" s="2713"/>
      <c r="J82" s="2713"/>
      <c r="K82" s="2728" t="s">
        <v>543</v>
      </c>
      <c r="L82" s="2728"/>
      <c r="M82" s="2713"/>
      <c r="N82" s="2713"/>
      <c r="O82" s="2713"/>
      <c r="P82" s="2767">
        <f>'Part I-Project Information'!P76</f>
        <v>2.3809523809523808E-2</v>
      </c>
    </row>
    <row r="83" spans="1:16">
      <c r="A83" s="2712"/>
      <c r="B83" s="2712"/>
      <c r="C83" s="2713"/>
      <c r="D83" s="2730"/>
      <c r="E83" s="2730"/>
      <c r="F83" s="2730"/>
      <c r="G83" s="2730"/>
      <c r="H83" s="2713"/>
      <c r="I83" s="2717"/>
      <c r="J83" s="2717"/>
      <c r="K83" s="2717"/>
      <c r="L83" s="2717"/>
      <c r="M83" s="2717"/>
      <c r="N83" s="2713"/>
      <c r="O83" s="2713"/>
      <c r="P83" s="2732"/>
    </row>
    <row r="84" spans="1:16">
      <c r="A84" s="2759" t="s">
        <v>812</v>
      </c>
      <c r="B84" s="2763" t="s">
        <v>2490</v>
      </c>
      <c r="C84" s="2713"/>
      <c r="D84" s="2730"/>
      <c r="E84" s="2730"/>
      <c r="F84" s="2730"/>
      <c r="G84" s="2730"/>
      <c r="H84" s="2730"/>
      <c r="I84" s="2717"/>
      <c r="J84" s="2713"/>
      <c r="K84" s="2713"/>
      <c r="L84" s="2713"/>
      <c r="M84" s="2717"/>
      <c r="N84" s="2713"/>
      <c r="O84" s="2713"/>
      <c r="P84" s="2732"/>
    </row>
    <row r="85" spans="1:16">
      <c r="A85" s="2712"/>
      <c r="B85" s="2712"/>
      <c r="C85" s="2763"/>
      <c r="D85" s="2730"/>
      <c r="E85" s="2730"/>
      <c r="F85" s="2730"/>
      <c r="G85" s="2713"/>
      <c r="H85" s="2713"/>
      <c r="I85" s="2713"/>
      <c r="J85" s="2713"/>
      <c r="K85" s="2713"/>
      <c r="L85" s="2717"/>
      <c r="M85" s="2717"/>
      <c r="N85" s="2713"/>
      <c r="O85" s="2713"/>
      <c r="P85" s="2732"/>
    </row>
    <row r="86" spans="1:16">
      <c r="A86" s="2712"/>
      <c r="B86" s="2712" t="s">
        <v>2080</v>
      </c>
      <c r="C86" s="2714" t="s">
        <v>2489</v>
      </c>
      <c r="D86" s="2730"/>
      <c r="E86" s="2730"/>
      <c r="F86" s="2730"/>
      <c r="G86" s="2713"/>
      <c r="H86" s="2764" t="str">
        <f>'Part I-Project Information'!H80</f>
        <v>40% of Units at 60% of AMI</v>
      </c>
      <c r="I86" s="2764"/>
      <c r="J86" s="2764"/>
      <c r="K86" s="2713"/>
      <c r="L86" s="2713"/>
      <c r="M86" s="2717"/>
      <c r="N86" s="2713"/>
      <c r="O86" s="2713"/>
      <c r="P86" s="2732"/>
    </row>
    <row r="87" spans="1:16">
      <c r="A87" s="2712"/>
      <c r="B87" s="2712"/>
      <c r="C87" s="2713"/>
      <c r="D87" s="2730"/>
      <c r="E87" s="2730"/>
      <c r="F87" s="2730"/>
      <c r="G87" s="2730"/>
      <c r="H87" s="2713"/>
      <c r="I87" s="2717"/>
      <c r="J87" s="2717"/>
      <c r="K87" s="2717"/>
      <c r="L87" s="2717"/>
      <c r="M87" s="2717"/>
      <c r="N87" s="2713"/>
      <c r="O87" s="2713"/>
      <c r="P87" s="2732"/>
    </row>
    <row r="88" spans="1:16">
      <c r="A88" s="2713"/>
      <c r="B88" s="2712" t="s">
        <v>2083</v>
      </c>
      <c r="C88" s="2716" t="s">
        <v>1609</v>
      </c>
      <c r="D88" s="2713"/>
      <c r="E88" s="2713"/>
      <c r="F88" s="2713"/>
      <c r="G88" s="2713"/>
      <c r="H88" s="2713"/>
      <c r="I88" s="2713"/>
      <c r="J88" s="2713"/>
      <c r="K88" s="2721" t="s">
        <v>910</v>
      </c>
      <c r="L88" s="2713"/>
      <c r="M88" s="2713"/>
      <c r="N88" s="2768"/>
      <c r="O88" s="2713"/>
      <c r="P88" s="2717">
        <f>'Part I-Project Information'!P82</f>
        <v>0</v>
      </c>
    </row>
    <row r="89" spans="1:16">
      <c r="A89" s="2712"/>
      <c r="B89" s="2712"/>
      <c r="C89" s="2716"/>
      <c r="D89" s="2730"/>
      <c r="E89" s="2730"/>
      <c r="F89" s="2730"/>
      <c r="G89" s="2730"/>
      <c r="H89" s="2713"/>
      <c r="I89" s="2717"/>
      <c r="J89" s="2717"/>
      <c r="K89" s="2717"/>
      <c r="L89" s="2717"/>
      <c r="M89" s="2717"/>
      <c r="N89" s="2713"/>
      <c r="O89" s="2713"/>
      <c r="P89" s="2732"/>
    </row>
    <row r="90" spans="1:16">
      <c r="A90" s="2759" t="s">
        <v>305</v>
      </c>
      <c r="B90" s="2763" t="s">
        <v>2141</v>
      </c>
      <c r="C90" s="2713"/>
      <c r="D90" s="2730"/>
      <c r="E90" s="2713"/>
      <c r="F90" s="2713"/>
      <c r="G90" s="2713"/>
      <c r="H90" s="2713"/>
      <c r="I90" s="2713"/>
      <c r="J90" s="2713"/>
      <c r="K90" s="2713"/>
      <c r="L90" s="2713"/>
      <c r="M90" s="2713"/>
      <c r="N90" s="2713"/>
      <c r="O90" s="2713"/>
      <c r="P90" s="2713"/>
    </row>
    <row r="91" spans="1:16">
      <c r="A91" s="2712"/>
      <c r="B91" s="2712"/>
      <c r="C91" s="2713"/>
      <c r="D91" s="2730"/>
      <c r="E91" s="2713"/>
      <c r="F91" s="2713"/>
      <c r="G91" s="2713"/>
      <c r="H91" s="2713"/>
      <c r="I91" s="2713"/>
      <c r="J91" s="2713"/>
      <c r="K91" s="2713"/>
      <c r="L91" s="2713"/>
      <c r="M91" s="2713"/>
      <c r="N91" s="2713"/>
      <c r="O91" s="2713"/>
      <c r="P91" s="2732"/>
    </row>
    <row r="92" spans="1:16">
      <c r="A92" s="2759"/>
      <c r="B92" s="2712" t="s">
        <v>2080</v>
      </c>
      <c r="C92" s="2716" t="s">
        <v>2878</v>
      </c>
      <c r="D92" s="2713"/>
      <c r="E92" s="2713"/>
      <c r="F92" s="2761" t="s">
        <v>2727</v>
      </c>
      <c r="G92" s="2713"/>
      <c r="H92" s="2717">
        <f>'Part I-Project Information'!H86</f>
        <v>0</v>
      </c>
      <c r="I92" s="2713"/>
      <c r="J92" s="2713"/>
      <c r="K92" s="2761" t="s">
        <v>3990</v>
      </c>
      <c r="L92" s="2713"/>
      <c r="M92" s="2717" t="str">
        <f>'Part I-Project Information'!M86</f>
        <v>Yes</v>
      </c>
      <c r="N92" s="2713"/>
      <c r="O92" s="2713"/>
      <c r="P92" s="2713"/>
    </row>
    <row r="93" spans="1:16">
      <c r="A93" s="2712"/>
      <c r="B93" s="2712"/>
      <c r="C93" s="2763"/>
      <c r="D93" s="2713"/>
      <c r="E93" s="2713"/>
      <c r="F93" s="2730"/>
      <c r="G93" s="2713"/>
      <c r="H93" s="2730"/>
      <c r="I93" s="2713"/>
      <c r="J93" s="2717"/>
      <c r="K93" s="2717"/>
      <c r="L93" s="2717"/>
      <c r="M93" s="2717"/>
      <c r="N93" s="2717"/>
      <c r="O93" s="2713"/>
      <c r="P93" s="2732"/>
    </row>
    <row r="94" spans="1:16">
      <c r="A94" s="2759"/>
      <c r="B94" s="2712" t="s">
        <v>2083</v>
      </c>
      <c r="C94" s="2716" t="s">
        <v>2879</v>
      </c>
      <c r="D94" s="2713"/>
      <c r="E94" s="2713"/>
      <c r="F94" s="2721" t="s">
        <v>2819</v>
      </c>
      <c r="G94" s="2713"/>
      <c r="H94" s="2717">
        <f>'Part I-Project Information'!H88</f>
        <v>0</v>
      </c>
      <c r="I94" s="2713"/>
      <c r="J94" s="2717"/>
      <c r="K94" s="2769" t="s">
        <v>2880</v>
      </c>
      <c r="L94" s="2717"/>
      <c r="M94" s="2717"/>
      <c r="N94" s="2717"/>
      <c r="O94" s="2717"/>
      <c r="P94" s="2713"/>
    </row>
    <row r="95" spans="1:16">
      <c r="A95" s="2712"/>
      <c r="B95" s="2712"/>
      <c r="C95" s="2716"/>
      <c r="D95" s="2730"/>
      <c r="E95" s="2730"/>
      <c r="F95" s="2730"/>
      <c r="G95" s="2730"/>
      <c r="H95" s="2713"/>
      <c r="I95" s="2717"/>
      <c r="J95" s="2717"/>
      <c r="K95" s="2717"/>
      <c r="L95" s="2717"/>
      <c r="M95" s="2717"/>
      <c r="N95" s="2713"/>
      <c r="O95" s="2713"/>
      <c r="P95" s="2732"/>
    </row>
    <row r="96" spans="1:16">
      <c r="A96" s="2759" t="s">
        <v>440</v>
      </c>
      <c r="B96" s="2763" t="s">
        <v>3089</v>
      </c>
      <c r="C96" s="2713"/>
      <c r="D96" s="2730"/>
      <c r="E96" s="2713"/>
      <c r="F96" s="2713"/>
      <c r="G96" s="2713"/>
      <c r="H96" s="2728" t="str">
        <f>'Part I-Project Information'!H90</f>
        <v>Rural</v>
      </c>
      <c r="I96" s="2728"/>
      <c r="J96" s="2717"/>
      <c r="K96" s="2713"/>
      <c r="L96" s="2713"/>
      <c r="M96" s="2713"/>
      <c r="N96" s="2713"/>
      <c r="O96" s="2713"/>
      <c r="P96" s="2713"/>
    </row>
    <row r="97" spans="1:16">
      <c r="A97" s="2712"/>
      <c r="B97" s="2713"/>
      <c r="C97" s="2713"/>
      <c r="D97" s="2726"/>
      <c r="E97" s="2713"/>
      <c r="F97" s="2713"/>
      <c r="G97" s="2713"/>
      <c r="H97" s="2713"/>
      <c r="I97" s="2726"/>
      <c r="J97" s="2719"/>
      <c r="K97" s="2713"/>
      <c r="L97" s="2713"/>
      <c r="M97" s="2713"/>
      <c r="N97" s="2713"/>
      <c r="O97" s="2713"/>
      <c r="P97" s="2732"/>
    </row>
    <row r="98" spans="1:16">
      <c r="A98" s="2759" t="s">
        <v>376</v>
      </c>
      <c r="B98" s="2759" t="s">
        <v>1244</v>
      </c>
      <c r="C98" s="2713"/>
      <c r="D98" s="2713"/>
      <c r="E98" s="2713"/>
      <c r="F98" s="2713"/>
      <c r="G98" s="2713"/>
      <c r="H98" s="2713"/>
      <c r="I98" s="2726"/>
      <c r="J98" s="2719"/>
      <c r="K98" s="2713"/>
      <c r="L98" s="2713"/>
      <c r="M98" s="2713"/>
      <c r="N98" s="2713"/>
      <c r="O98" s="2713"/>
      <c r="P98" s="2732"/>
    </row>
    <row r="99" spans="1:16">
      <c r="A99" s="2759"/>
      <c r="B99" s="2712"/>
      <c r="C99" s="2759"/>
      <c r="D99" s="2713"/>
      <c r="E99" s="2713"/>
      <c r="F99" s="2713"/>
      <c r="G99" s="2713"/>
      <c r="H99" s="2713"/>
      <c r="I99" s="2726"/>
      <c r="J99" s="2719"/>
      <c r="K99" s="2713"/>
      <c r="L99" s="2713"/>
      <c r="M99" s="2713"/>
      <c r="N99" s="2713"/>
      <c r="O99" s="2713"/>
      <c r="P99" s="2713"/>
    </row>
    <row r="100" spans="1:16">
      <c r="A100" s="2712"/>
      <c r="B100" s="2712"/>
      <c r="C100" s="2719" t="s">
        <v>575</v>
      </c>
      <c r="D100" s="2713"/>
      <c r="E100" s="2728">
        <f>'Part I-Project Information'!E94</f>
        <v>0</v>
      </c>
      <c r="F100" s="2728"/>
      <c r="G100" s="2728"/>
      <c r="H100" s="2728"/>
      <c r="I100" s="2728"/>
      <c r="J100" s="2728"/>
      <c r="K100" s="2728"/>
      <c r="L100" s="2728"/>
      <c r="M100" s="2764" t="s">
        <v>576</v>
      </c>
      <c r="N100" s="2764"/>
      <c r="O100" s="2770">
        <f>'Part I-Project Information'!O94</f>
        <v>0</v>
      </c>
      <c r="P100" s="2770"/>
    </row>
    <row r="101" spans="1:16">
      <c r="A101" s="2713"/>
      <c r="B101" s="2713"/>
      <c r="C101" s="2721" t="s">
        <v>1070</v>
      </c>
      <c r="D101" s="2724"/>
      <c r="E101" s="2728">
        <f>'Part I-Project Information'!E95</f>
        <v>0</v>
      </c>
      <c r="F101" s="2728"/>
      <c r="G101" s="2728"/>
      <c r="H101" s="2728"/>
      <c r="I101" s="2728"/>
      <c r="J101" s="2728"/>
      <c r="K101" s="2728"/>
      <c r="L101" s="2728"/>
      <c r="M101" s="2764" t="s">
        <v>849</v>
      </c>
      <c r="N101" s="2764"/>
      <c r="O101" s="2733">
        <f>'Part I-Project Information'!O95</f>
        <v>0</v>
      </c>
      <c r="P101" s="2733"/>
    </row>
    <row r="102" spans="1:16">
      <c r="A102" s="2713"/>
      <c r="B102" s="2713"/>
      <c r="C102" s="2721" t="s">
        <v>648</v>
      </c>
      <c r="D102" s="2713"/>
      <c r="E102" s="2728">
        <f>'Part I-Project Information'!E96</f>
        <v>0</v>
      </c>
      <c r="F102" s="2771"/>
      <c r="G102" s="2771"/>
      <c r="H102" s="2717" t="s">
        <v>1886</v>
      </c>
      <c r="I102" s="2717">
        <f>'Part I-Project Information'!I96</f>
        <v>0</v>
      </c>
      <c r="J102" s="2717" t="s">
        <v>2335</v>
      </c>
      <c r="K102" s="2731">
        <f>'Part I-Project Information'!K96</f>
        <v>0</v>
      </c>
      <c r="L102" s="2771"/>
      <c r="M102" s="2719"/>
      <c r="N102" s="2719"/>
      <c r="O102" s="2719"/>
      <c r="P102" s="2719"/>
    </row>
    <row r="103" spans="1:16">
      <c r="A103" s="2713"/>
      <c r="B103" s="2713"/>
      <c r="C103" s="2713" t="s">
        <v>2296</v>
      </c>
      <c r="D103" s="2713"/>
      <c r="E103" s="2728">
        <f>'Part I-Project Information'!E97</f>
        <v>0</v>
      </c>
      <c r="F103" s="2771"/>
      <c r="G103" s="2771"/>
      <c r="H103" s="2717" t="s">
        <v>2077</v>
      </c>
      <c r="I103" s="2728">
        <f>'Part I-Project Information'!I97</f>
        <v>0</v>
      </c>
      <c r="J103" s="2771"/>
      <c r="K103" s="2771"/>
      <c r="L103" s="2717" t="s">
        <v>2081</v>
      </c>
      <c r="M103" s="2728">
        <f>'Part I-Project Information'!M97</f>
        <v>0</v>
      </c>
      <c r="N103" s="2771"/>
      <c r="O103" s="2771"/>
      <c r="P103" s="2771"/>
    </row>
    <row r="104" spans="1:16">
      <c r="A104" s="2713"/>
      <c r="B104" s="2713"/>
      <c r="C104" s="2721" t="s">
        <v>2295</v>
      </c>
      <c r="D104" s="2713"/>
      <c r="E104" s="2729">
        <f>'Part I-Project Information'!E98</f>
        <v>0</v>
      </c>
      <c r="F104" s="2729"/>
      <c r="G104" s="2729"/>
      <c r="H104" s="2717" t="s">
        <v>1889</v>
      </c>
      <c r="I104" s="2749">
        <f>'Part I-Project Information'!I98</f>
        <v>0</v>
      </c>
      <c r="J104" s="2771"/>
      <c r="K104" s="2717" t="s">
        <v>1890</v>
      </c>
      <c r="L104" s="2749">
        <f>'Part I-Project Information'!L98</f>
        <v>0</v>
      </c>
      <c r="M104" s="2771"/>
      <c r="N104" s="2717" t="s">
        <v>2076</v>
      </c>
      <c r="O104" s="2749">
        <f>'Part I-Project Information'!O98</f>
        <v>0</v>
      </c>
      <c r="P104" s="2771"/>
    </row>
    <row r="105" spans="1:16">
      <c r="A105" s="2712"/>
      <c r="B105" s="2712"/>
      <c r="C105" s="2713"/>
      <c r="D105" s="2713"/>
      <c r="E105" s="2713"/>
      <c r="F105" s="2713"/>
      <c r="G105" s="2726"/>
      <c r="H105" s="2717"/>
      <c r="I105" s="2717"/>
      <c r="J105" s="2713"/>
      <c r="K105" s="2713"/>
      <c r="L105" s="2713"/>
      <c r="M105" s="2732"/>
      <c r="N105" s="2713"/>
      <c r="O105" s="2713"/>
      <c r="P105" s="2713"/>
    </row>
    <row r="106" spans="1:16">
      <c r="A106" s="2759" t="s">
        <v>377</v>
      </c>
      <c r="B106" s="2763" t="s">
        <v>1748</v>
      </c>
      <c r="C106" s="2713"/>
      <c r="D106" s="2726"/>
      <c r="E106" s="2726"/>
      <c r="F106" s="2717"/>
      <c r="G106" s="2717"/>
      <c r="H106" s="2717"/>
      <c r="I106" s="2717"/>
      <c r="J106" s="2726"/>
      <c r="K106" s="2717"/>
      <c r="L106" s="2717"/>
      <c r="M106" s="2713"/>
      <c r="N106" s="2713"/>
      <c r="O106" s="2713"/>
      <c r="P106" s="2732"/>
    </row>
    <row r="107" spans="1:16">
      <c r="A107" s="2759"/>
      <c r="B107" s="2763"/>
      <c r="C107" s="2713"/>
      <c r="D107" s="2726"/>
      <c r="E107" s="2726"/>
      <c r="F107" s="2717"/>
      <c r="G107" s="2717"/>
      <c r="H107" s="2717"/>
      <c r="I107" s="2717"/>
      <c r="J107" s="2726"/>
      <c r="K107" s="2717"/>
      <c r="L107" s="2717"/>
      <c r="M107" s="2713"/>
      <c r="N107" s="2713"/>
      <c r="O107" s="2713"/>
      <c r="P107" s="2732"/>
    </row>
    <row r="108" spans="1:16">
      <c r="A108" s="2713"/>
      <c r="B108" s="2761" t="s">
        <v>2253</v>
      </c>
      <c r="C108" s="2713"/>
      <c r="D108" s="2772"/>
      <c r="E108" s="2772"/>
      <c r="F108" s="2772"/>
      <c r="G108" s="2772"/>
      <c r="H108" s="2772"/>
      <c r="I108" s="2772"/>
      <c r="J108" s="2772"/>
      <c r="K108" s="2772"/>
      <c r="L108" s="2772"/>
      <c r="M108" s="2772"/>
      <c r="N108" s="2772"/>
      <c r="O108" s="2772"/>
      <c r="P108" s="2772"/>
    </row>
    <row r="109" spans="1:16">
      <c r="A109" s="2712"/>
      <c r="B109" s="2712"/>
      <c r="C109" s="2773"/>
      <c r="D109" s="2773"/>
      <c r="E109" s="2773"/>
      <c r="F109" s="2773"/>
      <c r="G109" s="2773"/>
      <c r="H109" s="2773"/>
      <c r="I109" s="2773"/>
      <c r="J109" s="2773"/>
      <c r="K109" s="2773"/>
      <c r="L109" s="2773"/>
      <c r="M109" s="2773"/>
      <c r="N109" s="2773"/>
      <c r="O109" s="2773"/>
      <c r="P109" s="2773"/>
    </row>
    <row r="110" spans="1:16">
      <c r="A110" s="2712"/>
      <c r="B110" s="2712" t="s">
        <v>2080</v>
      </c>
      <c r="C110" s="2763" t="s">
        <v>1482</v>
      </c>
      <c r="D110" s="2730"/>
      <c r="E110" s="2730"/>
      <c r="F110" s="2717"/>
      <c r="G110" s="2717"/>
      <c r="H110" s="2726">
        <f>'Part I-Project Information'!H104</f>
        <v>2</v>
      </c>
      <c r="I110" s="2713"/>
      <c r="J110" s="2713"/>
      <c r="K110" s="2713"/>
      <c r="L110" s="2713"/>
      <c r="M110" s="2713"/>
      <c r="N110" s="2713"/>
      <c r="O110" s="2713"/>
      <c r="P110" s="2713"/>
    </row>
    <row r="111" spans="1:16">
      <c r="A111" s="2712"/>
      <c r="B111" s="2712"/>
      <c r="C111" s="2773"/>
      <c r="D111" s="2773"/>
      <c r="E111" s="2773"/>
      <c r="F111" s="2773"/>
      <c r="G111" s="2773"/>
      <c r="H111" s="2773"/>
      <c r="I111" s="2713"/>
      <c r="J111" s="2773"/>
      <c r="K111" s="2713"/>
      <c r="L111" s="2713"/>
      <c r="M111" s="2773"/>
      <c r="N111" s="2773"/>
      <c r="O111" s="2773"/>
      <c r="P111" s="2713"/>
    </row>
    <row r="112" spans="1:16">
      <c r="A112" s="2712"/>
      <c r="B112" s="2712" t="s">
        <v>2083</v>
      </c>
      <c r="C112" s="2763" t="s">
        <v>430</v>
      </c>
      <c r="D112" s="2730"/>
      <c r="E112" s="2730"/>
      <c r="F112" s="2717"/>
      <c r="G112" s="2717"/>
      <c r="H112" s="2726">
        <f>'Part I-Project Information'!H106</f>
        <v>1140462</v>
      </c>
      <c r="I112" s="2713"/>
      <c r="J112" s="2726"/>
      <c r="K112" s="2721"/>
      <c r="L112" s="2713"/>
      <c r="M112" s="2713"/>
      <c r="N112" s="2713"/>
      <c r="O112" s="2713"/>
      <c r="P112" s="2713"/>
    </row>
    <row r="113" spans="1:16">
      <c r="A113" s="2712"/>
      <c r="B113" s="2712"/>
      <c r="C113" s="2773"/>
      <c r="D113" s="2773"/>
      <c r="E113" s="2773"/>
      <c r="F113" s="2773"/>
      <c r="G113" s="2773"/>
      <c r="H113" s="2773"/>
      <c r="I113" s="2773"/>
      <c r="J113" s="2773"/>
      <c r="K113" s="2773"/>
      <c r="L113" s="2713"/>
      <c r="M113" s="2773"/>
      <c r="N113" s="2773"/>
      <c r="O113" s="2773"/>
      <c r="P113" s="2773"/>
    </row>
    <row r="114" spans="1:16">
      <c r="A114" s="2713"/>
      <c r="B114" s="2712" t="s">
        <v>788</v>
      </c>
      <c r="C114" s="2763" t="s">
        <v>315</v>
      </c>
      <c r="D114" s="2730"/>
      <c r="E114" s="2730"/>
      <c r="F114" s="2717"/>
      <c r="G114" s="2717"/>
      <c r="H114" s="2717"/>
      <c r="I114" s="2717"/>
      <c r="J114" s="2726"/>
      <c r="K114" s="2717"/>
      <c r="L114" s="2717"/>
      <c r="M114" s="2713"/>
      <c r="N114" s="2713"/>
      <c r="O114" s="2713"/>
      <c r="P114" s="2713"/>
    </row>
    <row r="115" spans="1:16">
      <c r="A115" s="2713"/>
      <c r="B115" s="2712"/>
      <c r="C115" s="2730" t="s">
        <v>2235</v>
      </c>
      <c r="D115" s="2730"/>
      <c r="E115" s="2713"/>
      <c r="F115" s="2730" t="s">
        <v>1187</v>
      </c>
      <c r="G115" s="2717"/>
      <c r="H115" s="2717"/>
      <c r="I115" s="2717"/>
      <c r="J115" s="2730" t="s">
        <v>2235</v>
      </c>
      <c r="K115" s="2730"/>
      <c r="L115" s="2713"/>
      <c r="M115" s="2730" t="s">
        <v>1187</v>
      </c>
      <c r="N115" s="2717"/>
      <c r="O115" s="2717"/>
      <c r="P115" s="2717"/>
    </row>
    <row r="116" spans="1:16" ht="13.5">
      <c r="A116" s="2712"/>
      <c r="B116" s="2712"/>
      <c r="C116" s="2725" t="str">
        <f>'Part I-Project Information'!C110</f>
        <v>David A. Brown</v>
      </c>
      <c r="D116" s="2725"/>
      <c r="E116" s="2725"/>
      <c r="F116" s="2725" t="str">
        <f>'Part I-Project Information'!F110</f>
        <v>Arbor Trace II Rehab</v>
      </c>
      <c r="G116" s="2725"/>
      <c r="H116" s="2725"/>
      <c r="I116" s="2725"/>
      <c r="J116" s="2725" t="str">
        <f>'Part I-Project Information'!J110</f>
        <v>Houston Brown</v>
      </c>
      <c r="K116" s="2725"/>
      <c r="L116" s="2725"/>
      <c r="M116" s="2725" t="str">
        <f>'Part I-Project Information'!M110</f>
        <v>The Meadows Blairsville</v>
      </c>
      <c r="N116" s="2725"/>
      <c r="O116" s="2725"/>
      <c r="P116" s="2725"/>
    </row>
    <row r="117" spans="1:16" ht="13.5">
      <c r="A117" s="2712"/>
      <c r="B117" s="2712"/>
      <c r="C117" s="2725" t="str">
        <f>'Part I-Project Information'!C111</f>
        <v>Melanie Ferrell</v>
      </c>
      <c r="D117" s="2725"/>
      <c r="E117" s="2725"/>
      <c r="F117" s="2725" t="str">
        <f>'Part I-Project Information'!F111</f>
        <v>Arbor Trace II Rehab</v>
      </c>
      <c r="G117" s="2725"/>
      <c r="H117" s="2725"/>
      <c r="I117" s="2725"/>
      <c r="J117" s="2725">
        <f>'Part I-Project Information'!J111</f>
        <v>7</v>
      </c>
      <c r="K117" s="2725"/>
      <c r="L117" s="2725"/>
      <c r="M117" s="2725">
        <f>'Part I-Project Information'!M111</f>
        <v>0</v>
      </c>
      <c r="N117" s="2725"/>
      <c r="O117" s="2725"/>
      <c r="P117" s="2725"/>
    </row>
    <row r="118" spans="1:16" ht="13.5">
      <c r="A118" s="2712"/>
      <c r="B118" s="2712"/>
      <c r="C118" s="2725" t="str">
        <f>'Part I-Project Information'!C112</f>
        <v>Houston Brown</v>
      </c>
      <c r="D118" s="2725"/>
      <c r="E118" s="2725"/>
      <c r="F118" s="2725" t="str">
        <f>'Part I-Project Information'!F112</f>
        <v>Arbor Trace II Rehab</v>
      </c>
      <c r="G118" s="2725"/>
      <c r="H118" s="2725"/>
      <c r="I118" s="2725"/>
      <c r="J118" s="2725">
        <f>'Part I-Project Information'!J112</f>
        <v>8</v>
      </c>
      <c r="K118" s="2725"/>
      <c r="L118" s="2725"/>
      <c r="M118" s="2725">
        <f>'Part I-Project Information'!M112</f>
        <v>0</v>
      </c>
      <c r="N118" s="2725"/>
      <c r="O118" s="2725"/>
      <c r="P118" s="2725"/>
    </row>
    <row r="119" spans="1:16" ht="13.5">
      <c r="A119" s="2712"/>
      <c r="B119" s="2712"/>
      <c r="C119" s="2725" t="str">
        <f>'Part I-Project Information'!C113</f>
        <v>David A. Brown</v>
      </c>
      <c r="D119" s="2725"/>
      <c r="E119" s="2725"/>
      <c r="F119" s="2725" t="str">
        <f>'Part I-Project Information'!F113</f>
        <v>The Meadows Blairsville</v>
      </c>
      <c r="G119" s="2725"/>
      <c r="H119" s="2725"/>
      <c r="I119" s="2725"/>
      <c r="J119" s="2725">
        <f>'Part I-Project Information'!J113</f>
        <v>9</v>
      </c>
      <c r="K119" s="2725"/>
      <c r="L119" s="2725"/>
      <c r="M119" s="2725">
        <f>'Part I-Project Information'!M113</f>
        <v>0</v>
      </c>
      <c r="N119" s="2725"/>
      <c r="O119" s="2725"/>
      <c r="P119" s="2725"/>
    </row>
    <row r="120" spans="1:16" ht="13.5">
      <c r="A120" s="2712"/>
      <c r="B120" s="2712"/>
      <c r="C120" s="2725" t="str">
        <f>'Part I-Project Information'!C114</f>
        <v>Melanie Ferrell</v>
      </c>
      <c r="D120" s="2725"/>
      <c r="E120" s="2725"/>
      <c r="F120" s="2725" t="str">
        <f>'Part I-Project Information'!F114</f>
        <v>The Meadows Blairsville</v>
      </c>
      <c r="G120" s="2725"/>
      <c r="H120" s="2725"/>
      <c r="I120" s="2725"/>
      <c r="J120" s="2725">
        <f>'Part I-Project Information'!J114</f>
        <v>10</v>
      </c>
      <c r="K120" s="2725"/>
      <c r="L120" s="2725"/>
      <c r="M120" s="2725">
        <f>'Part I-Project Information'!M114</f>
        <v>0</v>
      </c>
      <c r="N120" s="2725"/>
      <c r="O120" s="2725"/>
      <c r="P120" s="2725"/>
    </row>
    <row r="121" spans="1:16">
      <c r="A121" s="2712"/>
      <c r="B121" s="2712"/>
      <c r="C121" s="2773"/>
      <c r="D121" s="2773"/>
      <c r="E121" s="2773"/>
      <c r="F121" s="2773"/>
      <c r="G121" s="2773"/>
      <c r="H121" s="2773"/>
      <c r="I121" s="2773"/>
      <c r="J121" s="2773"/>
      <c r="K121" s="2773"/>
      <c r="L121" s="2773"/>
      <c r="M121" s="2773"/>
      <c r="N121" s="2773"/>
      <c r="O121" s="2773"/>
      <c r="P121" s="2773"/>
    </row>
    <row r="122" spans="1:16">
      <c r="A122" s="2712"/>
      <c r="B122" s="2712" t="s">
        <v>2215</v>
      </c>
      <c r="C122" s="2774" t="s">
        <v>1939</v>
      </c>
      <c r="D122" s="2774"/>
      <c r="E122" s="2774"/>
      <c r="F122" s="2774"/>
      <c r="G122" s="2774"/>
      <c r="H122" s="2774"/>
      <c r="I122" s="2774"/>
      <c r="J122" s="2774"/>
      <c r="K122" s="2774"/>
      <c r="L122" s="2774"/>
      <c r="M122" s="2774"/>
      <c r="N122" s="2774"/>
      <c r="O122" s="2774"/>
      <c r="P122" s="2774"/>
    </row>
    <row r="123" spans="1:16">
      <c r="A123" s="2712"/>
      <c r="B123" s="2712"/>
      <c r="C123" s="2774"/>
      <c r="D123" s="2774"/>
      <c r="E123" s="2774"/>
      <c r="F123" s="2774"/>
      <c r="G123" s="2774"/>
      <c r="H123" s="2774"/>
      <c r="I123" s="2774"/>
      <c r="J123" s="2774"/>
      <c r="K123" s="2774"/>
      <c r="L123" s="2774"/>
      <c r="M123" s="2774"/>
      <c r="N123" s="2774"/>
      <c r="O123" s="2774"/>
      <c r="P123" s="2774"/>
    </row>
    <row r="124" spans="1:16">
      <c r="A124" s="2713"/>
      <c r="B124" s="2712"/>
      <c r="C124" s="2730" t="s">
        <v>2235</v>
      </c>
      <c r="D124" s="2730"/>
      <c r="E124" s="2713"/>
      <c r="F124" s="2730" t="s">
        <v>1187</v>
      </c>
      <c r="G124" s="2717"/>
      <c r="H124" s="2717"/>
      <c r="I124" s="2717"/>
      <c r="J124" s="2730" t="s">
        <v>2235</v>
      </c>
      <c r="K124" s="2730"/>
      <c r="L124" s="2713"/>
      <c r="M124" s="2730" t="s">
        <v>1187</v>
      </c>
      <c r="N124" s="2717"/>
      <c r="O124" s="2717"/>
      <c r="P124" s="2717"/>
    </row>
    <row r="125" spans="1:16" ht="13.5">
      <c r="A125" s="2712"/>
      <c r="B125" s="2712"/>
      <c r="C125" s="2725" t="str">
        <f>'Part I-Project Information'!C119</f>
        <v>n/a</v>
      </c>
      <c r="D125" s="2725"/>
      <c r="E125" s="2725"/>
      <c r="F125" s="2725">
        <f>'Part I-Project Information'!F119</f>
        <v>0</v>
      </c>
      <c r="G125" s="2725"/>
      <c r="H125" s="2725"/>
      <c r="I125" s="2725"/>
      <c r="J125" s="2725">
        <f>'Part I-Project Information'!J119</f>
        <v>6</v>
      </c>
      <c r="K125" s="2725"/>
      <c r="L125" s="2725"/>
      <c r="M125" s="2725">
        <f>'Part I-Project Information'!M119</f>
        <v>0</v>
      </c>
      <c r="N125" s="2725"/>
      <c r="O125" s="2725"/>
      <c r="P125" s="2725"/>
    </row>
    <row r="126" spans="1:16" ht="13.5">
      <c r="A126" s="2712"/>
      <c r="B126" s="2712"/>
      <c r="C126" s="2725">
        <f>'Part I-Project Information'!C120</f>
        <v>2</v>
      </c>
      <c r="D126" s="2725"/>
      <c r="E126" s="2725"/>
      <c r="F126" s="2725">
        <f>'Part I-Project Information'!F120</f>
        <v>0</v>
      </c>
      <c r="G126" s="2725"/>
      <c r="H126" s="2725"/>
      <c r="I126" s="2725"/>
      <c r="J126" s="2725">
        <f>'Part I-Project Information'!J120</f>
        <v>7</v>
      </c>
      <c r="K126" s="2725"/>
      <c r="L126" s="2725"/>
      <c r="M126" s="2725">
        <f>'Part I-Project Information'!M120</f>
        <v>0</v>
      </c>
      <c r="N126" s="2725"/>
      <c r="O126" s="2725"/>
      <c r="P126" s="2725"/>
    </row>
    <row r="127" spans="1:16" ht="13.5">
      <c r="A127" s="2712"/>
      <c r="B127" s="2712"/>
      <c r="C127" s="2725">
        <f>'Part I-Project Information'!C121</f>
        <v>3</v>
      </c>
      <c r="D127" s="2725"/>
      <c r="E127" s="2725"/>
      <c r="F127" s="2725">
        <f>'Part I-Project Information'!F121</f>
        <v>0</v>
      </c>
      <c r="G127" s="2725"/>
      <c r="H127" s="2725"/>
      <c r="I127" s="2725"/>
      <c r="J127" s="2725">
        <f>'Part I-Project Information'!J121</f>
        <v>8</v>
      </c>
      <c r="K127" s="2725"/>
      <c r="L127" s="2725"/>
      <c r="M127" s="2725">
        <f>'Part I-Project Information'!M121</f>
        <v>0</v>
      </c>
      <c r="N127" s="2725"/>
      <c r="O127" s="2725"/>
      <c r="P127" s="2725"/>
    </row>
    <row r="128" spans="1:16" ht="13.5">
      <c r="A128" s="2712"/>
      <c r="B128" s="2712"/>
      <c r="C128" s="2725">
        <f>'Part I-Project Information'!C122</f>
        <v>4</v>
      </c>
      <c r="D128" s="2725"/>
      <c r="E128" s="2725"/>
      <c r="F128" s="2725">
        <f>'Part I-Project Information'!F122</f>
        <v>0</v>
      </c>
      <c r="G128" s="2725"/>
      <c r="H128" s="2725"/>
      <c r="I128" s="2725"/>
      <c r="J128" s="2725">
        <f>'Part I-Project Information'!J122</f>
        <v>9</v>
      </c>
      <c r="K128" s="2725"/>
      <c r="L128" s="2725"/>
      <c r="M128" s="2725">
        <f>'Part I-Project Information'!M122</f>
        <v>0</v>
      </c>
      <c r="N128" s="2725"/>
      <c r="O128" s="2725"/>
      <c r="P128" s="2725"/>
    </row>
    <row r="129" spans="1:16" ht="13.5">
      <c r="A129" s="2712"/>
      <c r="B129" s="2712"/>
      <c r="C129" s="2725">
        <f>'Part I-Project Information'!C123</f>
        <v>5</v>
      </c>
      <c r="D129" s="2725"/>
      <c r="E129" s="2725"/>
      <c r="F129" s="2725">
        <f>'Part I-Project Information'!F123</f>
        <v>0</v>
      </c>
      <c r="G129" s="2725"/>
      <c r="H129" s="2725"/>
      <c r="I129" s="2725"/>
      <c r="J129" s="2725">
        <f>'Part I-Project Information'!J123</f>
        <v>10</v>
      </c>
      <c r="K129" s="2725"/>
      <c r="L129" s="2725"/>
      <c r="M129" s="2725">
        <f>'Part I-Project Information'!M123</f>
        <v>0</v>
      </c>
      <c r="N129" s="2725"/>
      <c r="O129" s="2725"/>
      <c r="P129" s="2725"/>
    </row>
    <row r="130" spans="1:16">
      <c r="A130" s="2712"/>
      <c r="B130" s="2712"/>
      <c r="C130" s="2730"/>
      <c r="D130" s="2730"/>
      <c r="E130" s="2730"/>
      <c r="F130" s="2717"/>
      <c r="G130" s="2717"/>
      <c r="H130" s="2717"/>
      <c r="I130" s="2717"/>
      <c r="J130" s="2726"/>
      <c r="K130" s="2717"/>
      <c r="L130" s="2717"/>
      <c r="M130" s="2713"/>
      <c r="N130" s="2713"/>
      <c r="O130" s="2713"/>
      <c r="P130" s="2732"/>
    </row>
    <row r="131" spans="1:16">
      <c r="A131" s="2759" t="s">
        <v>378</v>
      </c>
      <c r="B131" s="2762" t="s">
        <v>2538</v>
      </c>
      <c r="C131" s="2713"/>
      <c r="D131" s="2762"/>
      <c r="E131" s="2762"/>
      <c r="F131" s="2762"/>
      <c r="G131" s="2713"/>
      <c r="H131" s="2717" t="str">
        <f>'Part I-Project Information'!H125</f>
        <v>Yes</v>
      </c>
      <c r="I131" s="2713"/>
      <c r="J131" s="2713"/>
      <c r="K131" s="2713"/>
      <c r="L131" s="2713"/>
      <c r="M131" s="2717"/>
      <c r="N131" s="2713"/>
      <c r="O131" s="2713"/>
      <c r="P131" s="2732"/>
    </row>
    <row r="132" spans="1:16">
      <c r="A132" s="2759"/>
      <c r="B132" s="2712"/>
      <c r="C132" s="2763"/>
      <c r="D132" s="2763"/>
      <c r="E132" s="2763"/>
      <c r="F132" s="2763"/>
      <c r="G132" s="2717"/>
      <c r="H132" s="2713"/>
      <c r="I132" s="2713"/>
      <c r="J132" s="2713"/>
      <c r="K132" s="2713"/>
      <c r="L132" s="2713"/>
      <c r="M132" s="2717"/>
      <c r="N132" s="2713"/>
      <c r="O132" s="2713"/>
      <c r="P132" s="2713"/>
    </row>
    <row r="133" spans="1:16">
      <c r="A133" s="2712"/>
      <c r="B133" s="2712" t="s">
        <v>2080</v>
      </c>
      <c r="C133" s="2714" t="s">
        <v>1797</v>
      </c>
      <c r="D133" s="2713"/>
      <c r="E133" s="2713"/>
      <c r="F133" s="2713"/>
      <c r="G133" s="2713"/>
      <c r="H133" s="2717" t="str">
        <f>'Part I-Project Information'!H127</f>
        <v>Yes</v>
      </c>
      <c r="I133" s="2713"/>
      <c r="J133" s="2713"/>
      <c r="K133" s="2713"/>
      <c r="L133" s="2713"/>
      <c r="M133" s="2717"/>
      <c r="N133" s="2713"/>
      <c r="O133" s="2713"/>
      <c r="P133" s="2732"/>
    </row>
    <row r="134" spans="1:16">
      <c r="A134" s="2712"/>
      <c r="B134" s="2712"/>
      <c r="C134" s="2730" t="s">
        <v>2540</v>
      </c>
      <c r="D134" s="2730"/>
      <c r="E134" s="2730"/>
      <c r="F134" s="2717"/>
      <c r="G134" s="2713"/>
      <c r="H134" s="2775">
        <f>'Part I-Project Information'!H128</f>
        <v>1993</v>
      </c>
      <c r="I134" s="2713"/>
      <c r="J134" s="2713"/>
      <c r="K134" s="2713"/>
      <c r="L134" s="2713"/>
      <c r="M134" s="2713"/>
      <c r="N134" s="2713"/>
      <c r="O134" s="2713"/>
      <c r="P134" s="2732"/>
    </row>
    <row r="135" spans="1:16">
      <c r="A135" s="2712"/>
      <c r="B135" s="2712"/>
      <c r="C135" s="2776" t="s">
        <v>1796</v>
      </c>
      <c r="D135" s="2721"/>
      <c r="E135" s="2713"/>
      <c r="F135" s="2713"/>
      <c r="G135" s="2713"/>
      <c r="H135" s="2728" t="str">
        <f>'Part I-Project Information'!H129</f>
        <v>93-005</v>
      </c>
      <c r="I135" s="2728"/>
      <c r="J135" s="2713"/>
      <c r="K135" s="2713"/>
      <c r="L135" s="2713"/>
      <c r="M135" s="2713"/>
      <c r="N135" s="2713"/>
      <c r="O135" s="2713"/>
      <c r="P135" s="2732"/>
    </row>
    <row r="136" spans="1:16">
      <c r="A136" s="2712"/>
      <c r="B136" s="2712"/>
      <c r="C136" s="2730" t="s">
        <v>2541</v>
      </c>
      <c r="D136" s="2730"/>
      <c r="E136" s="2730"/>
      <c r="F136" s="2717"/>
      <c r="G136" s="2713"/>
      <c r="H136" s="2775">
        <f>'Part I-Project Information'!H130</f>
        <v>1995</v>
      </c>
      <c r="I136" s="2713"/>
      <c r="J136" s="2713"/>
      <c r="K136" s="2719" t="s">
        <v>2353</v>
      </c>
      <c r="L136" s="2713"/>
      <c r="M136" s="2713"/>
      <c r="N136" s="2713"/>
      <c r="O136" s="2728" t="str">
        <f>'Part I-Project Information'!O130</f>
        <v>GA-93-00501</v>
      </c>
      <c r="P136" s="2728"/>
    </row>
    <row r="137" spans="1:16">
      <c r="A137" s="2712"/>
      <c r="B137" s="2712"/>
      <c r="C137" s="2730" t="s">
        <v>2539</v>
      </c>
      <c r="D137" s="2713"/>
      <c r="E137" s="2713"/>
      <c r="F137" s="2717"/>
      <c r="G137" s="2713"/>
      <c r="H137" s="2726" t="str">
        <f>'Part I-Project Information'!H131</f>
        <v>Yes</v>
      </c>
      <c r="I137" s="2713"/>
      <c r="J137" s="2713"/>
      <c r="K137" s="2719" t="s">
        <v>2354</v>
      </c>
      <c r="L137" s="2713"/>
      <c r="M137" s="2713"/>
      <c r="N137" s="2713"/>
      <c r="O137" s="2728" t="str">
        <f>'Part I-Project Information'!O131</f>
        <v>GA-93-00506</v>
      </c>
      <c r="P137" s="2728"/>
    </row>
    <row r="138" spans="1:16">
      <c r="A138" s="2712"/>
      <c r="B138" s="2712"/>
      <c r="C138" s="2730" t="s">
        <v>2267</v>
      </c>
      <c r="D138" s="2730"/>
      <c r="E138" s="2730"/>
      <c r="F138" s="2717"/>
      <c r="G138" s="2713"/>
      <c r="H138" s="2770">
        <f>'Part I-Project Information'!H132</f>
        <v>40310</v>
      </c>
      <c r="I138" s="2770"/>
      <c r="J138" s="2713"/>
      <c r="K138" s="2713"/>
      <c r="L138" s="2713"/>
      <c r="M138" s="2713"/>
      <c r="N138" s="2713"/>
      <c r="O138" s="2713"/>
      <c r="P138" s="2732"/>
    </row>
    <row r="139" spans="1:16">
      <c r="A139" s="2712"/>
      <c r="B139" s="2712"/>
      <c r="C139" s="2730"/>
      <c r="D139" s="2730"/>
      <c r="E139" s="2730"/>
      <c r="F139" s="2717"/>
      <c r="G139" s="2713"/>
      <c r="H139" s="2713"/>
      <c r="I139" s="2713"/>
      <c r="J139" s="2713"/>
      <c r="K139" s="2713"/>
      <c r="L139" s="2713"/>
      <c r="M139" s="2713"/>
      <c r="N139" s="2713"/>
      <c r="O139" s="2713"/>
      <c r="P139" s="2732"/>
    </row>
    <row r="140" spans="1:16">
      <c r="A140" s="2712"/>
      <c r="B140" s="2712" t="s">
        <v>2083</v>
      </c>
      <c r="C140" s="2763" t="s">
        <v>2612</v>
      </c>
      <c r="D140" s="2730"/>
      <c r="E140" s="2730"/>
      <c r="F140" s="2717"/>
      <c r="G140" s="2713"/>
      <c r="H140" s="2717" t="str">
        <f>'Part I-Project Information'!H134</f>
        <v>No</v>
      </c>
      <c r="I140" s="2713"/>
      <c r="J140" s="2713"/>
      <c r="K140" s="2713"/>
      <c r="L140" s="2713"/>
      <c r="M140" s="2713"/>
      <c r="N140" s="2713"/>
      <c r="O140" s="2713"/>
      <c r="P140" s="2732"/>
    </row>
    <row r="141" spans="1:16">
      <c r="A141" s="2712"/>
      <c r="B141" s="2712"/>
      <c r="C141" s="2730"/>
      <c r="D141" s="2730"/>
      <c r="E141" s="2730"/>
      <c r="F141" s="2717"/>
      <c r="G141" s="2717"/>
      <c r="H141" s="2713"/>
      <c r="I141" s="2713"/>
      <c r="J141" s="2713"/>
      <c r="K141" s="2713"/>
      <c r="L141" s="2713"/>
      <c r="M141" s="2717"/>
      <c r="N141" s="2713"/>
      <c r="O141" s="2713"/>
      <c r="P141" s="2732"/>
    </row>
    <row r="142" spans="1:16">
      <c r="A142" s="2712"/>
      <c r="B142" s="2712" t="s">
        <v>788</v>
      </c>
      <c r="C142" s="2763" t="s">
        <v>2863</v>
      </c>
      <c r="D142" s="2730"/>
      <c r="E142" s="2730"/>
      <c r="F142" s="2717"/>
      <c r="G142" s="2717"/>
      <c r="H142" s="2713"/>
      <c r="I142" s="2713"/>
      <c r="J142" s="2713"/>
      <c r="K142" s="2713"/>
      <c r="L142" s="2713"/>
      <c r="M142" s="2713"/>
      <c r="N142" s="2713"/>
      <c r="O142" s="2713"/>
      <c r="P142" s="2732"/>
    </row>
    <row r="143" spans="1:16">
      <c r="A143" s="2712"/>
      <c r="B143" s="2712"/>
      <c r="C143" s="2730" t="s">
        <v>4578</v>
      </c>
      <c r="D143" s="2730"/>
      <c r="E143" s="2730"/>
      <c r="F143" s="2717"/>
      <c r="G143" s="2717"/>
      <c r="H143" s="2717" t="str">
        <f>'Part I-Project Information'!H137</f>
        <v>No</v>
      </c>
      <c r="I143" s="2713"/>
      <c r="J143" s="2713"/>
      <c r="K143" s="2730" t="s">
        <v>1610</v>
      </c>
      <c r="L143" s="2730"/>
      <c r="M143" s="2717"/>
      <c r="N143" s="2717"/>
      <c r="O143" s="2717" t="str">
        <f>'Part I-Project Information'!O137</f>
        <v>No</v>
      </c>
      <c r="P143" s="2732"/>
    </row>
    <row r="144" spans="1:16">
      <c r="A144" s="2712"/>
      <c r="B144" s="2712"/>
      <c r="C144" s="2730"/>
      <c r="D144" s="2730"/>
      <c r="E144" s="2730"/>
      <c r="F144" s="2717"/>
      <c r="G144" s="2717"/>
      <c r="H144" s="2717"/>
      <c r="I144" s="2717"/>
      <c r="J144" s="2726"/>
      <c r="K144" s="2717"/>
      <c r="L144" s="2717"/>
      <c r="M144" s="2713"/>
      <c r="N144" s="2713"/>
      <c r="O144" s="2713"/>
      <c r="P144" s="2732"/>
    </row>
    <row r="145" spans="1:16">
      <c r="A145" s="2759" t="s">
        <v>1812</v>
      </c>
      <c r="B145" s="2762" t="s">
        <v>1245</v>
      </c>
      <c r="C145" s="2713"/>
      <c r="D145" s="2762"/>
      <c r="E145" s="2762"/>
      <c r="F145" s="2762"/>
      <c r="G145" s="2717"/>
      <c r="H145" s="2717"/>
      <c r="I145" s="2717"/>
      <c r="J145" s="2726"/>
      <c r="K145" s="2717"/>
      <c r="L145" s="2717"/>
      <c r="M145" s="2713"/>
      <c r="N145" s="2713"/>
      <c r="O145" s="2713"/>
      <c r="P145" s="2732"/>
    </row>
    <row r="146" spans="1:16">
      <c r="A146" s="2759"/>
      <c r="B146" s="2712"/>
      <c r="C146" s="2763"/>
      <c r="D146" s="2763"/>
      <c r="E146" s="2763"/>
      <c r="F146" s="2763"/>
      <c r="G146" s="2717"/>
      <c r="H146" s="2717"/>
      <c r="I146" s="2717"/>
      <c r="J146" s="2726"/>
      <c r="K146" s="2717"/>
      <c r="L146" s="2717"/>
      <c r="M146" s="2713"/>
      <c r="N146" s="2713"/>
      <c r="O146" s="2713"/>
      <c r="P146" s="2713"/>
    </row>
    <row r="147" spans="1:16">
      <c r="A147" s="2712"/>
      <c r="B147" s="2712" t="s">
        <v>2080</v>
      </c>
      <c r="C147" s="2750" t="s">
        <v>1913</v>
      </c>
      <c r="D147" s="2713"/>
      <c r="E147" s="2713"/>
      <c r="F147" s="2717"/>
      <c r="G147" s="2717"/>
      <c r="H147" s="2717"/>
      <c r="I147" s="2717"/>
      <c r="J147" s="2726"/>
      <c r="K147" s="2717"/>
      <c r="L147" s="2717"/>
      <c r="M147" s="2713"/>
      <c r="N147" s="2713"/>
      <c r="O147" s="2713"/>
      <c r="P147" s="2732"/>
    </row>
    <row r="148" spans="1:16">
      <c r="A148" s="2712"/>
      <c r="B148" s="2712"/>
      <c r="C148" s="2761" t="s">
        <v>1602</v>
      </c>
      <c r="D148" s="2726"/>
      <c r="E148" s="2726"/>
      <c r="F148" s="2717"/>
      <c r="G148" s="2717"/>
      <c r="H148" s="2717"/>
      <c r="I148" s="2717"/>
      <c r="J148" s="2713"/>
      <c r="K148" s="2717" t="str">
        <f>'Part I-Project Information'!K142</f>
        <v>No</v>
      </c>
      <c r="L148" s="2713"/>
      <c r="M148" s="2713"/>
      <c r="N148" s="2713"/>
      <c r="O148" s="2713"/>
      <c r="P148" s="2732"/>
    </row>
    <row r="149" spans="1:16">
      <c r="A149" s="2712"/>
      <c r="B149" s="2712"/>
      <c r="C149" s="2713" t="s">
        <v>645</v>
      </c>
      <c r="D149" s="2713"/>
      <c r="E149" s="2713"/>
      <c r="F149" s="2713"/>
      <c r="G149" s="2713"/>
      <c r="H149" s="2713"/>
      <c r="I149" s="2713"/>
      <c r="J149" s="2713"/>
      <c r="K149" s="2760">
        <f>'Part I-Project Information'!K143</f>
        <v>0</v>
      </c>
      <c r="L149" s="2721" t="s">
        <v>1882</v>
      </c>
      <c r="M149" s="2713"/>
      <c r="N149" s="2713"/>
      <c r="O149" s="2713"/>
      <c r="P149" s="2777">
        <f>'Part I-Project Information'!P143</f>
        <v>0</v>
      </c>
    </row>
    <row r="150" spans="1:16">
      <c r="A150" s="2712"/>
      <c r="B150" s="2712"/>
      <c r="C150" s="2713" t="s">
        <v>2268</v>
      </c>
      <c r="D150" s="2713"/>
      <c r="E150" s="2713"/>
      <c r="F150" s="2713"/>
      <c r="G150" s="2713"/>
      <c r="H150" s="2713"/>
      <c r="I150" s="2713"/>
      <c r="J150" s="2713"/>
      <c r="K150" s="2760">
        <f>'Part I-Project Information'!K144</f>
        <v>0</v>
      </c>
      <c r="L150" s="2721" t="s">
        <v>1882</v>
      </c>
      <c r="M150" s="2713"/>
      <c r="N150" s="2713"/>
      <c r="O150" s="2713"/>
      <c r="P150" s="2777">
        <f>'Part I-Project Information'!P144</f>
        <v>0</v>
      </c>
    </row>
    <row r="151" spans="1:16">
      <c r="A151" s="2712"/>
      <c r="B151" s="2712"/>
      <c r="C151" s="2713" t="s">
        <v>1883</v>
      </c>
      <c r="D151" s="2713"/>
      <c r="E151" s="2728">
        <f>'Part I-Project Information'!E145</f>
        <v>0</v>
      </c>
      <c r="F151" s="2728"/>
      <c r="G151" s="2728"/>
      <c r="H151" s="2728"/>
      <c r="I151" s="2728"/>
      <c r="J151" s="2728"/>
      <c r="K151" s="2728"/>
      <c r="L151" s="2721" t="s">
        <v>1884</v>
      </c>
      <c r="M151" s="2728">
        <f>'Part I-Project Information'!M145</f>
        <v>0</v>
      </c>
      <c r="N151" s="2728"/>
      <c r="O151" s="2728"/>
      <c r="P151" s="2728"/>
    </row>
    <row r="152" spans="1:16">
      <c r="A152" s="2712"/>
      <c r="B152" s="2712"/>
      <c r="C152" s="2721" t="s">
        <v>1885</v>
      </c>
      <c r="D152" s="2724"/>
      <c r="E152" s="2728">
        <f>'Part I-Project Information'!E146</f>
        <v>0</v>
      </c>
      <c r="F152" s="2728"/>
      <c r="G152" s="2728"/>
      <c r="H152" s="2728"/>
      <c r="I152" s="2728"/>
      <c r="J152" s="2728"/>
      <c r="K152" s="2728"/>
      <c r="L152" s="2721" t="s">
        <v>1887</v>
      </c>
      <c r="M152" s="2728">
        <f>'Part I-Project Information'!M146</f>
        <v>0</v>
      </c>
      <c r="N152" s="2728"/>
      <c r="O152" s="2728"/>
      <c r="P152" s="2728"/>
    </row>
    <row r="153" spans="1:16">
      <c r="A153" s="2712"/>
      <c r="B153" s="2712"/>
      <c r="C153" s="2721" t="s">
        <v>648</v>
      </c>
      <c r="D153" s="2713"/>
      <c r="E153" s="2728">
        <f>'Part I-Project Information'!E147</f>
        <v>0</v>
      </c>
      <c r="F153" s="2728"/>
      <c r="G153" s="2728"/>
      <c r="H153" s="2728"/>
      <c r="I153" s="2717" t="s">
        <v>2335</v>
      </c>
      <c r="J153" s="2731">
        <f>'Part I-Project Information'!J147</f>
        <v>0</v>
      </c>
      <c r="K153" s="2731"/>
      <c r="L153" s="2721" t="s">
        <v>1890</v>
      </c>
      <c r="M153" s="2729">
        <f>'Part I-Project Information'!M147</f>
        <v>0</v>
      </c>
      <c r="N153" s="2729"/>
      <c r="O153" s="2729"/>
      <c r="P153" s="2713"/>
    </row>
    <row r="154" spans="1:16">
      <c r="A154" s="2712"/>
      <c r="B154" s="2712"/>
      <c r="C154" s="2721" t="s">
        <v>1888</v>
      </c>
      <c r="D154" s="2713"/>
      <c r="E154" s="2729">
        <f>'Part I-Project Information'!E148:G148</f>
        <v>0</v>
      </c>
      <c r="F154" s="2729"/>
      <c r="G154" s="2729"/>
      <c r="H154" s="2717" t="s">
        <v>1889</v>
      </c>
      <c r="I154" s="2729">
        <f>'Part I-Project Information'!I148</f>
        <v>0</v>
      </c>
      <c r="J154" s="2729"/>
      <c r="K154" s="2729"/>
      <c r="L154" s="2721" t="s">
        <v>2076</v>
      </c>
      <c r="M154" s="2729">
        <f>'Part I-Project Information'!M148</f>
        <v>0</v>
      </c>
      <c r="N154" s="2729"/>
      <c r="O154" s="2729"/>
      <c r="P154" s="2713"/>
    </row>
    <row r="155" spans="1:16">
      <c r="A155" s="2712"/>
      <c r="B155" s="2712"/>
      <c r="C155" s="2721"/>
      <c r="D155" s="2713"/>
      <c r="E155" s="2778"/>
      <c r="F155" s="2778"/>
      <c r="G155" s="2778"/>
      <c r="H155" s="2717"/>
      <c r="I155" s="2778"/>
      <c r="J155" s="2778"/>
      <c r="K155" s="2717"/>
      <c r="L155" s="2778"/>
      <c r="M155" s="2778"/>
      <c r="N155" s="2717"/>
      <c r="O155" s="2778"/>
      <c r="P155" s="2778"/>
    </row>
    <row r="156" spans="1:16">
      <c r="A156" s="2712"/>
      <c r="B156" s="2712" t="s">
        <v>2083</v>
      </c>
      <c r="C156" s="2763" t="s">
        <v>2871</v>
      </c>
      <c r="D156" s="2763"/>
      <c r="E156" s="2763"/>
      <c r="F156" s="2763"/>
      <c r="G156" s="2763"/>
      <c r="H156" s="2713"/>
      <c r="I156" s="2717" t="str">
        <f>'Part I-Project Information'!I150</f>
        <v>Yes</v>
      </c>
      <c r="J156" s="2742" t="s">
        <v>801</v>
      </c>
      <c r="K156" s="2742"/>
      <c r="L156" s="2726">
        <f>'Part I-Project Information'!L150</f>
        <v>2045</v>
      </c>
      <c r="M156" s="2727" t="s">
        <v>2434</v>
      </c>
      <c r="N156" s="2727"/>
      <c r="O156" s="2727"/>
      <c r="P156" s="2775">
        <f>'Part I-Project Information'!P150</f>
        <v>5</v>
      </c>
    </row>
    <row r="157" spans="1:16">
      <c r="A157" s="2712"/>
      <c r="B157" s="2712"/>
      <c r="C157" s="2763"/>
      <c r="D157" s="2763"/>
      <c r="E157" s="2716"/>
      <c r="F157" s="2763"/>
      <c r="G157" s="2763"/>
      <c r="H157" s="2713"/>
      <c r="I157" s="2713"/>
      <c r="J157" s="2719"/>
      <c r="K157" s="2726"/>
      <c r="L157" s="2713"/>
      <c r="M157" s="2713"/>
      <c r="N157" s="2713"/>
      <c r="O157" s="2717"/>
      <c r="P157" s="2732"/>
    </row>
    <row r="158" spans="1:16">
      <c r="A158" s="2712"/>
      <c r="B158" s="2712"/>
      <c r="C158" s="2763" t="s">
        <v>2872</v>
      </c>
      <c r="D158" s="2763"/>
      <c r="E158" s="2763"/>
      <c r="F158" s="2763"/>
      <c r="G158" s="2763"/>
      <c r="H158" s="2713"/>
      <c r="I158" s="2717">
        <f>'Part I-Project Information'!I152</f>
        <v>0</v>
      </c>
      <c r="J158" s="2742" t="s">
        <v>801</v>
      </c>
      <c r="K158" s="2742"/>
      <c r="L158" s="2726">
        <f>'Part I-Project Information'!L152</f>
        <v>0</v>
      </c>
      <c r="M158" s="2727" t="s">
        <v>2434</v>
      </c>
      <c r="N158" s="2727"/>
      <c r="O158" s="2727"/>
      <c r="P158" s="2775">
        <f>'Part I-Project Information'!P152</f>
        <v>5</v>
      </c>
    </row>
    <row r="159" spans="1:16">
      <c r="A159" s="2712"/>
      <c r="B159" s="2712"/>
      <c r="C159" s="2763"/>
      <c r="D159" s="2763"/>
      <c r="E159" s="2716"/>
      <c r="F159" s="2763"/>
      <c r="G159" s="2763"/>
      <c r="H159" s="2713"/>
      <c r="I159" s="2713"/>
      <c r="J159" s="2719"/>
      <c r="K159" s="2726"/>
      <c r="L159" s="2713"/>
      <c r="M159" s="2713"/>
      <c r="N159" s="2713"/>
      <c r="O159" s="2717"/>
      <c r="P159" s="2732"/>
    </row>
    <row r="160" spans="1:16">
      <c r="A160" s="2712"/>
      <c r="B160" s="2712" t="s">
        <v>788</v>
      </c>
      <c r="C160" s="2763" t="s">
        <v>1844</v>
      </c>
      <c r="D160" s="2763"/>
      <c r="E160" s="2763"/>
      <c r="F160" s="2763"/>
      <c r="G160" s="2763"/>
      <c r="H160" s="2713"/>
      <c r="I160" s="2717" t="str">
        <f>'Part I-Project Information'!I154</f>
        <v>No</v>
      </c>
      <c r="J160" s="2713"/>
      <c r="K160" s="2713"/>
      <c r="L160" s="2719"/>
      <c r="M160" s="2719"/>
      <c r="N160" s="2713"/>
      <c r="O160" s="2713"/>
      <c r="P160" s="2732"/>
    </row>
    <row r="161" spans="1:16">
      <c r="A161" s="2712"/>
      <c r="B161" s="2712"/>
      <c r="C161" s="2721"/>
      <c r="D161" s="2713"/>
      <c r="E161" s="2778"/>
      <c r="F161" s="2778"/>
      <c r="G161" s="2778"/>
      <c r="H161" s="2713"/>
      <c r="I161" s="2778"/>
      <c r="J161" s="2778"/>
      <c r="K161" s="2717"/>
      <c r="L161" s="2778"/>
      <c r="M161" s="2778"/>
      <c r="N161" s="2717"/>
      <c r="O161" s="2778"/>
      <c r="P161" s="2778"/>
    </row>
    <row r="162" spans="1:16">
      <c r="A162" s="2712"/>
      <c r="B162" s="2712" t="s">
        <v>2215</v>
      </c>
      <c r="C162" s="2779" t="s">
        <v>2075</v>
      </c>
      <c r="D162" s="2779"/>
      <c r="E162" s="2779"/>
      <c r="F162" s="2779"/>
      <c r="G162" s="2763"/>
      <c r="H162" s="2713"/>
      <c r="I162" s="2717" t="str">
        <f>'Part I-Project Information'!I156</f>
        <v>Yes</v>
      </c>
      <c r="J162" s="2780" t="s">
        <v>3017</v>
      </c>
      <c r="K162" s="2713"/>
      <c r="L162" s="2764" t="s">
        <v>1550</v>
      </c>
      <c r="M162" s="2764"/>
      <c r="N162" s="2763"/>
      <c r="O162" s="2763"/>
      <c r="P162" s="2781">
        <f>'Part I-Project Information'!P156</f>
        <v>42</v>
      </c>
    </row>
    <row r="163" spans="1:16">
      <c r="A163" s="2713"/>
      <c r="B163" s="2712"/>
      <c r="C163" s="2713"/>
      <c r="D163" s="2713"/>
      <c r="E163" s="2713"/>
      <c r="F163" s="2713"/>
      <c r="G163" s="2713"/>
      <c r="H163" s="2713"/>
      <c r="I163" s="2713"/>
      <c r="J163" s="2713"/>
      <c r="K163" s="2713"/>
      <c r="L163" s="2728" t="s">
        <v>838</v>
      </c>
      <c r="M163" s="2728"/>
      <c r="N163" s="2763"/>
      <c r="O163" s="2763"/>
      <c r="P163" s="2781">
        <f>'Part I-Project Information'!P157</f>
        <v>41</v>
      </c>
    </row>
    <row r="164" spans="1:16">
      <c r="A164" s="2712"/>
      <c r="B164" s="2712"/>
      <c r="C164" s="2713"/>
      <c r="D164" s="2713"/>
      <c r="E164" s="2713"/>
      <c r="F164" s="2713"/>
      <c r="G164" s="2713"/>
      <c r="H164" s="2713"/>
      <c r="I164" s="2713"/>
      <c r="J164" s="2713"/>
      <c r="K164" s="2713"/>
      <c r="L164" s="2728" t="s">
        <v>1878</v>
      </c>
      <c r="M164" s="2728"/>
      <c r="N164" s="2763"/>
      <c r="O164" s="2763"/>
      <c r="P164" s="2782">
        <f>IF(P162="","",P163/P162)</f>
        <v>0.97619047619047616</v>
      </c>
    </row>
    <row r="165" spans="1:16">
      <c r="A165" s="2712"/>
      <c r="B165" s="2712" t="s">
        <v>1822</v>
      </c>
      <c r="C165" s="2714" t="s">
        <v>1686</v>
      </c>
      <c r="D165" s="2730"/>
      <c r="E165" s="2730"/>
      <c r="F165" s="2730"/>
      <c r="G165" s="2730"/>
      <c r="H165" s="2717"/>
      <c r="I165" s="2713"/>
      <c r="J165" s="2719"/>
      <c r="K165" s="2726"/>
      <c r="L165" s="2713"/>
      <c r="M165" s="2713"/>
      <c r="N165" s="2713"/>
      <c r="O165" s="2717"/>
      <c r="P165" s="2732"/>
    </row>
    <row r="166" spans="1:16">
      <c r="A166" s="2712"/>
      <c r="B166" s="2712"/>
      <c r="C166" s="2713" t="s">
        <v>2316</v>
      </c>
      <c r="D166" s="2716"/>
      <c r="E166" s="2713"/>
      <c r="F166" s="2713"/>
      <c r="G166" s="2713"/>
      <c r="H166" s="2713"/>
      <c r="I166" s="2717" t="str">
        <f>'Part I-Project Information'!I160</f>
        <v>No</v>
      </c>
      <c r="J166" s="2713"/>
      <c r="K166" s="2713"/>
      <c r="L166" s="2713" t="s">
        <v>1687</v>
      </c>
      <c r="M166" s="2713"/>
      <c r="N166" s="2713"/>
      <c r="O166" s="2713"/>
      <c r="P166" s="2717" t="str">
        <f>'Part I-Project Information'!P160</f>
        <v>No</v>
      </c>
    </row>
    <row r="167" spans="1:16">
      <c r="A167" s="2712"/>
      <c r="B167" s="2712"/>
      <c r="C167" s="2713" t="s">
        <v>2318</v>
      </c>
      <c r="D167" s="2713"/>
      <c r="E167" s="2713"/>
      <c r="F167" s="2713"/>
      <c r="G167" s="2713"/>
      <c r="H167" s="2713"/>
      <c r="I167" s="2717" t="str">
        <f>'Part I-Project Information'!I161</f>
        <v>No</v>
      </c>
      <c r="J167" s="2713"/>
      <c r="K167" s="2713"/>
      <c r="L167" s="2713" t="s">
        <v>3186</v>
      </c>
      <c r="M167" s="2713"/>
      <c r="N167" s="2713"/>
      <c r="O167" s="2713"/>
      <c r="P167" s="2717" t="str">
        <f>'Part I-Project Information'!P161</f>
        <v>No</v>
      </c>
    </row>
    <row r="168" spans="1:16" ht="13.5">
      <c r="A168" s="2712"/>
      <c r="B168" s="2713"/>
      <c r="C168" s="2713" t="s">
        <v>2895</v>
      </c>
      <c r="D168" s="2713"/>
      <c r="E168" s="2713"/>
      <c r="F168" s="2713"/>
      <c r="G168" s="2713"/>
      <c r="H168" s="2713"/>
      <c r="I168" s="2717" t="str">
        <f>'Part I-Project Information'!I162</f>
        <v>No</v>
      </c>
      <c r="J168" s="2713"/>
      <c r="K168" s="2713"/>
      <c r="L168" s="2713" t="s">
        <v>2848</v>
      </c>
      <c r="M168" s="2713"/>
      <c r="N168" s="2783">
        <f>'Part I-Project Information'!N162</f>
        <v>0</v>
      </c>
      <c r="O168" s="2783"/>
      <c r="P168" s="2717" t="str">
        <f>'Part I-Project Information'!P162</f>
        <v>No</v>
      </c>
    </row>
    <row r="169" spans="1:16" ht="13.5">
      <c r="A169" s="2712"/>
      <c r="B169" s="2712"/>
      <c r="C169" s="2713" t="s">
        <v>1346</v>
      </c>
      <c r="D169" s="2784"/>
      <c r="E169" s="2713"/>
      <c r="F169" s="2713"/>
      <c r="G169" s="2713"/>
      <c r="H169" s="2713"/>
      <c r="I169" s="2717" t="str">
        <f>'Part I-Project Information'!I163</f>
        <v>No</v>
      </c>
      <c r="J169" s="2713"/>
      <c r="K169" s="2716"/>
      <c r="L169" s="2713" t="s">
        <v>4224</v>
      </c>
      <c r="M169" s="2713"/>
      <c r="N169" s="2713"/>
      <c r="O169" s="2713"/>
      <c r="P169" s="2717" t="str">
        <f>'Part I-Project Information'!P163</f>
        <v>No</v>
      </c>
    </row>
    <row r="170" spans="1:16">
      <c r="A170" s="2712"/>
      <c r="B170" s="2716"/>
      <c r="C170" s="2713" t="s">
        <v>1897</v>
      </c>
      <c r="D170" s="2713"/>
      <c r="E170" s="2713"/>
      <c r="F170" s="2713"/>
      <c r="G170" s="2713"/>
      <c r="H170" s="2713"/>
      <c r="I170" s="2717" t="str">
        <f>'Part I-Project Information'!I164</f>
        <v>No</v>
      </c>
      <c r="J170" s="2780" t="s">
        <v>3018</v>
      </c>
      <c r="K170" s="2713"/>
      <c r="L170" s="2713"/>
      <c r="M170" s="2713"/>
      <c r="N170" s="2713"/>
      <c r="O170" s="2785">
        <f>'Part I-Project Information'!O164</f>
        <v>0</v>
      </c>
      <c r="P170" s="2785"/>
    </row>
    <row r="171" spans="1:16">
      <c r="A171" s="2712"/>
      <c r="B171" s="2712"/>
      <c r="C171" s="2713" t="s">
        <v>3297</v>
      </c>
      <c r="D171" s="2713"/>
      <c r="E171" s="2713"/>
      <c r="F171" s="2713"/>
      <c r="G171" s="2713"/>
      <c r="H171" s="2713"/>
      <c r="I171" s="2717" t="str">
        <f>'Part I-Project Information'!I165</f>
        <v>No</v>
      </c>
      <c r="J171" s="2780" t="s">
        <v>3018</v>
      </c>
      <c r="K171" s="2713"/>
      <c r="L171" s="2713"/>
      <c r="M171" s="2713"/>
      <c r="N171" s="2713"/>
      <c r="O171" s="2785">
        <f>'Part I-Project Information'!O165</f>
        <v>0</v>
      </c>
      <c r="P171" s="2785"/>
    </row>
    <row r="172" spans="1:16">
      <c r="A172" s="2712"/>
      <c r="B172" s="2712"/>
      <c r="C172" s="2713" t="s">
        <v>3298</v>
      </c>
      <c r="D172" s="2713"/>
      <c r="E172" s="2713"/>
      <c r="F172" s="2713"/>
      <c r="G172" s="2713"/>
      <c r="H172" s="2713"/>
      <c r="I172" s="2717" t="str">
        <f>'Part I-Project Information'!I166</f>
        <v>No</v>
      </c>
      <c r="J172" s="2780" t="s">
        <v>3018</v>
      </c>
      <c r="K172" s="2713"/>
      <c r="L172" s="2713"/>
      <c r="M172" s="2713"/>
      <c r="N172" s="2713"/>
      <c r="O172" s="2785">
        <f>'Part I-Project Information'!O166</f>
        <v>0</v>
      </c>
      <c r="P172" s="2785"/>
    </row>
    <row r="173" spans="1:16">
      <c r="A173" s="2712"/>
      <c r="B173" s="2712"/>
      <c r="C173" s="2713"/>
      <c r="D173" s="2713"/>
      <c r="E173" s="2713"/>
      <c r="F173" s="2713"/>
      <c r="G173" s="2713"/>
      <c r="H173" s="2713"/>
      <c r="I173" s="2713"/>
      <c r="J173" s="2713"/>
      <c r="K173" s="2713"/>
      <c r="L173" s="2713"/>
      <c r="M173" s="2713"/>
      <c r="N173" s="2713"/>
      <c r="O173" s="2713"/>
      <c r="P173" s="2719"/>
    </row>
    <row r="174" spans="1:16">
      <c r="A174" s="2713"/>
      <c r="B174" s="2712" t="s">
        <v>1823</v>
      </c>
      <c r="C174" s="2714" t="s">
        <v>778</v>
      </c>
      <c r="D174" s="2713"/>
      <c r="E174" s="2713"/>
      <c r="F174" s="2713"/>
      <c r="G174" s="2713"/>
      <c r="H174" s="2713"/>
      <c r="I174" s="2713"/>
      <c r="J174" s="2713"/>
      <c r="K174" s="2713"/>
      <c r="L174" s="2713"/>
      <c r="M174" s="2713"/>
      <c r="N174" s="2713"/>
      <c r="O174" s="2713"/>
      <c r="P174" s="2713"/>
    </row>
    <row r="175" spans="1:16">
      <c r="A175" s="2712"/>
      <c r="B175" s="2712"/>
      <c r="C175" s="2721" t="s">
        <v>669</v>
      </c>
      <c r="D175" s="2730"/>
      <c r="E175" s="2730"/>
      <c r="F175" s="2717"/>
      <c r="G175" s="2717"/>
      <c r="H175" s="2770">
        <f>'Part I-Project Information'!H169</f>
        <v>42444</v>
      </c>
      <c r="I175" s="2770"/>
      <c r="J175" s="2713"/>
      <c r="K175" s="2713"/>
      <c r="L175" s="2713"/>
      <c r="M175" s="2713"/>
      <c r="N175" s="2713"/>
      <c r="O175" s="2713"/>
      <c r="P175" s="2732"/>
    </row>
    <row r="176" spans="1:16">
      <c r="A176" s="2712"/>
      <c r="B176" s="2712"/>
      <c r="C176" s="2721" t="s">
        <v>288</v>
      </c>
      <c r="D176" s="2730"/>
      <c r="E176" s="2730"/>
      <c r="F176" s="2717"/>
      <c r="G176" s="2717"/>
      <c r="H176" s="2770">
        <f>'Part I-Project Information'!H170</f>
        <v>42766</v>
      </c>
      <c r="I176" s="2770"/>
      <c r="J176" s="2713"/>
      <c r="K176" s="2713"/>
      <c r="L176" s="2713"/>
      <c r="M176" s="2713"/>
      <c r="N176" s="2713"/>
      <c r="O176" s="2713"/>
      <c r="P176" s="2732"/>
    </row>
    <row r="177" spans="1:19">
      <c r="A177" s="2712"/>
      <c r="B177" s="2712"/>
      <c r="C177" s="2721" t="s">
        <v>2403</v>
      </c>
      <c r="D177" s="2730"/>
      <c r="E177" s="2730"/>
      <c r="F177" s="2717"/>
      <c r="G177" s="2717"/>
      <c r="H177" s="2770">
        <f>'Part I-Project Information'!H171</f>
        <v>0</v>
      </c>
      <c r="I177" s="2770"/>
      <c r="J177" s="2713"/>
      <c r="K177" s="2713"/>
      <c r="L177" s="2713"/>
      <c r="M177" s="2713"/>
      <c r="N177" s="2713"/>
      <c r="O177" s="2713"/>
      <c r="P177" s="2732"/>
    </row>
    <row r="178" spans="1:19">
      <c r="A178" s="2713"/>
      <c r="B178" s="2716"/>
      <c r="C178" s="2713"/>
      <c r="D178" s="2713"/>
      <c r="E178" s="2713"/>
      <c r="F178" s="2713"/>
      <c r="G178" s="2713"/>
      <c r="H178" s="2713"/>
      <c r="I178" s="2713"/>
      <c r="J178" s="2713"/>
      <c r="K178" s="2713"/>
      <c r="L178" s="2719"/>
      <c r="M178" s="2719"/>
      <c r="N178" s="2719"/>
      <c r="O178" s="2719"/>
      <c r="P178" s="2724"/>
    </row>
    <row r="179" spans="1:19">
      <c r="A179" s="2759" t="s">
        <v>3088</v>
      </c>
      <c r="B179" s="2762"/>
      <c r="C179" s="2759" t="s">
        <v>598</v>
      </c>
      <c r="D179" s="2719"/>
      <c r="E179" s="2719"/>
      <c r="F179" s="2719"/>
      <c r="G179" s="2719"/>
      <c r="H179" s="2719"/>
      <c r="I179" s="2719"/>
      <c r="J179" s="2719"/>
      <c r="K179" s="2759" t="s">
        <v>2359</v>
      </c>
      <c r="L179" s="2759" t="s">
        <v>81</v>
      </c>
      <c r="M179" s="2719"/>
      <c r="N179" s="2719"/>
      <c r="O179" s="2719"/>
      <c r="P179" s="2719"/>
    </row>
    <row r="180" spans="1:19" ht="13.5">
      <c r="A180" s="2786">
        <f>'Part I-Project Information'!A174</f>
        <v>0</v>
      </c>
      <c r="B180" s="2786"/>
      <c r="C180" s="2786"/>
      <c r="D180" s="2786"/>
      <c r="E180" s="2786"/>
      <c r="F180" s="2786"/>
      <c r="G180" s="2786"/>
      <c r="H180" s="2786"/>
      <c r="I180" s="2786"/>
      <c r="J180" s="2786"/>
      <c r="K180" s="2786">
        <f>'Part I-Project Information'!K174</f>
        <v>0</v>
      </c>
      <c r="L180" s="2786"/>
      <c r="M180" s="2786"/>
      <c r="N180" s="2786"/>
      <c r="O180" s="2786"/>
      <c r="P180" s="2786"/>
    </row>
    <row r="183" spans="1:19">
      <c r="A183" s="2711" t="str">
        <f>'Part II-Development Team'!A1</f>
        <v>PART TWO - DEVELOPMENT TEAM INFORMATION  -  2015-026 Arbor Trace Apartments Phase II, Lake Park, Lowndes County</v>
      </c>
      <c r="B183" s="2711"/>
      <c r="C183" s="2711"/>
      <c r="D183" s="2711"/>
      <c r="E183" s="2711"/>
      <c r="F183" s="2711"/>
      <c r="G183" s="2711"/>
      <c r="H183" s="2711"/>
      <c r="I183" s="2711"/>
      <c r="J183" s="2711"/>
      <c r="K183" s="2711"/>
      <c r="L183" s="2711"/>
      <c r="M183" s="2711"/>
      <c r="N183" s="2711"/>
      <c r="O183" s="2711"/>
      <c r="P183" s="2711"/>
      <c r="Q183" s="2711"/>
      <c r="R183" s="2711"/>
      <c r="S183" s="2711"/>
    </row>
    <row r="184" spans="1:19">
      <c r="A184" s="2719"/>
      <c r="B184" s="2719"/>
      <c r="C184" s="2719"/>
      <c r="D184" s="2719"/>
      <c r="E184" s="2719"/>
      <c r="F184" s="2719"/>
      <c r="G184" s="2719"/>
      <c r="H184" s="2719"/>
      <c r="I184" s="2719"/>
      <c r="J184" s="2719"/>
      <c r="K184" s="2719"/>
      <c r="L184" s="2719"/>
      <c r="M184" s="2719"/>
      <c r="N184" s="2719"/>
      <c r="O184" s="2719"/>
      <c r="P184" s="2719"/>
      <c r="Q184" s="2719"/>
      <c r="R184" s="2719"/>
      <c r="S184" s="2719"/>
    </row>
    <row r="185" spans="1:19">
      <c r="A185" s="2716" t="s">
        <v>646</v>
      </c>
      <c r="B185" s="2714" t="s">
        <v>1950</v>
      </c>
      <c r="C185" s="2714"/>
      <c r="D185" s="2713"/>
      <c r="E185" s="2714"/>
      <c r="F185" s="2714"/>
      <c r="G185" s="2714"/>
      <c r="H185" s="2714" t="s">
        <v>4020</v>
      </c>
      <c r="I185" s="2714"/>
      <c r="J185" s="2714"/>
      <c r="K185" s="2714"/>
      <c r="L185" s="2714"/>
      <c r="M185" s="2714"/>
      <c r="N185" s="2713"/>
      <c r="O185" s="2713"/>
      <c r="P185" s="2713"/>
      <c r="Q185" s="2713"/>
      <c r="R185" s="2713"/>
      <c r="S185" s="2713"/>
    </row>
    <row r="186" spans="1:19">
      <c r="A186" s="2716"/>
      <c r="B186" s="2716"/>
      <c r="C186" s="2716"/>
      <c r="D186" s="2714"/>
      <c r="E186" s="2714"/>
      <c r="F186" s="2714"/>
      <c r="G186" s="2714"/>
      <c r="H186" s="2714"/>
      <c r="I186" s="2714"/>
      <c r="J186" s="2714"/>
      <c r="K186" s="2713"/>
      <c r="L186" s="2713"/>
      <c r="M186" s="2713"/>
      <c r="N186" s="2713"/>
      <c r="O186" s="2713"/>
      <c r="P186" s="2713"/>
      <c r="Q186" s="2713"/>
      <c r="R186" s="2713"/>
      <c r="S186" s="2713"/>
    </row>
    <row r="187" spans="1:19">
      <c r="A187" s="2713"/>
      <c r="B187" s="2716" t="s">
        <v>2080</v>
      </c>
      <c r="C187" s="2714" t="s">
        <v>1946</v>
      </c>
      <c r="D187" s="2713"/>
      <c r="E187" s="2713"/>
      <c r="F187" s="2713"/>
      <c r="G187" s="2713"/>
      <c r="H187" s="2728" t="str">
        <f>'Part II-Development Team'!H5</f>
        <v>Arbor Trace II Lake Park, LP</v>
      </c>
      <c r="I187" s="2771"/>
      <c r="J187" s="2771"/>
      <c r="K187" s="2771"/>
      <c r="L187" s="2771"/>
      <c r="M187" s="2771"/>
      <c r="N187" s="2771"/>
      <c r="O187" s="2721" t="s">
        <v>2087</v>
      </c>
      <c r="P187" s="2721"/>
      <c r="Q187" s="2728" t="str">
        <f>'Part II-Development Team'!Q5</f>
        <v>David A. Brown</v>
      </c>
      <c r="R187" s="2771"/>
      <c r="S187" s="2771"/>
    </row>
    <row r="188" spans="1:19">
      <c r="A188" s="2713"/>
      <c r="B188" s="2713"/>
      <c r="C188" s="2713"/>
      <c r="D188" s="2787"/>
      <c r="E188" s="2721" t="s">
        <v>1070</v>
      </c>
      <c r="F188" s="2724"/>
      <c r="G188" s="2713"/>
      <c r="H188" s="2728" t="str">
        <f>'Part II-Development Team'!H6</f>
        <v>3548 North Crossing Circle</v>
      </c>
      <c r="I188" s="2771"/>
      <c r="J188" s="2771"/>
      <c r="K188" s="2771"/>
      <c r="L188" s="2771"/>
      <c r="M188" s="2771"/>
      <c r="N188" s="2771"/>
      <c r="O188" s="2721" t="s">
        <v>1834</v>
      </c>
      <c r="P188" s="2713"/>
      <c r="Q188" s="2728" t="str">
        <f>'Part II-Development Team'!Q6</f>
        <v>Managing Member</v>
      </c>
      <c r="R188" s="2771"/>
      <c r="S188" s="2771"/>
    </row>
    <row r="189" spans="1:19">
      <c r="A189" s="2713"/>
      <c r="B189" s="2713"/>
      <c r="C189" s="2713"/>
      <c r="D189" s="2787"/>
      <c r="E189" s="2721" t="s">
        <v>648</v>
      </c>
      <c r="F189" s="2713"/>
      <c r="G189" s="2713"/>
      <c r="H189" s="2728" t="str">
        <f>'Part II-Development Team'!H7</f>
        <v>Valdosta</v>
      </c>
      <c r="I189" s="2771"/>
      <c r="J189" s="2771"/>
      <c r="K189" s="2717" t="s">
        <v>802</v>
      </c>
      <c r="L189" s="2728">
        <f>'Part II-Development Team'!L7</f>
        <v>0</v>
      </c>
      <c r="M189" s="2771"/>
      <c r="N189" s="2771"/>
      <c r="O189" s="2721" t="s">
        <v>1890</v>
      </c>
      <c r="P189" s="2713"/>
      <c r="Q189" s="2729">
        <f>'Part II-Development Team'!Q7</f>
        <v>0</v>
      </c>
      <c r="R189" s="2729"/>
      <c r="S189" s="2729"/>
    </row>
    <row r="190" spans="1:19">
      <c r="A190" s="2713"/>
      <c r="B190" s="2713"/>
      <c r="C190" s="2713"/>
      <c r="D190" s="2787"/>
      <c r="E190" s="2721" t="s">
        <v>1886</v>
      </c>
      <c r="F190" s="2713"/>
      <c r="G190" s="2713"/>
      <c r="H190" s="2717" t="str">
        <f>'Part II-Development Team'!H8</f>
        <v>GA</v>
      </c>
      <c r="I190" s="2717" t="s">
        <v>4579</v>
      </c>
      <c r="J190" s="2731">
        <f>'Part II-Development Team'!J8</f>
        <v>316026408</v>
      </c>
      <c r="K190" s="2771"/>
      <c r="L190" s="2788"/>
      <c r="M190" s="2788"/>
      <c r="N190" s="2788"/>
      <c r="O190" s="2721" t="s">
        <v>2076</v>
      </c>
      <c r="P190" s="2713"/>
      <c r="Q190" s="2729">
        <f>'Part II-Development Team'!Q8</f>
        <v>2292921316</v>
      </c>
      <c r="R190" s="2729"/>
      <c r="S190" s="2729"/>
    </row>
    <row r="191" spans="1:19">
      <c r="A191" s="2713"/>
      <c r="B191" s="2713"/>
      <c r="C191" s="2713"/>
      <c r="D191" s="2787"/>
      <c r="E191" s="2721" t="s">
        <v>2082</v>
      </c>
      <c r="F191" s="2713"/>
      <c r="G191" s="2713"/>
      <c r="H191" s="2729">
        <f>'Part II-Development Team'!H9</f>
        <v>2292479956</v>
      </c>
      <c r="I191" s="2729"/>
      <c r="J191" s="2726">
        <f>'Part II-Development Team'!J9</f>
        <v>212</v>
      </c>
      <c r="K191" s="2717" t="s">
        <v>1889</v>
      </c>
      <c r="L191" s="2729">
        <f>'Part II-Development Team'!L9</f>
        <v>2292451173</v>
      </c>
      <c r="M191" s="2729"/>
      <c r="N191" s="2724" t="s">
        <v>2081</v>
      </c>
      <c r="O191" s="2733" t="str">
        <f>'Part II-Development Team'!O9</f>
        <v>dbrown@invmgt.com</v>
      </c>
      <c r="P191" s="2733"/>
      <c r="Q191" s="2733"/>
      <c r="R191" s="2733"/>
      <c r="S191" s="2733"/>
    </row>
    <row r="192" spans="1:19" ht="13.5">
      <c r="A192" s="2713"/>
      <c r="B192" s="2713"/>
      <c r="C192" s="2713"/>
      <c r="D192" s="2787"/>
      <c r="E192" s="2715" t="s">
        <v>2918</v>
      </c>
      <c r="F192" s="2713"/>
      <c r="G192" s="2713"/>
      <c r="H192" s="2778"/>
      <c r="I192" s="2713"/>
      <c r="J192" s="2713"/>
      <c r="K192" s="2789"/>
      <c r="L192" s="2713"/>
      <c r="M192" s="2713"/>
      <c r="N192" s="2716" t="s">
        <v>4371</v>
      </c>
      <c r="O192" s="2713"/>
      <c r="P192" s="2713"/>
      <c r="Q192" s="2717"/>
      <c r="R192" s="2713"/>
      <c r="S192" s="2713"/>
    </row>
    <row r="193" spans="1:19">
      <c r="A193" s="2713"/>
      <c r="B193" s="2713"/>
      <c r="C193" s="2713"/>
      <c r="D193" s="2790"/>
      <c r="E193" s="2721"/>
      <c r="F193" s="2714"/>
      <c r="G193" s="2714"/>
      <c r="H193" s="2714"/>
      <c r="I193" s="2714"/>
      <c r="J193" s="2714"/>
      <c r="K193" s="2713"/>
      <c r="L193" s="2713"/>
      <c r="M193" s="2713"/>
      <c r="N193" s="2714"/>
      <c r="O193" s="2714"/>
      <c r="P193" s="2714"/>
      <c r="Q193" s="2714"/>
      <c r="R193" s="2714"/>
      <c r="S193" s="2714"/>
    </row>
    <row r="194" spans="1:19" ht="13.5">
      <c r="A194" s="2713"/>
      <c r="B194" s="2762" t="s">
        <v>2083</v>
      </c>
      <c r="C194" s="2714" t="s">
        <v>1947</v>
      </c>
      <c r="D194" s="2713"/>
      <c r="E194" s="2713"/>
      <c r="F194" s="2714"/>
      <c r="G194" s="2714"/>
      <c r="H194" s="2714"/>
      <c r="I194" s="2714"/>
      <c r="J194" s="2714"/>
      <c r="K194" s="2713"/>
      <c r="L194" s="2713"/>
      <c r="M194" s="2713"/>
      <c r="N194" s="2789" t="s">
        <v>4580</v>
      </c>
      <c r="O194" s="2713"/>
      <c r="P194" s="2791" t="s">
        <v>1344</v>
      </c>
      <c r="Q194" s="2713"/>
      <c r="R194" s="2713"/>
      <c r="S194" s="2713"/>
    </row>
    <row r="195" spans="1:19" ht="13.5">
      <c r="A195" s="2713"/>
      <c r="B195" s="2713"/>
      <c r="C195" s="2792" t="s">
        <v>2084</v>
      </c>
      <c r="D195" s="2762" t="s">
        <v>2085</v>
      </c>
      <c r="E195" s="2713"/>
      <c r="F195" s="2713"/>
      <c r="G195" s="2713"/>
      <c r="H195" s="2713"/>
      <c r="I195" s="2713"/>
      <c r="J195" s="2713"/>
      <c r="K195" s="2713"/>
      <c r="L195" s="2713"/>
      <c r="M195" s="2713"/>
      <c r="N195" s="2789"/>
      <c r="O195" s="2713"/>
      <c r="P195" s="2713"/>
      <c r="Q195" s="2713"/>
      <c r="R195" s="2713"/>
      <c r="S195" s="2713"/>
    </row>
    <row r="196" spans="1:19">
      <c r="A196" s="2713"/>
      <c r="B196" s="2713"/>
      <c r="C196" s="2713"/>
      <c r="D196" s="2716" t="s">
        <v>2216</v>
      </c>
      <c r="E196" s="2713" t="s">
        <v>1948</v>
      </c>
      <c r="F196" s="2713"/>
      <c r="G196" s="2713"/>
      <c r="H196" s="2728" t="str">
        <f>'Part II-Development Team'!H14</f>
        <v>Arbor Trace II Lake Park Partners, LLC</v>
      </c>
      <c r="I196" s="2771"/>
      <c r="J196" s="2771"/>
      <c r="K196" s="2771"/>
      <c r="L196" s="2771"/>
      <c r="M196" s="2771"/>
      <c r="N196" s="2771"/>
      <c r="O196" s="2721" t="s">
        <v>2087</v>
      </c>
      <c r="P196" s="2721"/>
      <c r="Q196" s="2728" t="str">
        <f>'Part II-Development Team'!Q14</f>
        <v>David A. Brown</v>
      </c>
      <c r="R196" s="2771"/>
      <c r="S196" s="2771"/>
    </row>
    <row r="197" spans="1:19">
      <c r="A197" s="2713"/>
      <c r="B197" s="2713"/>
      <c r="C197" s="2713"/>
      <c r="D197" s="2787"/>
      <c r="E197" s="2721" t="s">
        <v>1070</v>
      </c>
      <c r="F197" s="2724"/>
      <c r="G197" s="2713"/>
      <c r="H197" s="2728" t="str">
        <f>'Part II-Development Team'!H15</f>
        <v>3548 North Crossing Circle</v>
      </c>
      <c r="I197" s="2771"/>
      <c r="J197" s="2771"/>
      <c r="K197" s="2771"/>
      <c r="L197" s="2771"/>
      <c r="M197" s="2771"/>
      <c r="N197" s="2771"/>
      <c r="O197" s="2721" t="s">
        <v>1834</v>
      </c>
      <c r="P197" s="2713"/>
      <c r="Q197" s="2728" t="str">
        <f>'Part II-Development Team'!Q15</f>
        <v>Manager</v>
      </c>
      <c r="R197" s="2771"/>
      <c r="S197" s="2771"/>
    </row>
    <row r="198" spans="1:19">
      <c r="A198" s="2713"/>
      <c r="B198" s="2713"/>
      <c r="C198" s="2713"/>
      <c r="D198" s="2787"/>
      <c r="E198" s="2721" t="s">
        <v>648</v>
      </c>
      <c r="F198" s="2713"/>
      <c r="G198" s="2713"/>
      <c r="H198" s="2728" t="str">
        <f>'Part II-Development Team'!H16</f>
        <v>Valdosta</v>
      </c>
      <c r="I198" s="2771"/>
      <c r="J198" s="2771"/>
      <c r="K198" s="2717" t="s">
        <v>2873</v>
      </c>
      <c r="L198" s="2728">
        <f>'Part II-Development Team'!L16</f>
        <v>0</v>
      </c>
      <c r="M198" s="2771"/>
      <c r="N198" s="2771"/>
      <c r="O198" s="2721" t="s">
        <v>1890</v>
      </c>
      <c r="P198" s="2713"/>
      <c r="Q198" s="2729">
        <f>'Part II-Development Team'!Q16</f>
        <v>0</v>
      </c>
      <c r="R198" s="2729"/>
      <c r="S198" s="2729"/>
    </row>
    <row r="199" spans="1:19">
      <c r="A199" s="2713"/>
      <c r="B199" s="2713"/>
      <c r="C199" s="2713"/>
      <c r="D199" s="2716"/>
      <c r="E199" s="2721" t="s">
        <v>1886</v>
      </c>
      <c r="F199" s="2713"/>
      <c r="G199" s="2713"/>
      <c r="H199" s="2717" t="str">
        <f>'Part II-Development Team'!H17</f>
        <v>GA</v>
      </c>
      <c r="I199" s="2717" t="s">
        <v>4579</v>
      </c>
      <c r="J199" s="2731">
        <f>'Part II-Development Team'!J17</f>
        <v>316026408</v>
      </c>
      <c r="K199" s="2771"/>
      <c r="L199" s="2713"/>
      <c r="M199" s="2713"/>
      <c r="N199" s="2713"/>
      <c r="O199" s="2721" t="s">
        <v>2076</v>
      </c>
      <c r="P199" s="2713"/>
      <c r="Q199" s="2729">
        <f>'Part II-Development Team'!Q17</f>
        <v>2292921316</v>
      </c>
      <c r="R199" s="2729"/>
      <c r="S199" s="2729"/>
    </row>
    <row r="200" spans="1:19">
      <c r="A200" s="2713"/>
      <c r="B200" s="2713"/>
      <c r="C200" s="2713"/>
      <c r="D200" s="2787"/>
      <c r="E200" s="2721" t="s">
        <v>2082</v>
      </c>
      <c r="F200" s="2713"/>
      <c r="G200" s="2713"/>
      <c r="H200" s="2729">
        <f>'Part II-Development Team'!H18</f>
        <v>2292479956</v>
      </c>
      <c r="I200" s="2729"/>
      <c r="J200" s="2726">
        <f>'Part II-Development Team'!J18</f>
        <v>212</v>
      </c>
      <c r="K200" s="2717" t="s">
        <v>1889</v>
      </c>
      <c r="L200" s="2729">
        <f>'Part II-Development Team'!L18</f>
        <v>2292451173</v>
      </c>
      <c r="M200" s="2729"/>
      <c r="N200" s="2724" t="s">
        <v>2081</v>
      </c>
      <c r="O200" s="2733" t="str">
        <f>'Part II-Development Team'!O18</f>
        <v>dbrown@invmgt.com</v>
      </c>
      <c r="P200" s="2733"/>
      <c r="Q200" s="2733"/>
      <c r="R200" s="2733"/>
      <c r="S200" s="2733"/>
    </row>
    <row r="201" spans="1:19">
      <c r="A201" s="2719"/>
      <c r="B201" s="2719"/>
      <c r="C201" s="2719"/>
      <c r="D201" s="2759"/>
      <c r="E201" s="2719"/>
      <c r="F201" s="2719"/>
      <c r="G201" s="2719"/>
      <c r="H201" s="2793"/>
      <c r="I201" s="2793"/>
      <c r="J201" s="2793"/>
      <c r="K201" s="2717"/>
      <c r="L201" s="2793"/>
      <c r="M201" s="2793"/>
      <c r="N201" s="2717"/>
      <c r="O201" s="2793"/>
      <c r="P201" s="2793"/>
      <c r="Q201" s="2717"/>
      <c r="R201" s="2793"/>
      <c r="S201" s="2793"/>
    </row>
    <row r="202" spans="1:19">
      <c r="A202" s="2713"/>
      <c r="B202" s="2713"/>
      <c r="C202" s="2713"/>
      <c r="D202" s="2716" t="s">
        <v>2217</v>
      </c>
      <c r="E202" s="2713" t="s">
        <v>1949</v>
      </c>
      <c r="F202" s="2713"/>
      <c r="G202" s="2713"/>
      <c r="H202" s="2728">
        <f>'Part II-Development Team'!H20</f>
        <v>0</v>
      </c>
      <c r="I202" s="2728"/>
      <c r="J202" s="2728"/>
      <c r="K202" s="2728"/>
      <c r="L202" s="2728"/>
      <c r="M202" s="2728"/>
      <c r="N202" s="2728"/>
      <c r="O202" s="2721" t="s">
        <v>2087</v>
      </c>
      <c r="P202" s="2721"/>
      <c r="Q202" s="2728">
        <f>'Part II-Development Team'!Q20</f>
        <v>0</v>
      </c>
      <c r="R202" s="2728"/>
      <c r="S202" s="2728"/>
    </row>
    <row r="203" spans="1:19">
      <c r="A203" s="2713"/>
      <c r="B203" s="2713"/>
      <c r="C203" s="2713"/>
      <c r="D203" s="2787"/>
      <c r="E203" s="2721" t="s">
        <v>1070</v>
      </c>
      <c r="F203" s="2724"/>
      <c r="G203" s="2713"/>
      <c r="H203" s="2728">
        <f>'Part II-Development Team'!H21</f>
        <v>0</v>
      </c>
      <c r="I203" s="2728"/>
      <c r="J203" s="2728"/>
      <c r="K203" s="2728"/>
      <c r="L203" s="2728"/>
      <c r="M203" s="2728"/>
      <c r="N203" s="2728"/>
      <c r="O203" s="2721" t="s">
        <v>1834</v>
      </c>
      <c r="P203" s="2713"/>
      <c r="Q203" s="2728">
        <f>'Part II-Development Team'!Q21</f>
        <v>0</v>
      </c>
      <c r="R203" s="2728"/>
      <c r="S203" s="2728"/>
    </row>
    <row r="204" spans="1:19">
      <c r="A204" s="2713"/>
      <c r="B204" s="2713"/>
      <c r="C204" s="2713"/>
      <c r="D204" s="2787"/>
      <c r="E204" s="2721" t="s">
        <v>648</v>
      </c>
      <c r="F204" s="2713"/>
      <c r="G204" s="2713"/>
      <c r="H204" s="2728">
        <f>'Part II-Development Team'!H22</f>
        <v>0</v>
      </c>
      <c r="I204" s="2728"/>
      <c r="J204" s="2728"/>
      <c r="K204" s="2717" t="s">
        <v>2873</v>
      </c>
      <c r="L204" s="2728">
        <f>'Part II-Development Team'!L22</f>
        <v>0</v>
      </c>
      <c r="M204" s="2728"/>
      <c r="N204" s="2728"/>
      <c r="O204" s="2721" t="s">
        <v>1890</v>
      </c>
      <c r="P204" s="2713"/>
      <c r="Q204" s="2729">
        <f>'Part II-Development Team'!Q22</f>
        <v>0</v>
      </c>
      <c r="R204" s="2729"/>
      <c r="S204" s="2729"/>
    </row>
    <row r="205" spans="1:19">
      <c r="A205" s="2713"/>
      <c r="B205" s="2713"/>
      <c r="C205" s="2713"/>
      <c r="D205" s="2713"/>
      <c r="E205" s="2721" t="s">
        <v>1886</v>
      </c>
      <c r="F205" s="2713"/>
      <c r="G205" s="2713"/>
      <c r="H205" s="2717">
        <f>'Part II-Development Team'!H23</f>
        <v>0</v>
      </c>
      <c r="I205" s="2717" t="s">
        <v>4579</v>
      </c>
      <c r="J205" s="2731">
        <f>'Part II-Development Team'!J23</f>
        <v>0</v>
      </c>
      <c r="K205" s="2731"/>
      <c r="L205" s="2713"/>
      <c r="M205" s="2713"/>
      <c r="N205" s="2713"/>
      <c r="O205" s="2721" t="s">
        <v>2076</v>
      </c>
      <c r="P205" s="2713"/>
      <c r="Q205" s="2729">
        <f>'Part II-Development Team'!Q23</f>
        <v>0</v>
      </c>
      <c r="R205" s="2729"/>
      <c r="S205" s="2729"/>
    </row>
    <row r="206" spans="1:19">
      <c r="A206" s="2713"/>
      <c r="B206" s="2713"/>
      <c r="C206" s="2713"/>
      <c r="D206" s="2787"/>
      <c r="E206" s="2721" t="s">
        <v>2082</v>
      </c>
      <c r="F206" s="2713"/>
      <c r="G206" s="2713"/>
      <c r="H206" s="2729">
        <f>'Part II-Development Team'!H24</f>
        <v>0</v>
      </c>
      <c r="I206" s="2729"/>
      <c r="J206" s="2726">
        <f>'Part II-Development Team'!J24</f>
        <v>0</v>
      </c>
      <c r="K206" s="2717" t="s">
        <v>1889</v>
      </c>
      <c r="L206" s="2729">
        <f>'Part II-Development Team'!L24</f>
        <v>0</v>
      </c>
      <c r="M206" s="2729"/>
      <c r="N206" s="2724" t="s">
        <v>2081</v>
      </c>
      <c r="O206" s="2733">
        <f>'Part II-Development Team'!O24</f>
        <v>0</v>
      </c>
      <c r="P206" s="2733"/>
      <c r="Q206" s="2733"/>
      <c r="R206" s="2733"/>
      <c r="S206" s="2733"/>
    </row>
    <row r="207" spans="1:19">
      <c r="A207" s="2713"/>
      <c r="B207" s="2713"/>
      <c r="C207" s="2713"/>
      <c r="D207" s="2787"/>
      <c r="E207" s="2713"/>
      <c r="F207" s="2713"/>
      <c r="G207" s="2721"/>
      <c r="H207" s="2793"/>
      <c r="I207" s="2793"/>
      <c r="J207" s="2793"/>
      <c r="K207" s="2717"/>
      <c r="L207" s="2793"/>
      <c r="M207" s="2793"/>
      <c r="N207" s="2717"/>
      <c r="O207" s="2793"/>
      <c r="P207" s="2793"/>
      <c r="Q207" s="2717"/>
      <c r="R207" s="2793"/>
      <c r="S207" s="2793"/>
    </row>
    <row r="208" spans="1:19">
      <c r="A208" s="2713"/>
      <c r="B208" s="2713"/>
      <c r="C208" s="2713"/>
      <c r="D208" s="2716" t="s">
        <v>1821</v>
      </c>
      <c r="E208" s="2713" t="s">
        <v>1949</v>
      </c>
      <c r="F208" s="2713"/>
      <c r="G208" s="2713"/>
      <c r="H208" s="2728">
        <f>'Part II-Development Team'!H26</f>
        <v>0</v>
      </c>
      <c r="I208" s="2728"/>
      <c r="J208" s="2728"/>
      <c r="K208" s="2728"/>
      <c r="L208" s="2728"/>
      <c r="M208" s="2728"/>
      <c r="N208" s="2728"/>
      <c r="O208" s="2721" t="s">
        <v>2087</v>
      </c>
      <c r="P208" s="2721"/>
      <c r="Q208" s="2728">
        <f>'Part II-Development Team'!Q26</f>
        <v>0</v>
      </c>
      <c r="R208" s="2728"/>
      <c r="S208" s="2728"/>
    </row>
    <row r="209" spans="1:19">
      <c r="A209" s="2713"/>
      <c r="B209" s="2713"/>
      <c r="C209" s="2713"/>
      <c r="D209" s="2787"/>
      <c r="E209" s="2721" t="s">
        <v>1070</v>
      </c>
      <c r="F209" s="2724"/>
      <c r="G209" s="2713"/>
      <c r="H209" s="2728">
        <f>'Part II-Development Team'!H27</f>
        <v>0</v>
      </c>
      <c r="I209" s="2728"/>
      <c r="J209" s="2728"/>
      <c r="K209" s="2728"/>
      <c r="L209" s="2728"/>
      <c r="M209" s="2728"/>
      <c r="N209" s="2728"/>
      <c r="O209" s="2721" t="s">
        <v>1834</v>
      </c>
      <c r="P209" s="2713"/>
      <c r="Q209" s="2728">
        <f>'Part II-Development Team'!Q27</f>
        <v>0</v>
      </c>
      <c r="R209" s="2728"/>
      <c r="S209" s="2728"/>
    </row>
    <row r="210" spans="1:19">
      <c r="A210" s="2713"/>
      <c r="B210" s="2713"/>
      <c r="C210" s="2713"/>
      <c r="D210" s="2787"/>
      <c r="E210" s="2721" t="s">
        <v>648</v>
      </c>
      <c r="F210" s="2713"/>
      <c r="G210" s="2713"/>
      <c r="H210" s="2728">
        <f>'Part II-Development Team'!H28</f>
        <v>0</v>
      </c>
      <c r="I210" s="2728"/>
      <c r="J210" s="2728"/>
      <c r="K210" s="2717" t="s">
        <v>2873</v>
      </c>
      <c r="L210" s="2728">
        <f>'Part II-Development Team'!L28</f>
        <v>0</v>
      </c>
      <c r="M210" s="2728"/>
      <c r="N210" s="2728"/>
      <c r="O210" s="2721" t="s">
        <v>1890</v>
      </c>
      <c r="P210" s="2713"/>
      <c r="Q210" s="2729">
        <f>'Part II-Development Team'!Q28</f>
        <v>0</v>
      </c>
      <c r="R210" s="2729"/>
      <c r="S210" s="2729"/>
    </row>
    <row r="211" spans="1:19">
      <c r="A211" s="2713"/>
      <c r="B211" s="2713"/>
      <c r="C211" s="2713"/>
      <c r="D211" s="2713"/>
      <c r="E211" s="2721" t="s">
        <v>1886</v>
      </c>
      <c r="F211" s="2713"/>
      <c r="G211" s="2713"/>
      <c r="H211" s="2717">
        <f>'Part II-Development Team'!H29</f>
        <v>0</v>
      </c>
      <c r="I211" s="2717" t="s">
        <v>4579</v>
      </c>
      <c r="J211" s="2731">
        <f>'Part II-Development Team'!J29</f>
        <v>0</v>
      </c>
      <c r="K211" s="2731"/>
      <c r="L211" s="2713"/>
      <c r="M211" s="2713"/>
      <c r="N211" s="2713"/>
      <c r="O211" s="2721" t="s">
        <v>2076</v>
      </c>
      <c r="P211" s="2713"/>
      <c r="Q211" s="2729">
        <f>'Part II-Development Team'!Q29</f>
        <v>0</v>
      </c>
      <c r="R211" s="2729"/>
      <c r="S211" s="2729"/>
    </row>
    <row r="212" spans="1:19">
      <c r="A212" s="2713"/>
      <c r="B212" s="2713"/>
      <c r="C212" s="2713"/>
      <c r="D212" s="2787"/>
      <c r="E212" s="2721" t="s">
        <v>2082</v>
      </c>
      <c r="F212" s="2713"/>
      <c r="G212" s="2713"/>
      <c r="H212" s="2729">
        <f>'Part II-Development Team'!H30</f>
        <v>0</v>
      </c>
      <c r="I212" s="2729"/>
      <c r="J212" s="2726">
        <f>'Part II-Development Team'!J30</f>
        <v>0</v>
      </c>
      <c r="K212" s="2717" t="s">
        <v>1889</v>
      </c>
      <c r="L212" s="2729">
        <f>'Part II-Development Team'!L30</f>
        <v>0</v>
      </c>
      <c r="M212" s="2729"/>
      <c r="N212" s="2724" t="s">
        <v>2081</v>
      </c>
      <c r="O212" s="2733">
        <f>'Part II-Development Team'!O30</f>
        <v>0</v>
      </c>
      <c r="P212" s="2733"/>
      <c r="Q212" s="2733"/>
      <c r="R212" s="2733"/>
      <c r="S212" s="2733"/>
    </row>
    <row r="213" spans="1:19">
      <c r="A213" s="2719"/>
      <c r="B213" s="2719"/>
      <c r="C213" s="2719"/>
      <c r="D213" s="2719"/>
      <c r="E213" s="2719"/>
      <c r="F213" s="2719"/>
      <c r="G213" s="2719"/>
      <c r="H213" s="2719"/>
      <c r="I213" s="2719"/>
      <c r="J213" s="2719"/>
      <c r="K213" s="2719"/>
      <c r="L213" s="2719"/>
      <c r="M213" s="2719"/>
      <c r="N213" s="2719"/>
      <c r="O213" s="2719"/>
      <c r="P213" s="2719"/>
      <c r="Q213" s="2719"/>
      <c r="R213" s="2719"/>
      <c r="S213" s="2719"/>
    </row>
    <row r="214" spans="1:19">
      <c r="A214" s="2713"/>
      <c r="B214" s="2713"/>
      <c r="C214" s="2792" t="s">
        <v>2086</v>
      </c>
      <c r="D214" s="2762" t="s">
        <v>1951</v>
      </c>
      <c r="E214" s="2713"/>
      <c r="F214" s="2713"/>
      <c r="G214" s="2713"/>
      <c r="H214" s="2713"/>
      <c r="I214" s="2713"/>
      <c r="J214" s="2713"/>
      <c r="K214" s="2713"/>
      <c r="L214" s="2713"/>
      <c r="M214" s="2713"/>
      <c r="N214" s="2713"/>
      <c r="O214" s="2713"/>
      <c r="P214" s="2713"/>
      <c r="Q214" s="2713"/>
      <c r="R214" s="2713"/>
      <c r="S214" s="2713"/>
    </row>
    <row r="215" spans="1:19">
      <c r="A215" s="2713"/>
      <c r="B215" s="2713"/>
      <c r="C215" s="2713"/>
      <c r="D215" s="2716" t="s">
        <v>2216</v>
      </c>
      <c r="E215" s="2713" t="s">
        <v>789</v>
      </c>
      <c r="F215" s="2713"/>
      <c r="G215" s="2713"/>
      <c r="H215" s="2728" t="str">
        <f>'Part II-Development Team'!H33</f>
        <v>Raymond James Tax Credit Funds, Inc.</v>
      </c>
      <c r="I215" s="2728"/>
      <c r="J215" s="2728"/>
      <c r="K215" s="2728"/>
      <c r="L215" s="2728"/>
      <c r="M215" s="2728"/>
      <c r="N215" s="2728"/>
      <c r="O215" s="2721" t="s">
        <v>2087</v>
      </c>
      <c r="P215" s="2721"/>
      <c r="Q215" s="2728" t="str">
        <f>'Part II-Development Team'!Q33</f>
        <v>John Colvin</v>
      </c>
      <c r="R215" s="2728"/>
      <c r="S215" s="2728"/>
    </row>
    <row r="216" spans="1:19">
      <c r="A216" s="2713"/>
      <c r="B216" s="2713"/>
      <c r="C216" s="2713"/>
      <c r="D216" s="2787"/>
      <c r="E216" s="2721" t="s">
        <v>1070</v>
      </c>
      <c r="F216" s="2724"/>
      <c r="G216" s="2713"/>
      <c r="H216" s="2728" t="str">
        <f>'Part II-Development Team'!H34</f>
        <v>2501 Twentieth Place South, Suite 425</v>
      </c>
      <c r="I216" s="2728"/>
      <c r="J216" s="2728"/>
      <c r="K216" s="2728"/>
      <c r="L216" s="2728"/>
      <c r="M216" s="2728"/>
      <c r="N216" s="2728"/>
      <c r="O216" s="2721" t="s">
        <v>1834</v>
      </c>
      <c r="P216" s="2713"/>
      <c r="Q216" s="2728" t="str">
        <f>'Part II-Development Team'!Q34</f>
        <v>Director of Acquisitions</v>
      </c>
      <c r="R216" s="2728"/>
      <c r="S216" s="2728"/>
    </row>
    <row r="217" spans="1:19">
      <c r="A217" s="2713"/>
      <c r="B217" s="2713"/>
      <c r="C217" s="2713"/>
      <c r="D217" s="2787"/>
      <c r="E217" s="2721" t="s">
        <v>648</v>
      </c>
      <c r="F217" s="2713"/>
      <c r="G217" s="2713"/>
      <c r="H217" s="2728" t="str">
        <f>'Part II-Development Team'!H35</f>
        <v>Birmingham</v>
      </c>
      <c r="I217" s="2728"/>
      <c r="J217" s="2728"/>
      <c r="K217" s="2717" t="s">
        <v>2873</v>
      </c>
      <c r="L217" s="2728" t="str">
        <f>'Part II-Development Team'!L35</f>
        <v>www.raymondjames.com</v>
      </c>
      <c r="M217" s="2728"/>
      <c r="N217" s="2728"/>
      <c r="O217" s="2721" t="s">
        <v>1890</v>
      </c>
      <c r="P217" s="2713"/>
      <c r="Q217" s="2729">
        <f>'Part II-Development Team'!Q35</f>
        <v>2058030331</v>
      </c>
      <c r="R217" s="2729"/>
      <c r="S217" s="2729"/>
    </row>
    <row r="218" spans="1:19">
      <c r="A218" s="2713"/>
      <c r="B218" s="2713"/>
      <c r="C218" s="2713"/>
      <c r="D218" s="2713"/>
      <c r="E218" s="2721" t="s">
        <v>1886</v>
      </c>
      <c r="F218" s="2713"/>
      <c r="G218" s="2713"/>
      <c r="H218" s="2717" t="str">
        <f>'Part II-Development Team'!H36</f>
        <v>AL</v>
      </c>
      <c r="I218" s="2717" t="s">
        <v>4579</v>
      </c>
      <c r="J218" s="2731">
        <f>'Part II-Development Team'!J36</f>
        <v>352231723</v>
      </c>
      <c r="K218" s="2731"/>
      <c r="L218" s="2713"/>
      <c r="M218" s="2713"/>
      <c r="N218" s="2713"/>
      <c r="O218" s="2721" t="s">
        <v>2076</v>
      </c>
      <c r="P218" s="2713"/>
      <c r="Q218" s="2729">
        <f>'Part II-Development Team'!Q36</f>
        <v>2055163099</v>
      </c>
      <c r="R218" s="2729"/>
      <c r="S218" s="2729"/>
    </row>
    <row r="219" spans="1:19">
      <c r="A219" s="2713"/>
      <c r="B219" s="2713"/>
      <c r="C219" s="2713"/>
      <c r="D219" s="2787"/>
      <c r="E219" s="2721" t="s">
        <v>2082</v>
      </c>
      <c r="F219" s="2713"/>
      <c r="G219" s="2713"/>
      <c r="H219" s="2729">
        <f>'Part II-Development Team'!H37</f>
        <v>2058030331</v>
      </c>
      <c r="I219" s="2729"/>
      <c r="J219" s="2726">
        <f>'Part II-Development Team'!J37</f>
        <v>0</v>
      </c>
      <c r="K219" s="2717" t="s">
        <v>1889</v>
      </c>
      <c r="L219" s="2729">
        <f>'Part II-Development Team'!L37</f>
        <v>2058030321</v>
      </c>
      <c r="M219" s="2729"/>
      <c r="N219" s="2724" t="s">
        <v>2081</v>
      </c>
      <c r="O219" s="2733" t="str">
        <f>'Part II-Development Team'!O37</f>
        <v>john.colvin@raymondjames.com</v>
      </c>
      <c r="P219" s="2733"/>
      <c r="Q219" s="2733"/>
      <c r="R219" s="2733"/>
      <c r="S219" s="2733"/>
    </row>
    <row r="220" spans="1:19">
      <c r="A220" s="2719"/>
      <c r="B220" s="2719"/>
      <c r="C220" s="2719"/>
      <c r="D220" s="2719"/>
      <c r="E220" s="2719"/>
      <c r="F220" s="2719"/>
      <c r="G220" s="2719"/>
      <c r="H220" s="2793"/>
      <c r="I220" s="2793"/>
      <c r="J220" s="2793"/>
      <c r="K220" s="2717"/>
      <c r="L220" s="2793"/>
      <c r="M220" s="2793"/>
      <c r="N220" s="2717"/>
      <c r="O220" s="2793"/>
      <c r="P220" s="2793"/>
      <c r="Q220" s="2717"/>
      <c r="R220" s="2793"/>
      <c r="S220" s="2793"/>
    </row>
    <row r="221" spans="1:19">
      <c r="A221" s="2713"/>
      <c r="B221" s="2713"/>
      <c r="C221" s="2713"/>
      <c r="D221" s="2716" t="s">
        <v>2217</v>
      </c>
      <c r="E221" s="2713" t="s">
        <v>790</v>
      </c>
      <c r="F221" s="2716"/>
      <c r="G221" s="2713"/>
      <c r="H221" s="2728" t="str">
        <f>'Part II-Development Team'!H39</f>
        <v>Raymond James Tax Credit Funds, Inc.</v>
      </c>
      <c r="I221" s="2771"/>
      <c r="J221" s="2771"/>
      <c r="K221" s="2771"/>
      <c r="L221" s="2771"/>
      <c r="M221" s="2771"/>
      <c r="N221" s="2771"/>
      <c r="O221" s="2721" t="s">
        <v>2087</v>
      </c>
      <c r="P221" s="2721"/>
      <c r="Q221" s="2728" t="str">
        <f>'Part II-Development Team'!Q39</f>
        <v>John Colvin</v>
      </c>
      <c r="R221" s="2771"/>
      <c r="S221" s="2771"/>
    </row>
    <row r="222" spans="1:19">
      <c r="A222" s="2713"/>
      <c r="B222" s="2713"/>
      <c r="C222" s="2713"/>
      <c r="D222" s="2787"/>
      <c r="E222" s="2721" t="s">
        <v>1070</v>
      </c>
      <c r="F222" s="2724"/>
      <c r="G222" s="2713"/>
      <c r="H222" s="2728" t="str">
        <f>'Part II-Development Team'!H40</f>
        <v>2501 Twentieth Place South, Suite 425</v>
      </c>
      <c r="I222" s="2771"/>
      <c r="J222" s="2771"/>
      <c r="K222" s="2771"/>
      <c r="L222" s="2771"/>
      <c r="M222" s="2771"/>
      <c r="N222" s="2771"/>
      <c r="O222" s="2721" t="s">
        <v>1834</v>
      </c>
      <c r="P222" s="2713"/>
      <c r="Q222" s="2728" t="str">
        <f>'Part II-Development Team'!Q40</f>
        <v>Director of Acquisitions</v>
      </c>
      <c r="R222" s="2771"/>
      <c r="S222" s="2771"/>
    </row>
    <row r="223" spans="1:19">
      <c r="A223" s="2713"/>
      <c r="B223" s="2713"/>
      <c r="C223" s="2713"/>
      <c r="D223" s="2787"/>
      <c r="E223" s="2721" t="s">
        <v>648</v>
      </c>
      <c r="F223" s="2713"/>
      <c r="G223" s="2713"/>
      <c r="H223" s="2728" t="str">
        <f>'Part II-Development Team'!H41</f>
        <v>Birmingham</v>
      </c>
      <c r="I223" s="2771"/>
      <c r="J223" s="2771"/>
      <c r="K223" s="2717" t="s">
        <v>2873</v>
      </c>
      <c r="L223" s="2728" t="str">
        <f>'Part II-Development Team'!L41</f>
        <v>www.raymondjames.com</v>
      </c>
      <c r="M223" s="2771"/>
      <c r="N223" s="2771"/>
      <c r="O223" s="2721" t="s">
        <v>1890</v>
      </c>
      <c r="P223" s="2713"/>
      <c r="Q223" s="2729">
        <f>'Part II-Development Team'!Q41</f>
        <v>2058030331</v>
      </c>
      <c r="R223" s="2729"/>
      <c r="S223" s="2729"/>
    </row>
    <row r="224" spans="1:19">
      <c r="A224" s="2713"/>
      <c r="B224" s="2713"/>
      <c r="C224" s="2713"/>
      <c r="D224" s="2716"/>
      <c r="E224" s="2721" t="s">
        <v>1886</v>
      </c>
      <c r="F224" s="2713"/>
      <c r="G224" s="2713"/>
      <c r="H224" s="2717" t="str">
        <f>'Part II-Development Team'!H42</f>
        <v>AL</v>
      </c>
      <c r="I224" s="2717" t="s">
        <v>4579</v>
      </c>
      <c r="J224" s="2731">
        <f>'Part II-Development Team'!J42</f>
        <v>352231723</v>
      </c>
      <c r="K224" s="2771"/>
      <c r="L224" s="2713"/>
      <c r="M224" s="2713"/>
      <c r="N224" s="2713"/>
      <c r="O224" s="2721" t="s">
        <v>2076</v>
      </c>
      <c r="P224" s="2713"/>
      <c r="Q224" s="2729">
        <f>'Part II-Development Team'!Q42</f>
        <v>2055163099</v>
      </c>
      <c r="R224" s="2729"/>
      <c r="S224" s="2729"/>
    </row>
    <row r="225" spans="1:19">
      <c r="A225" s="2713"/>
      <c r="B225" s="2713"/>
      <c r="C225" s="2713"/>
      <c r="D225" s="2787"/>
      <c r="E225" s="2721" t="s">
        <v>2082</v>
      </c>
      <c r="F225" s="2713"/>
      <c r="G225" s="2713"/>
      <c r="H225" s="2729">
        <f>'Part II-Development Team'!H43</f>
        <v>2058030331</v>
      </c>
      <c r="I225" s="2729"/>
      <c r="J225" s="2726">
        <f>'Part II-Development Team'!J43</f>
        <v>0</v>
      </c>
      <c r="K225" s="2717" t="s">
        <v>1889</v>
      </c>
      <c r="L225" s="2729">
        <f>'Part II-Development Team'!L43</f>
        <v>2058030321</v>
      </c>
      <c r="M225" s="2729"/>
      <c r="N225" s="2724" t="s">
        <v>2081</v>
      </c>
      <c r="O225" s="2733" t="str">
        <f>'Part II-Development Team'!O43</f>
        <v>john.colvin@raymondjames.com</v>
      </c>
      <c r="P225" s="2733"/>
      <c r="Q225" s="2733"/>
      <c r="R225" s="2733"/>
      <c r="S225" s="2733"/>
    </row>
    <row r="226" spans="1:19">
      <c r="A226" s="2713"/>
      <c r="B226" s="2713"/>
      <c r="C226" s="2713"/>
      <c r="D226" s="2787"/>
      <c r="E226" s="2721"/>
      <c r="F226" s="2716"/>
      <c r="G226" s="2713"/>
      <c r="H226" s="2778"/>
      <c r="I226" s="2778"/>
      <c r="J226" s="2775"/>
      <c r="K226" s="2717"/>
      <c r="L226" s="2778"/>
      <c r="M226" s="2778"/>
      <c r="N226" s="2717"/>
      <c r="O226" s="2778"/>
      <c r="P226" s="2778"/>
      <c r="Q226" s="2717"/>
      <c r="R226" s="2778"/>
      <c r="S226" s="2778"/>
    </row>
    <row r="227" spans="1:19">
      <c r="A227" s="2713"/>
      <c r="B227" s="2713"/>
      <c r="C227" s="2794" t="s">
        <v>2660</v>
      </c>
      <c r="D227" s="2762" t="s">
        <v>685</v>
      </c>
      <c r="E227" s="2713"/>
      <c r="F227" s="2713"/>
      <c r="G227" s="2713"/>
      <c r="H227" s="2713"/>
      <c r="I227" s="2713"/>
      <c r="J227" s="2713"/>
      <c r="K227" s="2713"/>
      <c r="L227" s="2713"/>
      <c r="M227" s="2713"/>
      <c r="N227" s="2713"/>
      <c r="O227" s="2713"/>
      <c r="P227" s="2713"/>
      <c r="Q227" s="2713"/>
      <c r="R227" s="2713"/>
      <c r="S227" s="2713"/>
    </row>
    <row r="228" spans="1:19">
      <c r="A228" s="2713"/>
      <c r="B228" s="2713"/>
      <c r="C228" s="2713"/>
      <c r="D228" s="2713"/>
      <c r="E228" s="2713" t="s">
        <v>94</v>
      </c>
      <c r="F228" s="2713"/>
      <c r="G228" s="2713"/>
      <c r="H228" s="2728">
        <f>'Part II-Development Team'!H46</f>
        <v>0</v>
      </c>
      <c r="I228" s="2771"/>
      <c r="J228" s="2771"/>
      <c r="K228" s="2771"/>
      <c r="L228" s="2771"/>
      <c r="M228" s="2771"/>
      <c r="N228" s="2771"/>
      <c r="O228" s="2721" t="s">
        <v>2087</v>
      </c>
      <c r="P228" s="2721"/>
      <c r="Q228" s="2728">
        <f>'Part II-Development Team'!Q46</f>
        <v>0</v>
      </c>
      <c r="R228" s="2771"/>
      <c r="S228" s="2771"/>
    </row>
    <row r="229" spans="1:19">
      <c r="A229" s="2713"/>
      <c r="B229" s="2713"/>
      <c r="C229" s="2713"/>
      <c r="D229" s="2787"/>
      <c r="E229" s="2721" t="s">
        <v>1070</v>
      </c>
      <c r="F229" s="2724"/>
      <c r="G229" s="2713"/>
      <c r="H229" s="2728">
        <f>'Part II-Development Team'!H47</f>
        <v>0</v>
      </c>
      <c r="I229" s="2771"/>
      <c r="J229" s="2771"/>
      <c r="K229" s="2771"/>
      <c r="L229" s="2771"/>
      <c r="M229" s="2771"/>
      <c r="N229" s="2771"/>
      <c r="O229" s="2721" t="s">
        <v>1834</v>
      </c>
      <c r="P229" s="2713"/>
      <c r="Q229" s="2728">
        <f>'Part II-Development Team'!Q47</f>
        <v>0</v>
      </c>
      <c r="R229" s="2771"/>
      <c r="S229" s="2771"/>
    </row>
    <row r="230" spans="1:19">
      <c r="A230" s="2713"/>
      <c r="B230" s="2713"/>
      <c r="C230" s="2713"/>
      <c r="D230" s="2787"/>
      <c r="E230" s="2721" t="s">
        <v>648</v>
      </c>
      <c r="F230" s="2713"/>
      <c r="G230" s="2713"/>
      <c r="H230" s="2728">
        <f>'Part II-Development Team'!H48</f>
        <v>0</v>
      </c>
      <c r="I230" s="2771"/>
      <c r="J230" s="2771"/>
      <c r="K230" s="2717" t="s">
        <v>2873</v>
      </c>
      <c r="L230" s="2728">
        <f>'Part II-Development Team'!L48</f>
        <v>0</v>
      </c>
      <c r="M230" s="2771"/>
      <c r="N230" s="2771"/>
      <c r="O230" s="2721" t="s">
        <v>1890</v>
      </c>
      <c r="P230" s="2713"/>
      <c r="Q230" s="2729">
        <f>'Part II-Development Team'!Q48</f>
        <v>0</v>
      </c>
      <c r="R230" s="2729"/>
      <c r="S230" s="2729"/>
    </row>
    <row r="231" spans="1:19">
      <c r="A231" s="2713"/>
      <c r="B231" s="2713"/>
      <c r="C231" s="2713"/>
      <c r="D231" s="2713"/>
      <c r="E231" s="2721" t="s">
        <v>1886</v>
      </c>
      <c r="F231" s="2713"/>
      <c r="G231" s="2713"/>
      <c r="H231" s="2717">
        <f>'Part II-Development Team'!H49</f>
        <v>0</v>
      </c>
      <c r="I231" s="2717" t="s">
        <v>4579</v>
      </c>
      <c r="J231" s="2731">
        <f>'Part II-Development Team'!J49</f>
        <v>0</v>
      </c>
      <c r="K231" s="2771"/>
      <c r="L231" s="2713"/>
      <c r="M231" s="2713"/>
      <c r="N231" s="2713"/>
      <c r="O231" s="2721" t="s">
        <v>2076</v>
      </c>
      <c r="P231" s="2713"/>
      <c r="Q231" s="2729">
        <f>'Part II-Development Team'!Q49</f>
        <v>0</v>
      </c>
      <c r="R231" s="2729"/>
      <c r="S231" s="2729"/>
    </row>
    <row r="232" spans="1:19">
      <c r="A232" s="2713"/>
      <c r="B232" s="2713"/>
      <c r="C232" s="2713"/>
      <c r="D232" s="2787"/>
      <c r="E232" s="2721" t="s">
        <v>2082</v>
      </c>
      <c r="F232" s="2713"/>
      <c r="G232" s="2713"/>
      <c r="H232" s="2729">
        <f>'Part II-Development Team'!H50</f>
        <v>0</v>
      </c>
      <c r="I232" s="2729"/>
      <c r="J232" s="2726">
        <f>'Part II-Development Team'!J50</f>
        <v>0</v>
      </c>
      <c r="K232" s="2717" t="s">
        <v>1889</v>
      </c>
      <c r="L232" s="2729">
        <f>'Part II-Development Team'!L50</f>
        <v>0</v>
      </c>
      <c r="M232" s="2729"/>
      <c r="N232" s="2724" t="s">
        <v>2081</v>
      </c>
      <c r="O232" s="2733">
        <f>'Part II-Development Team'!O50</f>
        <v>0</v>
      </c>
      <c r="P232" s="2733"/>
      <c r="Q232" s="2733"/>
      <c r="R232" s="2733"/>
      <c r="S232" s="2733"/>
    </row>
    <row r="233" spans="1:19">
      <c r="A233" s="2719"/>
      <c r="B233" s="2719"/>
      <c r="C233" s="2719"/>
      <c r="D233" s="2719"/>
      <c r="E233" s="2719"/>
      <c r="F233" s="2719"/>
      <c r="G233" s="2719"/>
      <c r="H233" s="2719"/>
      <c r="I233" s="2719"/>
      <c r="J233" s="2719"/>
      <c r="K233" s="2719"/>
      <c r="L233" s="2719"/>
      <c r="M233" s="2719"/>
      <c r="N233" s="2719"/>
      <c r="O233" s="2719"/>
      <c r="P233" s="2719"/>
      <c r="Q233" s="2719"/>
      <c r="R233" s="2719"/>
      <c r="S233" s="2719"/>
    </row>
    <row r="234" spans="1:19">
      <c r="A234" s="2716" t="s">
        <v>779</v>
      </c>
      <c r="B234" s="2716" t="s">
        <v>686</v>
      </c>
      <c r="C234" s="2713"/>
      <c r="D234" s="2713"/>
      <c r="E234" s="2713"/>
      <c r="F234" s="2716"/>
      <c r="G234" s="2717"/>
      <c r="H234" s="2717"/>
      <c r="I234" s="2717"/>
      <c r="J234" s="2713"/>
      <c r="K234" s="2713"/>
      <c r="L234" s="2713"/>
      <c r="M234" s="2713"/>
      <c r="N234" s="2713"/>
      <c r="O234" s="2713"/>
      <c r="P234" s="2713"/>
      <c r="Q234" s="2713"/>
      <c r="R234" s="2713"/>
      <c r="S234" s="2713"/>
    </row>
    <row r="235" spans="1:19">
      <c r="A235" s="2716"/>
      <c r="B235" s="2716"/>
      <c r="C235" s="2713"/>
      <c r="D235" s="2713"/>
      <c r="E235" s="2713"/>
      <c r="F235" s="2716"/>
      <c r="G235" s="2717"/>
      <c r="H235" s="2793"/>
      <c r="I235" s="2793"/>
      <c r="J235" s="2793"/>
      <c r="K235" s="2717"/>
      <c r="L235" s="2793"/>
      <c r="M235" s="2793"/>
      <c r="N235" s="2717"/>
      <c r="O235" s="2793"/>
      <c r="P235" s="2793"/>
      <c r="Q235" s="2717"/>
      <c r="R235" s="2793"/>
      <c r="S235" s="2793"/>
    </row>
    <row r="236" spans="1:19">
      <c r="A236" s="2713"/>
      <c r="B236" s="2716" t="s">
        <v>2080</v>
      </c>
      <c r="C236" s="2716" t="s">
        <v>295</v>
      </c>
      <c r="D236" s="2713"/>
      <c r="E236" s="2713"/>
      <c r="F236" s="2713"/>
      <c r="G236" s="2713"/>
      <c r="H236" s="2728" t="str">
        <f>'Part II-Development Team'!H54</f>
        <v>DHM Developer, Inc.</v>
      </c>
      <c r="I236" s="2771"/>
      <c r="J236" s="2771"/>
      <c r="K236" s="2771"/>
      <c r="L236" s="2771"/>
      <c r="M236" s="2771"/>
      <c r="N236" s="2771"/>
      <c r="O236" s="2721" t="s">
        <v>2087</v>
      </c>
      <c r="P236" s="2721"/>
      <c r="Q236" s="2728" t="str">
        <f>'Part II-Development Team'!Q54</f>
        <v>David A. Brown</v>
      </c>
      <c r="R236" s="2771"/>
      <c r="S236" s="2771"/>
    </row>
    <row r="237" spans="1:19">
      <c r="A237" s="2713"/>
      <c r="B237" s="2713"/>
      <c r="C237" s="2713"/>
      <c r="D237" s="2787"/>
      <c r="E237" s="2721" t="s">
        <v>1070</v>
      </c>
      <c r="F237" s="2724"/>
      <c r="G237" s="2713"/>
      <c r="H237" s="2728" t="str">
        <f>'Part II-Development Team'!H55</f>
        <v>3548 North Crossing Circle</v>
      </c>
      <c r="I237" s="2771"/>
      <c r="J237" s="2771"/>
      <c r="K237" s="2771"/>
      <c r="L237" s="2771"/>
      <c r="M237" s="2771"/>
      <c r="N237" s="2771"/>
      <c r="O237" s="2721" t="s">
        <v>1834</v>
      </c>
      <c r="P237" s="2713"/>
      <c r="Q237" s="2728" t="str">
        <f>'Part II-Development Team'!Q55</f>
        <v>President</v>
      </c>
      <c r="R237" s="2771"/>
      <c r="S237" s="2771"/>
    </row>
    <row r="238" spans="1:19">
      <c r="A238" s="2713"/>
      <c r="B238" s="2713"/>
      <c r="C238" s="2713"/>
      <c r="D238" s="2787"/>
      <c r="E238" s="2721" t="s">
        <v>648</v>
      </c>
      <c r="F238" s="2713"/>
      <c r="G238" s="2713"/>
      <c r="H238" s="2728" t="str">
        <f>'Part II-Development Team'!H56</f>
        <v>Valdosta</v>
      </c>
      <c r="I238" s="2771"/>
      <c r="J238" s="2771"/>
      <c r="K238" s="2717" t="s">
        <v>2873</v>
      </c>
      <c r="L238" s="2728" t="str">
        <f>'Part II-Development Team'!L56</f>
        <v>invmgt.com</v>
      </c>
      <c r="M238" s="2771"/>
      <c r="N238" s="2771"/>
      <c r="O238" s="2721" t="s">
        <v>1890</v>
      </c>
      <c r="P238" s="2713"/>
      <c r="Q238" s="2729">
        <f>'Part II-Development Team'!Q56</f>
        <v>0</v>
      </c>
      <c r="R238" s="2729"/>
      <c r="S238" s="2729"/>
    </row>
    <row r="239" spans="1:19">
      <c r="A239" s="2713"/>
      <c r="B239" s="2713"/>
      <c r="C239" s="2713"/>
      <c r="D239" s="2713"/>
      <c r="E239" s="2721" t="s">
        <v>1886</v>
      </c>
      <c r="F239" s="2713"/>
      <c r="G239" s="2713"/>
      <c r="H239" s="2717" t="str">
        <f>'Part II-Development Team'!H57</f>
        <v>GA</v>
      </c>
      <c r="I239" s="2717" t="s">
        <v>4579</v>
      </c>
      <c r="J239" s="2731">
        <f>'Part II-Development Team'!J57</f>
        <v>316026408</v>
      </c>
      <c r="K239" s="2771"/>
      <c r="L239" s="2713"/>
      <c r="M239" s="2713"/>
      <c r="N239" s="2713"/>
      <c r="O239" s="2721" t="s">
        <v>2076</v>
      </c>
      <c r="P239" s="2713"/>
      <c r="Q239" s="2729">
        <f>'Part II-Development Team'!Q57</f>
        <v>2292921316</v>
      </c>
      <c r="R239" s="2729"/>
      <c r="S239" s="2729"/>
    </row>
    <row r="240" spans="1:19">
      <c r="A240" s="2713"/>
      <c r="B240" s="2713"/>
      <c r="C240" s="2713"/>
      <c r="D240" s="2787"/>
      <c r="E240" s="2721" t="s">
        <v>2082</v>
      </c>
      <c r="F240" s="2713"/>
      <c r="G240" s="2713"/>
      <c r="H240" s="2729">
        <f>'Part II-Development Team'!H58</f>
        <v>2292479956</v>
      </c>
      <c r="I240" s="2729"/>
      <c r="J240" s="2726">
        <f>'Part II-Development Team'!J58</f>
        <v>212</v>
      </c>
      <c r="K240" s="2717" t="s">
        <v>1889</v>
      </c>
      <c r="L240" s="2729">
        <f>'Part II-Development Team'!L58</f>
        <v>2292451173</v>
      </c>
      <c r="M240" s="2729"/>
      <c r="N240" s="2724" t="s">
        <v>2081</v>
      </c>
      <c r="O240" s="2733" t="str">
        <f>'Part II-Development Team'!O58</f>
        <v>dbrown@invmgt.com</v>
      </c>
      <c r="P240" s="2733"/>
      <c r="Q240" s="2733"/>
      <c r="R240" s="2733"/>
      <c r="S240" s="2733"/>
    </row>
    <row r="241" spans="1:19">
      <c r="A241" s="2713"/>
      <c r="B241" s="2713"/>
      <c r="C241" s="2713"/>
      <c r="D241" s="2787"/>
      <c r="E241" s="2713"/>
      <c r="F241" s="2713"/>
      <c r="G241" s="2721"/>
      <c r="H241" s="2793"/>
      <c r="I241" s="2793"/>
      <c r="J241" s="2793"/>
      <c r="K241" s="2717"/>
      <c r="L241" s="2793"/>
      <c r="M241" s="2793"/>
      <c r="N241" s="2717"/>
      <c r="O241" s="2793"/>
      <c r="P241" s="2793"/>
      <c r="Q241" s="2717"/>
      <c r="R241" s="2793"/>
      <c r="S241" s="2793"/>
    </row>
    <row r="242" spans="1:19">
      <c r="A242" s="2713"/>
      <c r="B242" s="2716" t="s">
        <v>2083</v>
      </c>
      <c r="C242" s="2716" t="s">
        <v>296</v>
      </c>
      <c r="D242" s="2713"/>
      <c r="E242" s="2713"/>
      <c r="F242" s="2713"/>
      <c r="G242" s="2713"/>
      <c r="H242" s="2728">
        <f>'Part II-Development Team'!H60</f>
        <v>0</v>
      </c>
      <c r="I242" s="2771"/>
      <c r="J242" s="2771"/>
      <c r="K242" s="2771"/>
      <c r="L242" s="2771"/>
      <c r="M242" s="2771"/>
      <c r="N242" s="2771"/>
      <c r="O242" s="2721" t="s">
        <v>2087</v>
      </c>
      <c r="P242" s="2721"/>
      <c r="Q242" s="2728">
        <f>'Part II-Development Team'!Q60</f>
        <v>0</v>
      </c>
      <c r="R242" s="2771"/>
      <c r="S242" s="2771"/>
    </row>
    <row r="243" spans="1:19">
      <c r="A243" s="2713"/>
      <c r="B243" s="2713"/>
      <c r="C243" s="2713"/>
      <c r="D243" s="2787"/>
      <c r="E243" s="2721" t="s">
        <v>1070</v>
      </c>
      <c r="F243" s="2724"/>
      <c r="G243" s="2713"/>
      <c r="H243" s="2728">
        <f>'Part II-Development Team'!H61</f>
        <v>0</v>
      </c>
      <c r="I243" s="2771"/>
      <c r="J243" s="2771"/>
      <c r="K243" s="2771"/>
      <c r="L243" s="2771"/>
      <c r="M243" s="2771"/>
      <c r="N243" s="2771"/>
      <c r="O243" s="2721" t="s">
        <v>1834</v>
      </c>
      <c r="P243" s="2713"/>
      <c r="Q243" s="2728">
        <f>'Part II-Development Team'!Q61</f>
        <v>0</v>
      </c>
      <c r="R243" s="2771"/>
      <c r="S243" s="2771"/>
    </row>
    <row r="244" spans="1:19">
      <c r="A244" s="2713"/>
      <c r="B244" s="2713"/>
      <c r="C244" s="2713"/>
      <c r="D244" s="2787"/>
      <c r="E244" s="2721" t="s">
        <v>648</v>
      </c>
      <c r="F244" s="2713"/>
      <c r="G244" s="2713"/>
      <c r="H244" s="2728">
        <f>'Part II-Development Team'!H62</f>
        <v>0</v>
      </c>
      <c r="I244" s="2771"/>
      <c r="J244" s="2771"/>
      <c r="K244" s="2717" t="s">
        <v>2873</v>
      </c>
      <c r="L244" s="2728">
        <f>'Part II-Development Team'!L62</f>
        <v>0</v>
      </c>
      <c r="M244" s="2771"/>
      <c r="N244" s="2771"/>
      <c r="O244" s="2721" t="s">
        <v>1890</v>
      </c>
      <c r="P244" s="2713"/>
      <c r="Q244" s="2729">
        <f>'Part II-Development Team'!Q62</f>
        <v>0</v>
      </c>
      <c r="R244" s="2729"/>
      <c r="S244" s="2729"/>
    </row>
    <row r="245" spans="1:19">
      <c r="A245" s="2713"/>
      <c r="B245" s="2713"/>
      <c r="C245" s="2713"/>
      <c r="D245" s="2713"/>
      <c r="E245" s="2721" t="s">
        <v>1886</v>
      </c>
      <c r="F245" s="2713"/>
      <c r="G245" s="2713"/>
      <c r="H245" s="2717">
        <f>'Part II-Development Team'!H63</f>
        <v>0</v>
      </c>
      <c r="I245" s="2717" t="s">
        <v>4579</v>
      </c>
      <c r="J245" s="2731">
        <f>'Part II-Development Team'!J63</f>
        <v>0</v>
      </c>
      <c r="K245" s="2771"/>
      <c r="L245" s="2713"/>
      <c r="M245" s="2713"/>
      <c r="N245" s="2713"/>
      <c r="O245" s="2721" t="s">
        <v>2076</v>
      </c>
      <c r="P245" s="2713"/>
      <c r="Q245" s="2729">
        <f>'Part II-Development Team'!Q63</f>
        <v>0</v>
      </c>
      <c r="R245" s="2729"/>
      <c r="S245" s="2729"/>
    </row>
    <row r="246" spans="1:19">
      <c r="A246" s="2713"/>
      <c r="B246" s="2713"/>
      <c r="C246" s="2713"/>
      <c r="D246" s="2787"/>
      <c r="E246" s="2721" t="s">
        <v>2082</v>
      </c>
      <c r="F246" s="2713"/>
      <c r="G246" s="2713"/>
      <c r="H246" s="2729">
        <f>'Part II-Development Team'!H64</f>
        <v>0</v>
      </c>
      <c r="I246" s="2729"/>
      <c r="J246" s="2726">
        <f>'Part II-Development Team'!J64</f>
        <v>0</v>
      </c>
      <c r="K246" s="2717" t="s">
        <v>1889</v>
      </c>
      <c r="L246" s="2729">
        <f>'Part II-Development Team'!L64</f>
        <v>0</v>
      </c>
      <c r="M246" s="2729"/>
      <c r="N246" s="2724" t="s">
        <v>2081</v>
      </c>
      <c r="O246" s="2733">
        <f>'Part II-Development Team'!O64</f>
        <v>0</v>
      </c>
      <c r="P246" s="2733"/>
      <c r="Q246" s="2733"/>
      <c r="R246" s="2733"/>
      <c r="S246" s="2733"/>
    </row>
    <row r="247" spans="1:19">
      <c r="A247" s="2713"/>
      <c r="B247" s="2713"/>
      <c r="C247" s="2713"/>
      <c r="D247" s="2787"/>
      <c r="E247" s="2713"/>
      <c r="F247" s="2713"/>
      <c r="G247" s="2721"/>
      <c r="H247" s="2793"/>
      <c r="I247" s="2793"/>
      <c r="J247" s="2793"/>
      <c r="K247" s="2717"/>
      <c r="L247" s="2793"/>
      <c r="M247" s="2793"/>
      <c r="N247" s="2717"/>
      <c r="O247" s="2793"/>
      <c r="P247" s="2793"/>
      <c r="Q247" s="2717"/>
      <c r="R247" s="2793"/>
      <c r="S247" s="2793"/>
    </row>
    <row r="248" spans="1:19">
      <c r="A248" s="2713"/>
      <c r="B248" s="2716" t="s">
        <v>788</v>
      </c>
      <c r="C248" s="2716" t="s">
        <v>1603</v>
      </c>
      <c r="D248" s="2713"/>
      <c r="E248" s="2713"/>
      <c r="F248" s="2713"/>
      <c r="G248" s="2713"/>
      <c r="H248" s="2728">
        <f>'Part II-Development Team'!H66</f>
        <v>0</v>
      </c>
      <c r="I248" s="2771"/>
      <c r="J248" s="2771"/>
      <c r="K248" s="2771"/>
      <c r="L248" s="2771"/>
      <c r="M248" s="2771"/>
      <c r="N248" s="2771"/>
      <c r="O248" s="2721" t="s">
        <v>2087</v>
      </c>
      <c r="P248" s="2721"/>
      <c r="Q248" s="2728">
        <f>'Part II-Development Team'!Q66</f>
        <v>0</v>
      </c>
      <c r="R248" s="2771"/>
      <c r="S248" s="2771"/>
    </row>
    <row r="249" spans="1:19">
      <c r="A249" s="2713"/>
      <c r="B249" s="2713"/>
      <c r="C249" s="2713"/>
      <c r="D249" s="2787"/>
      <c r="E249" s="2721" t="s">
        <v>1070</v>
      </c>
      <c r="F249" s="2724"/>
      <c r="G249" s="2713"/>
      <c r="H249" s="2728">
        <f>'Part II-Development Team'!H67</f>
        <v>0</v>
      </c>
      <c r="I249" s="2771"/>
      <c r="J249" s="2771"/>
      <c r="K249" s="2771"/>
      <c r="L249" s="2771"/>
      <c r="M249" s="2771"/>
      <c r="N249" s="2771"/>
      <c r="O249" s="2721" t="s">
        <v>1834</v>
      </c>
      <c r="P249" s="2713"/>
      <c r="Q249" s="2728">
        <f>'Part II-Development Team'!Q67</f>
        <v>0</v>
      </c>
      <c r="R249" s="2771"/>
      <c r="S249" s="2771"/>
    </row>
    <row r="250" spans="1:19">
      <c r="A250" s="2713"/>
      <c r="B250" s="2713"/>
      <c r="C250" s="2713"/>
      <c r="D250" s="2787"/>
      <c r="E250" s="2721" t="s">
        <v>648</v>
      </c>
      <c r="F250" s="2713"/>
      <c r="G250" s="2713"/>
      <c r="H250" s="2728">
        <f>'Part II-Development Team'!H68</f>
        <v>0</v>
      </c>
      <c r="I250" s="2771"/>
      <c r="J250" s="2771"/>
      <c r="K250" s="2717" t="s">
        <v>2873</v>
      </c>
      <c r="L250" s="2728">
        <f>'Part II-Development Team'!L68</f>
        <v>0</v>
      </c>
      <c r="M250" s="2771"/>
      <c r="N250" s="2771"/>
      <c r="O250" s="2721" t="s">
        <v>1890</v>
      </c>
      <c r="P250" s="2713"/>
      <c r="Q250" s="2729">
        <f>'Part II-Development Team'!Q68</f>
        <v>0</v>
      </c>
      <c r="R250" s="2729"/>
      <c r="S250" s="2729"/>
    </row>
    <row r="251" spans="1:19">
      <c r="A251" s="2713"/>
      <c r="B251" s="2713"/>
      <c r="C251" s="2713"/>
      <c r="D251" s="2713"/>
      <c r="E251" s="2721" t="s">
        <v>1886</v>
      </c>
      <c r="F251" s="2713"/>
      <c r="G251" s="2713"/>
      <c r="H251" s="2717">
        <f>'Part II-Development Team'!H69</f>
        <v>0</v>
      </c>
      <c r="I251" s="2717" t="s">
        <v>4579</v>
      </c>
      <c r="J251" s="2731">
        <f>'Part II-Development Team'!J69</f>
        <v>0</v>
      </c>
      <c r="K251" s="2771"/>
      <c r="L251" s="2713"/>
      <c r="M251" s="2713"/>
      <c r="N251" s="2713"/>
      <c r="O251" s="2721" t="s">
        <v>2076</v>
      </c>
      <c r="P251" s="2713"/>
      <c r="Q251" s="2729">
        <f>'Part II-Development Team'!Q69</f>
        <v>0</v>
      </c>
      <c r="R251" s="2729"/>
      <c r="S251" s="2729"/>
    </row>
    <row r="252" spans="1:19">
      <c r="A252" s="2713"/>
      <c r="B252" s="2713"/>
      <c r="C252" s="2713"/>
      <c r="D252" s="2787"/>
      <c r="E252" s="2721" t="s">
        <v>2082</v>
      </c>
      <c r="F252" s="2713"/>
      <c r="G252" s="2713"/>
      <c r="H252" s="2729">
        <f>'Part II-Development Team'!H70</f>
        <v>0</v>
      </c>
      <c r="I252" s="2729"/>
      <c r="J252" s="2726">
        <f>'Part II-Development Team'!J70</f>
        <v>0</v>
      </c>
      <c r="K252" s="2717" t="s">
        <v>1889</v>
      </c>
      <c r="L252" s="2729">
        <f>'Part II-Development Team'!L70</f>
        <v>0</v>
      </c>
      <c r="M252" s="2729"/>
      <c r="N252" s="2724" t="s">
        <v>2081</v>
      </c>
      <c r="O252" s="2733">
        <f>'Part II-Development Team'!O70</f>
        <v>0</v>
      </c>
      <c r="P252" s="2733"/>
      <c r="Q252" s="2733"/>
      <c r="R252" s="2733"/>
      <c r="S252" s="2733"/>
    </row>
    <row r="253" spans="1:19">
      <c r="A253" s="2719"/>
      <c r="B253" s="2719"/>
      <c r="C253" s="2719"/>
      <c r="D253" s="2719"/>
      <c r="E253" s="2719"/>
      <c r="F253" s="2719"/>
      <c r="G253" s="2719"/>
      <c r="H253" s="2793"/>
      <c r="I253" s="2793"/>
      <c r="J253" s="2793"/>
      <c r="K253" s="2717"/>
      <c r="L253" s="2793"/>
      <c r="M253" s="2793"/>
      <c r="N253" s="2717"/>
      <c r="O253" s="2793"/>
      <c r="P253" s="2793"/>
      <c r="Q253" s="2717"/>
      <c r="R253" s="2793"/>
      <c r="S253" s="2793"/>
    </row>
    <row r="254" spans="1:19">
      <c r="A254" s="2713"/>
      <c r="B254" s="2716" t="s">
        <v>2215</v>
      </c>
      <c r="C254" s="2716" t="s">
        <v>297</v>
      </c>
      <c r="D254" s="2713"/>
      <c r="E254" s="2713"/>
      <c r="F254" s="2713"/>
      <c r="G254" s="2713"/>
      <c r="H254" s="2728">
        <f>'Part II-Development Team'!H72</f>
        <v>0</v>
      </c>
      <c r="I254" s="2771"/>
      <c r="J254" s="2771"/>
      <c r="K254" s="2771"/>
      <c r="L254" s="2771"/>
      <c r="M254" s="2771"/>
      <c r="N254" s="2771"/>
      <c r="O254" s="2721" t="s">
        <v>2087</v>
      </c>
      <c r="P254" s="2721"/>
      <c r="Q254" s="2728">
        <f>'Part II-Development Team'!Q72</f>
        <v>0</v>
      </c>
      <c r="R254" s="2771"/>
      <c r="S254" s="2771"/>
    </row>
    <row r="255" spans="1:19">
      <c r="A255" s="2713"/>
      <c r="B255" s="2713"/>
      <c r="C255" s="2713"/>
      <c r="D255" s="2787"/>
      <c r="E255" s="2721" t="s">
        <v>1070</v>
      </c>
      <c r="F255" s="2724"/>
      <c r="G255" s="2713"/>
      <c r="H255" s="2728">
        <f>'Part II-Development Team'!H73</f>
        <v>0</v>
      </c>
      <c r="I255" s="2771"/>
      <c r="J255" s="2771"/>
      <c r="K255" s="2771"/>
      <c r="L255" s="2771"/>
      <c r="M255" s="2771"/>
      <c r="N255" s="2771"/>
      <c r="O255" s="2721" t="s">
        <v>1834</v>
      </c>
      <c r="P255" s="2713"/>
      <c r="Q255" s="2728">
        <f>'Part II-Development Team'!Q73</f>
        <v>0</v>
      </c>
      <c r="R255" s="2771"/>
      <c r="S255" s="2771"/>
    </row>
    <row r="256" spans="1:19">
      <c r="A256" s="2713"/>
      <c r="B256" s="2713"/>
      <c r="C256" s="2713"/>
      <c r="D256" s="2787"/>
      <c r="E256" s="2721" t="s">
        <v>648</v>
      </c>
      <c r="F256" s="2713"/>
      <c r="G256" s="2713"/>
      <c r="H256" s="2728">
        <f>'Part II-Development Team'!H74</f>
        <v>0</v>
      </c>
      <c r="I256" s="2771"/>
      <c r="J256" s="2771"/>
      <c r="K256" s="2717" t="s">
        <v>2873</v>
      </c>
      <c r="L256" s="2728">
        <f>'Part II-Development Team'!L74</f>
        <v>0</v>
      </c>
      <c r="M256" s="2771"/>
      <c r="N256" s="2771"/>
      <c r="O256" s="2721" t="s">
        <v>1890</v>
      </c>
      <c r="P256" s="2713"/>
      <c r="Q256" s="2729">
        <f>'Part II-Development Team'!Q74</f>
        <v>0</v>
      </c>
      <c r="R256" s="2729"/>
      <c r="S256" s="2729"/>
    </row>
    <row r="257" spans="1:19">
      <c r="A257" s="2713"/>
      <c r="B257" s="2713"/>
      <c r="C257" s="2713"/>
      <c r="D257" s="2713"/>
      <c r="E257" s="2721" t="s">
        <v>1886</v>
      </c>
      <c r="F257" s="2713"/>
      <c r="G257" s="2713"/>
      <c r="H257" s="2717">
        <f>'Part II-Development Team'!H75</f>
        <v>0</v>
      </c>
      <c r="I257" s="2717" t="s">
        <v>4579</v>
      </c>
      <c r="J257" s="2731">
        <f>'Part II-Development Team'!J75</f>
        <v>0</v>
      </c>
      <c r="K257" s="2771"/>
      <c r="L257" s="2713"/>
      <c r="M257" s="2713"/>
      <c r="N257" s="2713"/>
      <c r="O257" s="2721" t="s">
        <v>2076</v>
      </c>
      <c r="P257" s="2713"/>
      <c r="Q257" s="2729">
        <f>'Part II-Development Team'!Q75</f>
        <v>0</v>
      </c>
      <c r="R257" s="2729"/>
      <c r="S257" s="2729"/>
    </row>
    <row r="258" spans="1:19">
      <c r="A258" s="2713"/>
      <c r="B258" s="2713"/>
      <c r="C258" s="2713"/>
      <c r="D258" s="2787"/>
      <c r="E258" s="2721" t="s">
        <v>2082</v>
      </c>
      <c r="F258" s="2713"/>
      <c r="G258" s="2713"/>
      <c r="H258" s="2729">
        <f>'Part II-Development Team'!H76</f>
        <v>0</v>
      </c>
      <c r="I258" s="2729"/>
      <c r="J258" s="2726">
        <f>'Part II-Development Team'!J76</f>
        <v>0</v>
      </c>
      <c r="K258" s="2717" t="s">
        <v>1889</v>
      </c>
      <c r="L258" s="2729">
        <f>'Part II-Development Team'!L76</f>
        <v>0</v>
      </c>
      <c r="M258" s="2729"/>
      <c r="N258" s="2724" t="s">
        <v>2081</v>
      </c>
      <c r="O258" s="2733">
        <f>'Part II-Development Team'!O76</f>
        <v>0</v>
      </c>
      <c r="P258" s="2733"/>
      <c r="Q258" s="2733"/>
      <c r="R258" s="2733"/>
      <c r="S258" s="2733"/>
    </row>
    <row r="259" spans="1:19">
      <c r="A259" s="2719"/>
      <c r="B259" s="2719"/>
      <c r="C259" s="2719"/>
      <c r="D259" s="2719"/>
      <c r="E259" s="2719"/>
      <c r="F259" s="2719"/>
      <c r="G259" s="2719"/>
      <c r="H259" s="2719"/>
      <c r="I259" s="2719"/>
      <c r="J259" s="2719"/>
      <c r="K259" s="2719"/>
      <c r="L259" s="2719"/>
      <c r="M259" s="2719"/>
      <c r="N259" s="2719"/>
      <c r="O259" s="2719"/>
      <c r="P259" s="2719"/>
      <c r="Q259" s="2719"/>
      <c r="R259" s="2719"/>
      <c r="S259" s="2719"/>
    </row>
    <row r="260" spans="1:19">
      <c r="A260" s="2714" t="s">
        <v>781</v>
      </c>
      <c r="B260" s="2714" t="s">
        <v>298</v>
      </c>
      <c r="C260" s="2721"/>
      <c r="D260" s="2714"/>
      <c r="E260" s="2721"/>
      <c r="F260" s="2714"/>
      <c r="G260" s="2714"/>
      <c r="H260" s="2714"/>
      <c r="I260" s="2714"/>
      <c r="J260" s="2714"/>
      <c r="K260" s="2714"/>
      <c r="L260" s="2714"/>
      <c r="M260" s="2714"/>
      <c r="N260" s="2721"/>
      <c r="O260" s="2721"/>
      <c r="P260" s="2721"/>
      <c r="Q260" s="2721"/>
      <c r="R260" s="2721"/>
      <c r="S260" s="2721"/>
    </row>
    <row r="261" spans="1:19">
      <c r="A261" s="2714"/>
      <c r="B261" s="2714"/>
      <c r="C261" s="2721"/>
      <c r="D261" s="2714"/>
      <c r="E261" s="2721"/>
      <c r="F261" s="2714"/>
      <c r="G261" s="2714"/>
      <c r="H261" s="2793"/>
      <c r="I261" s="2793"/>
      <c r="J261" s="2793"/>
      <c r="K261" s="2717"/>
      <c r="L261" s="2793"/>
      <c r="M261" s="2793"/>
      <c r="N261" s="2717"/>
      <c r="O261" s="2793"/>
      <c r="P261" s="2793"/>
      <c r="Q261" s="2717"/>
      <c r="R261" s="2793"/>
      <c r="S261" s="2793"/>
    </row>
    <row r="262" spans="1:19">
      <c r="A262" s="2713"/>
      <c r="B262" s="2716" t="s">
        <v>2080</v>
      </c>
      <c r="C262" s="2716" t="s">
        <v>299</v>
      </c>
      <c r="D262" s="2713"/>
      <c r="E262" s="2713"/>
      <c r="F262" s="2713"/>
      <c r="G262" s="2713"/>
      <c r="H262" s="2728">
        <f>'Part II-Development Team'!H80</f>
        <v>0</v>
      </c>
      <c r="I262" s="2771"/>
      <c r="J262" s="2771"/>
      <c r="K262" s="2771"/>
      <c r="L262" s="2771"/>
      <c r="M262" s="2771"/>
      <c r="N262" s="2771"/>
      <c r="O262" s="2721" t="s">
        <v>2087</v>
      </c>
      <c r="P262" s="2721"/>
      <c r="Q262" s="2728">
        <f>'Part II-Development Team'!Q80</f>
        <v>0</v>
      </c>
      <c r="R262" s="2771"/>
      <c r="S262" s="2771"/>
    </row>
    <row r="263" spans="1:19">
      <c r="A263" s="2713"/>
      <c r="B263" s="2713"/>
      <c r="C263" s="2713"/>
      <c r="D263" s="2787"/>
      <c r="E263" s="2721" t="s">
        <v>1070</v>
      </c>
      <c r="F263" s="2724"/>
      <c r="G263" s="2713"/>
      <c r="H263" s="2728">
        <f>'Part II-Development Team'!H81</f>
        <v>0</v>
      </c>
      <c r="I263" s="2771"/>
      <c r="J263" s="2771"/>
      <c r="K263" s="2771"/>
      <c r="L263" s="2771"/>
      <c r="M263" s="2771"/>
      <c r="N263" s="2771"/>
      <c r="O263" s="2721" t="s">
        <v>1834</v>
      </c>
      <c r="P263" s="2713"/>
      <c r="Q263" s="2728">
        <f>'Part II-Development Team'!Q81</f>
        <v>0</v>
      </c>
      <c r="R263" s="2771"/>
      <c r="S263" s="2771"/>
    </row>
    <row r="264" spans="1:19">
      <c r="A264" s="2713"/>
      <c r="B264" s="2713"/>
      <c r="C264" s="2713"/>
      <c r="D264" s="2787"/>
      <c r="E264" s="2721" t="s">
        <v>648</v>
      </c>
      <c r="F264" s="2713"/>
      <c r="G264" s="2713"/>
      <c r="H264" s="2728">
        <f>'Part II-Development Team'!H82</f>
        <v>0</v>
      </c>
      <c r="I264" s="2771"/>
      <c r="J264" s="2771"/>
      <c r="K264" s="2717" t="s">
        <v>2873</v>
      </c>
      <c r="L264" s="2728">
        <f>'Part II-Development Team'!L82</f>
        <v>0</v>
      </c>
      <c r="M264" s="2771"/>
      <c r="N264" s="2771"/>
      <c r="O264" s="2721" t="s">
        <v>1890</v>
      </c>
      <c r="P264" s="2713"/>
      <c r="Q264" s="2729">
        <f>'Part II-Development Team'!Q82</f>
        <v>0</v>
      </c>
      <c r="R264" s="2729"/>
      <c r="S264" s="2729"/>
    </row>
    <row r="265" spans="1:19">
      <c r="A265" s="2713"/>
      <c r="B265" s="2713"/>
      <c r="C265" s="2713"/>
      <c r="D265" s="2713"/>
      <c r="E265" s="2721" t="s">
        <v>1886</v>
      </c>
      <c r="F265" s="2713"/>
      <c r="G265" s="2713"/>
      <c r="H265" s="2717">
        <f>'Part II-Development Team'!H83</f>
        <v>0</v>
      </c>
      <c r="I265" s="2717" t="s">
        <v>4579</v>
      </c>
      <c r="J265" s="2731">
        <f>'Part II-Development Team'!J83</f>
        <v>0</v>
      </c>
      <c r="K265" s="2771"/>
      <c r="L265" s="2713"/>
      <c r="M265" s="2713"/>
      <c r="N265" s="2713"/>
      <c r="O265" s="2721" t="s">
        <v>2076</v>
      </c>
      <c r="P265" s="2713"/>
      <c r="Q265" s="2729">
        <f>'Part II-Development Team'!Q83</f>
        <v>0</v>
      </c>
      <c r="R265" s="2729"/>
      <c r="S265" s="2729"/>
    </row>
    <row r="266" spans="1:19">
      <c r="A266" s="2713"/>
      <c r="B266" s="2713"/>
      <c r="C266" s="2713"/>
      <c r="D266" s="2787"/>
      <c r="E266" s="2721" t="s">
        <v>2082</v>
      </c>
      <c r="F266" s="2713"/>
      <c r="G266" s="2713"/>
      <c r="H266" s="2729">
        <f>'Part II-Development Team'!H84</f>
        <v>0</v>
      </c>
      <c r="I266" s="2729"/>
      <c r="J266" s="2726">
        <f>'Part II-Development Team'!J84</f>
        <v>0</v>
      </c>
      <c r="K266" s="2717" t="s">
        <v>1889</v>
      </c>
      <c r="L266" s="2729">
        <f>'Part II-Development Team'!L84</f>
        <v>0</v>
      </c>
      <c r="M266" s="2729"/>
      <c r="N266" s="2724" t="s">
        <v>2081</v>
      </c>
      <c r="O266" s="2733">
        <f>'Part II-Development Team'!O84</f>
        <v>0</v>
      </c>
      <c r="P266" s="2733"/>
      <c r="Q266" s="2733"/>
      <c r="R266" s="2733"/>
      <c r="S266" s="2733"/>
    </row>
    <row r="267" spans="1:19">
      <c r="A267" s="2719"/>
      <c r="B267" s="2719"/>
      <c r="C267" s="2719"/>
      <c r="D267" s="2719"/>
      <c r="E267" s="2719"/>
      <c r="F267" s="2719"/>
      <c r="G267" s="2719"/>
      <c r="H267" s="2793"/>
      <c r="I267" s="2793"/>
      <c r="J267" s="2793"/>
      <c r="K267" s="2717"/>
      <c r="L267" s="2793"/>
      <c r="M267" s="2793"/>
      <c r="N267" s="2717"/>
      <c r="O267" s="2793"/>
      <c r="P267" s="2793"/>
      <c r="Q267" s="2717"/>
      <c r="R267" s="2793"/>
      <c r="S267" s="2793"/>
    </row>
    <row r="268" spans="1:19">
      <c r="A268" s="2713"/>
      <c r="B268" s="2716" t="s">
        <v>2083</v>
      </c>
      <c r="C268" s="2716" t="s">
        <v>300</v>
      </c>
      <c r="D268" s="2713"/>
      <c r="E268" s="2713"/>
      <c r="F268" s="2713"/>
      <c r="G268" s="2713"/>
      <c r="H268" s="2728" t="str">
        <f>'Part II-Development Team'!H86</f>
        <v>McLain &amp; Brown Construction Company, Inc.</v>
      </c>
      <c r="I268" s="2771"/>
      <c r="J268" s="2771"/>
      <c r="K268" s="2771"/>
      <c r="L268" s="2771"/>
      <c r="M268" s="2771"/>
      <c r="N268" s="2771"/>
      <c r="O268" s="2721" t="s">
        <v>2087</v>
      </c>
      <c r="P268" s="2721"/>
      <c r="Q268" s="2728" t="str">
        <f>'Part II-Development Team'!Q86</f>
        <v>David Brown</v>
      </c>
      <c r="R268" s="2771"/>
      <c r="S268" s="2771"/>
    </row>
    <row r="269" spans="1:19">
      <c r="A269" s="2713"/>
      <c r="B269" s="2713"/>
      <c r="C269" s="2713"/>
      <c r="D269" s="2787"/>
      <c r="E269" s="2721" t="s">
        <v>1070</v>
      </c>
      <c r="F269" s="2724"/>
      <c r="G269" s="2713"/>
      <c r="H269" s="2728" t="str">
        <f>'Part II-Development Team'!H87</f>
        <v>3548 North Crossing Circle</v>
      </c>
      <c r="I269" s="2771"/>
      <c r="J269" s="2771"/>
      <c r="K269" s="2771"/>
      <c r="L269" s="2771"/>
      <c r="M269" s="2771"/>
      <c r="N269" s="2771"/>
      <c r="O269" s="2721" t="s">
        <v>1834</v>
      </c>
      <c r="P269" s="2713"/>
      <c r="Q269" s="2728" t="str">
        <f>'Part II-Development Team'!Q87</f>
        <v>President</v>
      </c>
      <c r="R269" s="2771"/>
      <c r="S269" s="2771"/>
    </row>
    <row r="270" spans="1:19">
      <c r="A270" s="2713"/>
      <c r="B270" s="2713"/>
      <c r="C270" s="2713"/>
      <c r="D270" s="2787"/>
      <c r="E270" s="2721" t="s">
        <v>648</v>
      </c>
      <c r="F270" s="2713"/>
      <c r="G270" s="2713"/>
      <c r="H270" s="2728" t="str">
        <f>'Part II-Development Team'!H88</f>
        <v>Valdosta</v>
      </c>
      <c r="I270" s="2771"/>
      <c r="J270" s="2771"/>
      <c r="K270" s="2717" t="s">
        <v>2873</v>
      </c>
      <c r="L270" s="2728" t="str">
        <f>'Part II-Development Team'!L88</f>
        <v>invmgt.com</v>
      </c>
      <c r="M270" s="2771"/>
      <c r="N270" s="2771"/>
      <c r="O270" s="2721" t="s">
        <v>1890</v>
      </c>
      <c r="P270" s="2713"/>
      <c r="Q270" s="2729">
        <f>'Part II-Development Team'!Q88</f>
        <v>0</v>
      </c>
      <c r="R270" s="2729"/>
      <c r="S270" s="2729"/>
    </row>
    <row r="271" spans="1:19">
      <c r="A271" s="2713"/>
      <c r="B271" s="2713"/>
      <c r="C271" s="2713"/>
      <c r="D271" s="2713"/>
      <c r="E271" s="2721" t="s">
        <v>1886</v>
      </c>
      <c r="F271" s="2713"/>
      <c r="G271" s="2713"/>
      <c r="H271" s="2717" t="str">
        <f>'Part II-Development Team'!H89</f>
        <v>GA</v>
      </c>
      <c r="I271" s="2717" t="s">
        <v>4579</v>
      </c>
      <c r="J271" s="2731">
        <f>'Part II-Development Team'!J89</f>
        <v>316026408</v>
      </c>
      <c r="K271" s="2771"/>
      <c r="L271" s="2713"/>
      <c r="M271" s="2713"/>
      <c r="N271" s="2713"/>
      <c r="O271" s="2721" t="s">
        <v>2076</v>
      </c>
      <c r="P271" s="2713"/>
      <c r="Q271" s="2729">
        <f>'Part II-Development Team'!Q89</f>
        <v>2292921316</v>
      </c>
      <c r="R271" s="2729"/>
      <c r="S271" s="2729"/>
    </row>
    <row r="272" spans="1:19">
      <c r="A272" s="2713"/>
      <c r="B272" s="2713"/>
      <c r="C272" s="2713"/>
      <c r="D272" s="2787"/>
      <c r="E272" s="2721" t="s">
        <v>2082</v>
      </c>
      <c r="F272" s="2713"/>
      <c r="G272" s="2713"/>
      <c r="H272" s="2729">
        <f>'Part II-Development Team'!H90</f>
        <v>2292440644</v>
      </c>
      <c r="I272" s="2729"/>
      <c r="J272" s="2726">
        <f>'Part II-Development Team'!J90</f>
        <v>212</v>
      </c>
      <c r="K272" s="2717" t="s">
        <v>1889</v>
      </c>
      <c r="L272" s="2729">
        <f>'Part II-Development Team'!L90</f>
        <v>2292451173</v>
      </c>
      <c r="M272" s="2729"/>
      <c r="N272" s="2724" t="s">
        <v>2081</v>
      </c>
      <c r="O272" s="2733" t="str">
        <f>'Part II-Development Team'!O90</f>
        <v>dbrown@invmgt.com</v>
      </c>
      <c r="P272" s="2733"/>
      <c r="Q272" s="2733"/>
      <c r="R272" s="2733"/>
      <c r="S272" s="2733"/>
    </row>
    <row r="273" spans="1:19">
      <c r="A273" s="2719"/>
      <c r="B273" s="2719"/>
      <c r="C273" s="2719"/>
      <c r="D273" s="2719"/>
      <c r="E273" s="2719"/>
      <c r="F273" s="2719"/>
      <c r="G273" s="2719"/>
      <c r="H273" s="2793"/>
      <c r="I273" s="2793"/>
      <c r="J273" s="2793"/>
      <c r="K273" s="2717"/>
      <c r="L273" s="2793"/>
      <c r="M273" s="2793"/>
      <c r="N273" s="2717"/>
      <c r="O273" s="2793"/>
      <c r="P273" s="2793"/>
      <c r="Q273" s="2717"/>
      <c r="R273" s="2793"/>
      <c r="S273" s="2793"/>
    </row>
    <row r="274" spans="1:19">
      <c r="A274" s="2713"/>
      <c r="B274" s="2716" t="s">
        <v>788</v>
      </c>
      <c r="C274" s="2716" t="s">
        <v>301</v>
      </c>
      <c r="D274" s="2713"/>
      <c r="E274" s="2713"/>
      <c r="F274" s="2719"/>
      <c r="G274" s="2713"/>
      <c r="H274" s="2728" t="str">
        <f>'Part II-Development Team'!H92</f>
        <v>Investors Management Company of Valdosta, Inc.</v>
      </c>
      <c r="I274" s="2771"/>
      <c r="J274" s="2771"/>
      <c r="K274" s="2771"/>
      <c r="L274" s="2771"/>
      <c r="M274" s="2771"/>
      <c r="N274" s="2771"/>
      <c r="O274" s="2721" t="s">
        <v>2087</v>
      </c>
      <c r="P274" s="2721"/>
      <c r="Q274" s="2728" t="str">
        <f>'Part II-Development Team'!Q92</f>
        <v>Becky Watson</v>
      </c>
      <c r="R274" s="2771"/>
      <c r="S274" s="2771"/>
    </row>
    <row r="275" spans="1:19">
      <c r="A275" s="2713"/>
      <c r="B275" s="2713"/>
      <c r="C275" s="2713"/>
      <c r="D275" s="2787"/>
      <c r="E275" s="2721" t="s">
        <v>1070</v>
      </c>
      <c r="F275" s="2724"/>
      <c r="G275" s="2713"/>
      <c r="H275" s="2728" t="str">
        <f>'Part II-Development Team'!H93</f>
        <v>3548 North Crossing Circle</v>
      </c>
      <c r="I275" s="2771"/>
      <c r="J275" s="2771"/>
      <c r="K275" s="2771"/>
      <c r="L275" s="2771"/>
      <c r="M275" s="2771"/>
      <c r="N275" s="2771"/>
      <c r="O275" s="2721" t="s">
        <v>1834</v>
      </c>
      <c r="P275" s="2713"/>
      <c r="Q275" s="2728" t="str">
        <f>'Part II-Development Team'!Q93</f>
        <v>Chief Financial Officer</v>
      </c>
      <c r="R275" s="2771"/>
      <c r="S275" s="2771"/>
    </row>
    <row r="276" spans="1:19">
      <c r="A276" s="2713"/>
      <c r="B276" s="2713"/>
      <c r="C276" s="2713"/>
      <c r="D276" s="2787"/>
      <c r="E276" s="2721" t="s">
        <v>648</v>
      </c>
      <c r="F276" s="2713"/>
      <c r="G276" s="2713"/>
      <c r="H276" s="2728" t="str">
        <f>'Part II-Development Team'!H94</f>
        <v>Valdosta</v>
      </c>
      <c r="I276" s="2771"/>
      <c r="J276" s="2771"/>
      <c r="K276" s="2717" t="s">
        <v>2873</v>
      </c>
      <c r="L276" s="2728" t="str">
        <f>'Part II-Development Team'!L94</f>
        <v>www.invmgt.com</v>
      </c>
      <c r="M276" s="2771"/>
      <c r="N276" s="2771"/>
      <c r="O276" s="2721" t="s">
        <v>1890</v>
      </c>
      <c r="P276" s="2713"/>
      <c r="Q276" s="2729">
        <f>'Part II-Development Team'!Q94</f>
        <v>0</v>
      </c>
      <c r="R276" s="2729"/>
      <c r="S276" s="2729"/>
    </row>
    <row r="277" spans="1:19">
      <c r="A277" s="2713"/>
      <c r="B277" s="2713"/>
      <c r="C277" s="2713"/>
      <c r="D277" s="2787"/>
      <c r="E277" s="2721" t="s">
        <v>1886</v>
      </c>
      <c r="F277" s="2713"/>
      <c r="G277" s="2713"/>
      <c r="H277" s="2717" t="str">
        <f>'Part II-Development Team'!H95</f>
        <v>GA</v>
      </c>
      <c r="I277" s="2717" t="s">
        <v>4579</v>
      </c>
      <c r="J277" s="2731">
        <f>'Part II-Development Team'!J95</f>
        <v>316026408</v>
      </c>
      <c r="K277" s="2771"/>
      <c r="L277" s="2713"/>
      <c r="M277" s="2713"/>
      <c r="N277" s="2713"/>
      <c r="O277" s="2721" t="s">
        <v>2076</v>
      </c>
      <c r="P277" s="2713"/>
      <c r="Q277" s="2729">
        <f>'Part II-Development Team'!Q95</f>
        <v>0</v>
      </c>
      <c r="R277" s="2729"/>
      <c r="S277" s="2729"/>
    </row>
    <row r="278" spans="1:19">
      <c r="A278" s="2713"/>
      <c r="B278" s="2713"/>
      <c r="C278" s="2713"/>
      <c r="D278" s="2787"/>
      <c r="E278" s="2721" t="s">
        <v>2082</v>
      </c>
      <c r="F278" s="2713"/>
      <c r="G278" s="2713"/>
      <c r="H278" s="2729">
        <f>'Part II-Development Team'!H96</f>
        <v>2292479956</v>
      </c>
      <c r="I278" s="2729"/>
      <c r="J278" s="2726">
        <f>'Part II-Development Team'!J96</f>
        <v>223</v>
      </c>
      <c r="K278" s="2717" t="s">
        <v>1889</v>
      </c>
      <c r="L278" s="2729">
        <f>'Part II-Development Team'!L96</f>
        <v>2292451173</v>
      </c>
      <c r="M278" s="2729"/>
      <c r="N278" s="2724" t="s">
        <v>2081</v>
      </c>
      <c r="O278" s="2733" t="str">
        <f>'Part II-Development Team'!O96</f>
        <v>bwatson@invmgt.com</v>
      </c>
      <c r="P278" s="2733"/>
      <c r="Q278" s="2733"/>
      <c r="R278" s="2733"/>
      <c r="S278" s="2733"/>
    </row>
    <row r="279" spans="1:19">
      <c r="A279" s="2719"/>
      <c r="B279" s="2719"/>
      <c r="C279" s="2719"/>
      <c r="D279" s="2719"/>
      <c r="E279" s="2719"/>
      <c r="F279" s="2719"/>
      <c r="G279" s="2719"/>
      <c r="H279" s="2793"/>
      <c r="I279" s="2793"/>
      <c r="J279" s="2793"/>
      <c r="K279" s="2717"/>
      <c r="L279" s="2793"/>
      <c r="M279" s="2793"/>
      <c r="N279" s="2717"/>
      <c r="O279" s="2793"/>
      <c r="P279" s="2793"/>
      <c r="Q279" s="2717"/>
      <c r="R279" s="2793"/>
      <c r="S279" s="2793"/>
    </row>
    <row r="280" spans="1:19">
      <c r="A280" s="2713"/>
      <c r="B280" s="2716" t="s">
        <v>2215</v>
      </c>
      <c r="C280" s="2716" t="s">
        <v>302</v>
      </c>
      <c r="D280" s="2713"/>
      <c r="E280" s="2713"/>
      <c r="F280" s="2713"/>
      <c r="G280" s="2713"/>
      <c r="H280" s="2728" t="str">
        <f>'Part II-Development Team'!H98</f>
        <v>Coleman Talley, LLP</v>
      </c>
      <c r="I280" s="2771"/>
      <c r="J280" s="2771"/>
      <c r="K280" s="2771"/>
      <c r="L280" s="2771"/>
      <c r="M280" s="2771"/>
      <c r="N280" s="2771"/>
      <c r="O280" s="2721" t="s">
        <v>2087</v>
      </c>
      <c r="P280" s="2721"/>
      <c r="Q280" s="2728" t="str">
        <f>'Part II-Development Team'!Q98</f>
        <v>Thompson Kurrie, Jr</v>
      </c>
      <c r="R280" s="2771"/>
      <c r="S280" s="2771"/>
    </row>
    <row r="281" spans="1:19">
      <c r="A281" s="2713"/>
      <c r="B281" s="2713"/>
      <c r="C281" s="2713"/>
      <c r="D281" s="2787"/>
      <c r="E281" s="2721" t="s">
        <v>1070</v>
      </c>
      <c r="F281" s="2724"/>
      <c r="G281" s="2713"/>
      <c r="H281" s="2728" t="str">
        <f>'Part II-Development Team'!H99</f>
        <v>910 N Patterson Street</v>
      </c>
      <c r="I281" s="2771"/>
      <c r="J281" s="2771"/>
      <c r="K281" s="2771"/>
      <c r="L281" s="2771"/>
      <c r="M281" s="2771"/>
      <c r="N281" s="2771"/>
      <c r="O281" s="2721" t="s">
        <v>1834</v>
      </c>
      <c r="P281" s="2713"/>
      <c r="Q281" s="2728" t="str">
        <f>'Part II-Development Team'!Q99</f>
        <v>Partner</v>
      </c>
      <c r="R281" s="2771"/>
      <c r="S281" s="2771"/>
    </row>
    <row r="282" spans="1:19">
      <c r="A282" s="2713"/>
      <c r="B282" s="2713"/>
      <c r="C282" s="2713"/>
      <c r="D282" s="2787"/>
      <c r="E282" s="2721" t="s">
        <v>648</v>
      </c>
      <c r="F282" s="2713"/>
      <c r="G282" s="2713"/>
      <c r="H282" s="2728" t="str">
        <f>'Part II-Development Team'!H100</f>
        <v>Valdosta</v>
      </c>
      <c r="I282" s="2771"/>
      <c r="J282" s="2771"/>
      <c r="K282" s="2717" t="s">
        <v>2873</v>
      </c>
      <c r="L282" s="2728" t="str">
        <f>'Part II-Development Team'!L100</f>
        <v>www.colemantalley.com</v>
      </c>
      <c r="M282" s="2771"/>
      <c r="N282" s="2771"/>
      <c r="O282" s="2721" t="s">
        <v>1890</v>
      </c>
      <c r="P282" s="2713"/>
      <c r="Q282" s="2729">
        <f>'Part II-Development Team'!Q100</f>
        <v>6789870936</v>
      </c>
      <c r="R282" s="2729"/>
      <c r="S282" s="2729"/>
    </row>
    <row r="283" spans="1:19">
      <c r="A283" s="2713"/>
      <c r="B283" s="2713"/>
      <c r="C283" s="2713"/>
      <c r="D283" s="2787"/>
      <c r="E283" s="2721" t="s">
        <v>1886</v>
      </c>
      <c r="F283" s="2713"/>
      <c r="G283" s="2713"/>
      <c r="H283" s="2717" t="str">
        <f>'Part II-Development Team'!H101</f>
        <v>GA</v>
      </c>
      <c r="I283" s="2717" t="s">
        <v>4579</v>
      </c>
      <c r="J283" s="2731">
        <f>'Part II-Development Team'!J101</f>
        <v>316044531</v>
      </c>
      <c r="K283" s="2771"/>
      <c r="L283" s="2713"/>
      <c r="M283" s="2713"/>
      <c r="N283" s="2713"/>
      <c r="O283" s="2721" t="s">
        <v>2076</v>
      </c>
      <c r="P283" s="2713"/>
      <c r="Q283" s="2729">
        <f>'Part II-Development Team'!Q101</f>
        <v>2293001404</v>
      </c>
      <c r="R283" s="2729"/>
      <c r="S283" s="2729"/>
    </row>
    <row r="284" spans="1:19">
      <c r="A284" s="2719"/>
      <c r="B284" s="2719"/>
      <c r="C284" s="2719"/>
      <c r="D284" s="2719"/>
      <c r="E284" s="2721" t="s">
        <v>2082</v>
      </c>
      <c r="F284" s="2713"/>
      <c r="G284" s="2713"/>
      <c r="H284" s="2729">
        <f>'Part II-Development Team'!H102</f>
        <v>2292427562</v>
      </c>
      <c r="I284" s="2729"/>
      <c r="J284" s="2726">
        <f>'Part II-Development Team'!J102</f>
        <v>0</v>
      </c>
      <c r="K284" s="2717" t="s">
        <v>1889</v>
      </c>
      <c r="L284" s="2729">
        <f>'Part II-Development Team'!L102</f>
        <v>7706989729</v>
      </c>
      <c r="M284" s="2729"/>
      <c r="N284" s="2724" t="s">
        <v>2081</v>
      </c>
      <c r="O284" s="2733" t="str">
        <f>'Part II-Development Team'!O102</f>
        <v>tom.kurrie@colemantalley.com</v>
      </c>
      <c r="P284" s="2733"/>
      <c r="Q284" s="2733"/>
      <c r="R284" s="2733"/>
      <c r="S284" s="2733"/>
    </row>
    <row r="285" spans="1:19">
      <c r="A285" s="2719"/>
      <c r="B285" s="2719"/>
      <c r="C285" s="2719"/>
      <c r="D285" s="2719"/>
      <c r="E285" s="2721"/>
      <c r="F285" s="2713"/>
      <c r="G285" s="2713"/>
      <c r="H285" s="2713"/>
      <c r="I285" s="2713"/>
      <c r="J285" s="2713"/>
      <c r="K285" s="2713"/>
      <c r="L285" s="2713"/>
      <c r="M285" s="2713"/>
      <c r="N285" s="2713"/>
      <c r="O285" s="2713"/>
      <c r="P285" s="2713"/>
      <c r="Q285" s="2717"/>
      <c r="R285" s="2717"/>
      <c r="S285" s="2719"/>
    </row>
    <row r="286" spans="1:19">
      <c r="A286" s="2719"/>
      <c r="B286" s="2719"/>
      <c r="C286" s="2719"/>
      <c r="D286" s="2719"/>
      <c r="E286" s="2721"/>
      <c r="F286" s="2713"/>
      <c r="G286" s="2713"/>
      <c r="H286" s="2793"/>
      <c r="I286" s="2793"/>
      <c r="J286" s="2793"/>
      <c r="K286" s="2717"/>
      <c r="L286" s="2793"/>
      <c r="M286" s="2793"/>
      <c r="N286" s="2717"/>
      <c r="O286" s="2793"/>
      <c r="P286" s="2793"/>
      <c r="Q286" s="2717"/>
      <c r="R286" s="2793"/>
      <c r="S286" s="2793"/>
    </row>
    <row r="287" spans="1:19">
      <c r="A287" s="2713"/>
      <c r="B287" s="2716" t="s">
        <v>1822</v>
      </c>
      <c r="C287" s="2716" t="s">
        <v>303</v>
      </c>
      <c r="D287" s="2713"/>
      <c r="E287" s="2713"/>
      <c r="F287" s="2713"/>
      <c r="G287" s="2713"/>
      <c r="H287" s="2728" t="str">
        <f>'Part II-Development Team'!H105</f>
        <v>Habif Arogeti &amp; Wynne, PC</v>
      </c>
      <c r="I287" s="2771"/>
      <c r="J287" s="2771"/>
      <c r="K287" s="2771"/>
      <c r="L287" s="2771"/>
      <c r="M287" s="2771"/>
      <c r="N287" s="2771"/>
      <c r="O287" s="2721" t="s">
        <v>2087</v>
      </c>
      <c r="P287" s="2721"/>
      <c r="Q287" s="2728" t="str">
        <f>'Part II-Development Team'!Q105</f>
        <v>Frank Gudger</v>
      </c>
      <c r="R287" s="2771"/>
      <c r="S287" s="2771"/>
    </row>
    <row r="288" spans="1:19">
      <c r="A288" s="2713"/>
      <c r="B288" s="2713"/>
      <c r="C288" s="2713"/>
      <c r="D288" s="2787"/>
      <c r="E288" s="2721" t="s">
        <v>1070</v>
      </c>
      <c r="F288" s="2724"/>
      <c r="G288" s="2713"/>
      <c r="H288" s="2728" t="str">
        <f>'Part II-Development Team'!H106</f>
        <v>Five Concourse Parkway, Suite 1000</v>
      </c>
      <c r="I288" s="2771"/>
      <c r="J288" s="2771"/>
      <c r="K288" s="2771"/>
      <c r="L288" s="2771"/>
      <c r="M288" s="2771"/>
      <c r="N288" s="2771"/>
      <c r="O288" s="2721" t="s">
        <v>1834</v>
      </c>
      <c r="P288" s="2713"/>
      <c r="Q288" s="2728" t="str">
        <f>'Part II-Development Team'!Q106</f>
        <v>Partner</v>
      </c>
      <c r="R288" s="2771"/>
      <c r="S288" s="2771"/>
    </row>
    <row r="289" spans="1:19">
      <c r="A289" s="2713"/>
      <c r="B289" s="2713"/>
      <c r="C289" s="2713"/>
      <c r="D289" s="2787"/>
      <c r="E289" s="2721" t="s">
        <v>648</v>
      </c>
      <c r="F289" s="2713"/>
      <c r="G289" s="2713"/>
      <c r="H289" s="2728" t="str">
        <f>'Part II-Development Team'!H107</f>
        <v>Atlanta</v>
      </c>
      <c r="I289" s="2771"/>
      <c r="J289" s="2771"/>
      <c r="K289" s="2717" t="s">
        <v>2873</v>
      </c>
      <c r="L289" s="2728">
        <f>'Part II-Development Team'!L107</f>
        <v>0</v>
      </c>
      <c r="M289" s="2771"/>
      <c r="N289" s="2771"/>
      <c r="O289" s="2721" t="s">
        <v>1890</v>
      </c>
      <c r="P289" s="2713"/>
      <c r="Q289" s="2729">
        <f>'Part II-Development Team'!Q107</f>
        <v>4048988244</v>
      </c>
      <c r="R289" s="2729"/>
      <c r="S289" s="2729"/>
    </row>
    <row r="290" spans="1:19">
      <c r="A290" s="2713"/>
      <c r="B290" s="2713"/>
      <c r="C290" s="2713"/>
      <c r="D290" s="2787"/>
      <c r="E290" s="2721" t="s">
        <v>1886</v>
      </c>
      <c r="F290" s="2713"/>
      <c r="G290" s="2713"/>
      <c r="H290" s="2717" t="str">
        <f>'Part II-Development Team'!H108</f>
        <v>GA</v>
      </c>
      <c r="I290" s="2717" t="s">
        <v>4579</v>
      </c>
      <c r="J290" s="2731">
        <f>'Part II-Development Team'!J108</f>
        <v>303286132</v>
      </c>
      <c r="K290" s="2771"/>
      <c r="L290" s="2713"/>
      <c r="M290" s="2713"/>
      <c r="N290" s="2713"/>
      <c r="O290" s="2721" t="s">
        <v>2076</v>
      </c>
      <c r="P290" s="2713"/>
      <c r="Q290" s="2729">
        <f>'Part II-Development Team'!Q108</f>
        <v>0</v>
      </c>
      <c r="R290" s="2729"/>
      <c r="S290" s="2729"/>
    </row>
    <row r="291" spans="1:19">
      <c r="A291" s="2719"/>
      <c r="B291" s="2719"/>
      <c r="C291" s="2719"/>
      <c r="D291" s="2719"/>
      <c r="E291" s="2721" t="s">
        <v>2082</v>
      </c>
      <c r="F291" s="2713"/>
      <c r="G291" s="2713"/>
      <c r="H291" s="2729">
        <f>'Part II-Development Team'!H109</f>
        <v>4048929651</v>
      </c>
      <c r="I291" s="2729"/>
      <c r="J291" s="2726">
        <f>'Part II-Development Team'!J109</f>
        <v>0</v>
      </c>
      <c r="K291" s="2717" t="s">
        <v>1889</v>
      </c>
      <c r="L291" s="2729">
        <f>'Part II-Development Team'!L109</f>
        <v>4048763913</v>
      </c>
      <c r="M291" s="2729"/>
      <c r="N291" s="2724" t="s">
        <v>2081</v>
      </c>
      <c r="O291" s="2733" t="str">
        <f>'Part II-Development Team'!O109</f>
        <v>frank.gudger@hawcpa.com</v>
      </c>
      <c r="P291" s="2733"/>
      <c r="Q291" s="2733"/>
      <c r="R291" s="2733"/>
      <c r="S291" s="2733"/>
    </row>
    <row r="292" spans="1:19">
      <c r="A292" s="2719"/>
      <c r="B292" s="2719"/>
      <c r="C292" s="2719"/>
      <c r="D292" s="2719"/>
      <c r="E292" s="2721"/>
      <c r="F292" s="2713"/>
      <c r="G292" s="2713"/>
      <c r="H292" s="2793"/>
      <c r="I292" s="2793"/>
      <c r="J292" s="2793"/>
      <c r="K292" s="2717"/>
      <c r="L292" s="2793"/>
      <c r="M292" s="2793"/>
      <c r="N292" s="2717"/>
      <c r="O292" s="2793"/>
      <c r="P292" s="2793"/>
      <c r="Q292" s="2717"/>
      <c r="R292" s="2793"/>
      <c r="S292" s="2793"/>
    </row>
    <row r="293" spans="1:19">
      <c r="A293" s="2713"/>
      <c r="B293" s="2716" t="s">
        <v>1823</v>
      </c>
      <c r="C293" s="2716" t="s">
        <v>304</v>
      </c>
      <c r="D293" s="2713"/>
      <c r="E293" s="2713"/>
      <c r="F293" s="2713"/>
      <c r="G293" s="2713"/>
      <c r="H293" s="2728" t="str">
        <f>'Part II-Development Team'!H111</f>
        <v>Studio 8 Design, LLC</v>
      </c>
      <c r="I293" s="2771"/>
      <c r="J293" s="2771"/>
      <c r="K293" s="2771"/>
      <c r="L293" s="2771"/>
      <c r="M293" s="2771"/>
      <c r="N293" s="2771"/>
      <c r="O293" s="2721" t="s">
        <v>2087</v>
      </c>
      <c r="P293" s="2721"/>
      <c r="Q293" s="2728" t="str">
        <f>'Part II-Development Team'!Q111</f>
        <v>Robert Byington, Jr</v>
      </c>
      <c r="R293" s="2771"/>
      <c r="S293" s="2771"/>
    </row>
    <row r="294" spans="1:19">
      <c r="A294" s="2713"/>
      <c r="B294" s="2713"/>
      <c r="C294" s="2713"/>
      <c r="D294" s="2787"/>
      <c r="E294" s="2721" t="s">
        <v>1070</v>
      </c>
      <c r="F294" s="2724"/>
      <c r="G294" s="2713"/>
      <c r="H294" s="2728" t="str">
        <f>'Part II-Development Team'!H112</f>
        <v>2215 Bemiss Road, Suite E</v>
      </c>
      <c r="I294" s="2771"/>
      <c r="J294" s="2771"/>
      <c r="K294" s="2771"/>
      <c r="L294" s="2771"/>
      <c r="M294" s="2771"/>
      <c r="N294" s="2771"/>
      <c r="O294" s="2721" t="s">
        <v>1834</v>
      </c>
      <c r="P294" s="2713"/>
      <c r="Q294" s="2728" t="str">
        <f>'Part II-Development Team'!Q112</f>
        <v>Principal</v>
      </c>
      <c r="R294" s="2771"/>
      <c r="S294" s="2771"/>
    </row>
    <row r="295" spans="1:19">
      <c r="A295" s="2713"/>
      <c r="B295" s="2713"/>
      <c r="C295" s="2713"/>
      <c r="D295" s="2787"/>
      <c r="E295" s="2721" t="s">
        <v>648</v>
      </c>
      <c r="F295" s="2713"/>
      <c r="G295" s="2713"/>
      <c r="H295" s="2728" t="str">
        <f>'Part II-Development Team'!H113</f>
        <v>Valdosta</v>
      </c>
      <c r="I295" s="2771"/>
      <c r="J295" s="2771"/>
      <c r="K295" s="2717" t="s">
        <v>2873</v>
      </c>
      <c r="L295" s="2728" t="str">
        <f>'Part II-Development Team'!L113</f>
        <v>www.s8darchitects.com</v>
      </c>
      <c r="M295" s="2771"/>
      <c r="N295" s="2771"/>
      <c r="O295" s="2721" t="s">
        <v>1890</v>
      </c>
      <c r="P295" s="2713"/>
      <c r="Q295" s="2729">
        <f>'Part II-Development Team'!Q113</f>
        <v>0</v>
      </c>
      <c r="R295" s="2729"/>
      <c r="S295" s="2729"/>
    </row>
    <row r="296" spans="1:19">
      <c r="A296" s="2713"/>
      <c r="B296" s="2713"/>
      <c r="C296" s="2713"/>
      <c r="D296" s="2787"/>
      <c r="E296" s="2721" t="s">
        <v>1886</v>
      </c>
      <c r="F296" s="2713"/>
      <c r="G296" s="2713"/>
      <c r="H296" s="2717" t="str">
        <f>'Part II-Development Team'!H114</f>
        <v>GA</v>
      </c>
      <c r="I296" s="2717" t="s">
        <v>4579</v>
      </c>
      <c r="J296" s="2731">
        <f>'Part II-Development Team'!J114</f>
        <v>316023735</v>
      </c>
      <c r="K296" s="2771"/>
      <c r="L296" s="2713"/>
      <c r="M296" s="2713"/>
      <c r="N296" s="2713"/>
      <c r="O296" s="2721" t="s">
        <v>2076</v>
      </c>
      <c r="P296" s="2713"/>
      <c r="Q296" s="2729">
        <f>'Part II-Development Team'!Q114</f>
        <v>0</v>
      </c>
      <c r="R296" s="2729"/>
      <c r="S296" s="2729"/>
    </row>
    <row r="297" spans="1:19">
      <c r="A297" s="2713"/>
      <c r="B297" s="2713"/>
      <c r="C297" s="2713"/>
      <c r="D297" s="2787"/>
      <c r="E297" s="2721" t="s">
        <v>2082</v>
      </c>
      <c r="F297" s="2713"/>
      <c r="G297" s="2713"/>
      <c r="H297" s="2729">
        <f>'Part II-Development Team'!H115</f>
        <v>2292441188</v>
      </c>
      <c r="I297" s="2729"/>
      <c r="J297" s="2726">
        <f>'Part II-Development Team'!J115</f>
        <v>0</v>
      </c>
      <c r="K297" s="2717" t="s">
        <v>1889</v>
      </c>
      <c r="L297" s="2729">
        <f>'Part II-Development Team'!L115</f>
        <v>2292530004</v>
      </c>
      <c r="M297" s="2729"/>
      <c r="N297" s="2724" t="s">
        <v>2081</v>
      </c>
      <c r="O297" s="2733" t="str">
        <f>'Part II-Development Team'!O115</f>
        <v>rbyington@studio8design.biz</v>
      </c>
      <c r="P297" s="2733"/>
      <c r="Q297" s="2733"/>
      <c r="R297" s="2733"/>
      <c r="S297" s="2733"/>
    </row>
    <row r="298" spans="1:19">
      <c r="A298" s="2719"/>
      <c r="B298" s="2719"/>
      <c r="C298" s="2719"/>
      <c r="D298" s="2719"/>
      <c r="E298" s="2719"/>
      <c r="F298" s="2719"/>
      <c r="G298" s="2719"/>
      <c r="H298" s="2719"/>
      <c r="I298" s="2719"/>
      <c r="J298" s="2719"/>
      <c r="K298" s="2719"/>
      <c r="L298" s="2719"/>
      <c r="M298" s="2719"/>
      <c r="N298" s="2719"/>
      <c r="O298" s="2719"/>
      <c r="P298" s="2719"/>
      <c r="Q298" s="2719"/>
      <c r="R298" s="2719"/>
      <c r="S298" s="2719"/>
    </row>
    <row r="299" spans="1:19">
      <c r="A299" s="2716" t="s">
        <v>1879</v>
      </c>
      <c r="B299" s="2716" t="s">
        <v>2730</v>
      </c>
      <c r="C299" s="2713"/>
      <c r="D299" s="2713"/>
      <c r="E299" s="2713"/>
      <c r="F299" s="2716"/>
      <c r="G299" s="2717"/>
      <c r="H299" s="2717"/>
      <c r="I299" s="2717"/>
      <c r="J299" s="2717"/>
      <c r="K299" s="2717"/>
      <c r="L299" s="2717"/>
      <c r="M299" s="2717"/>
      <c r="N299" s="2717"/>
      <c r="O299" s="2717"/>
      <c r="P299" s="2717"/>
      <c r="Q299" s="2717"/>
      <c r="R299" s="2713"/>
      <c r="S299" s="2713"/>
    </row>
    <row r="300" spans="1:19">
      <c r="A300" s="2716"/>
      <c r="B300" s="2716"/>
      <c r="C300" s="2713"/>
      <c r="D300" s="2713"/>
      <c r="E300" s="2713"/>
      <c r="F300" s="2716"/>
      <c r="G300" s="2717"/>
      <c r="H300" s="2717"/>
      <c r="I300" s="2717"/>
      <c r="J300" s="2717"/>
      <c r="K300" s="2717"/>
      <c r="L300" s="2717"/>
      <c r="M300" s="2717"/>
      <c r="N300" s="2717"/>
      <c r="O300" s="2717"/>
      <c r="P300" s="2717"/>
      <c r="Q300" s="2717"/>
      <c r="R300" s="2713"/>
      <c r="S300" s="2713"/>
    </row>
    <row r="301" spans="1:19">
      <c r="A301" s="2719"/>
      <c r="B301" s="2716" t="s">
        <v>2080</v>
      </c>
      <c r="C301" s="2716" t="s">
        <v>3175</v>
      </c>
      <c r="D301" s="2719"/>
      <c r="E301" s="2719"/>
      <c r="F301" s="2719"/>
      <c r="G301" s="2719"/>
      <c r="H301" s="2795"/>
      <c r="I301" s="2795"/>
      <c r="J301" s="2795"/>
      <c r="K301" s="2795"/>
      <c r="L301" s="2795"/>
      <c r="M301" s="2795"/>
      <c r="N301" s="2795"/>
      <c r="O301" s="2795"/>
      <c r="P301" s="2795"/>
      <c r="Q301" s="2795"/>
      <c r="R301" s="2795"/>
      <c r="S301" s="2795"/>
    </row>
    <row r="302" spans="1:19">
      <c r="A302" s="2796" t="s">
        <v>4022</v>
      </c>
      <c r="B302" s="2796"/>
      <c r="C302" s="2796"/>
      <c r="D302" s="2796"/>
      <c r="E302" s="2796"/>
      <c r="F302" s="2726" t="s">
        <v>2635</v>
      </c>
      <c r="G302" s="2797" t="s">
        <v>4216</v>
      </c>
      <c r="H302" s="2797"/>
      <c r="I302" s="2797"/>
      <c r="J302" s="2797"/>
      <c r="K302" s="2797"/>
      <c r="L302" s="2797"/>
      <c r="M302" s="2797"/>
      <c r="N302" s="2797"/>
      <c r="O302" s="2797"/>
      <c r="P302" s="2797"/>
      <c r="Q302" s="2797"/>
      <c r="R302" s="2797"/>
      <c r="S302" s="2797"/>
    </row>
    <row r="303" spans="1:19">
      <c r="A303" s="2713"/>
      <c r="B303" s="2776"/>
      <c r="C303" s="2798" t="s">
        <v>2084</v>
      </c>
      <c r="D303" s="2799" t="s">
        <v>3176</v>
      </c>
      <c r="E303" s="2799"/>
      <c r="F303" s="2800" t="str">
        <f>'Part II-Development Team'!F121</f>
        <v>Yes</v>
      </c>
      <c r="G303" s="2801" t="str">
        <f>'Part II-Development Team'!G121</f>
        <v xml:space="preserve">David A. Brown is President and 100% stockholder of McLain &amp; Brown Construction Co., Inc and stockholder of DHM Developer, Inc..   Melanie Ferrell and Houston B. Brown are officers of McLain &amp; Brown Construction  Co., Inc.and stockholders of DHM Developer, Inc.  </v>
      </c>
      <c r="H303" s="2801"/>
      <c r="I303" s="2801"/>
      <c r="J303" s="2801"/>
      <c r="K303" s="2801"/>
      <c r="L303" s="2801"/>
      <c r="M303" s="2801"/>
      <c r="N303" s="2801"/>
      <c r="O303" s="2801"/>
      <c r="P303" s="2801"/>
      <c r="Q303" s="2801"/>
      <c r="R303" s="2801"/>
      <c r="S303" s="2801"/>
    </row>
    <row r="304" spans="1:19">
      <c r="A304" s="2713"/>
      <c r="B304" s="2776"/>
      <c r="C304" s="2798" t="s">
        <v>2086</v>
      </c>
      <c r="D304" s="2799" t="s">
        <v>3296</v>
      </c>
      <c r="E304" s="2799"/>
      <c r="F304" s="2800" t="str">
        <f>'Part II-Development Team'!F122</f>
        <v>Yes</v>
      </c>
      <c r="G304" s="2801" t="str">
        <f>'Part II-Development Team'!G122</f>
        <v>David A. Brown and Melanie Ferrell have interest in both the Buyer and Seller entities.</v>
      </c>
      <c r="H304" s="2801"/>
      <c r="I304" s="2801"/>
      <c r="J304" s="2801"/>
      <c r="K304" s="2801"/>
      <c r="L304" s="2801"/>
      <c r="M304" s="2801"/>
      <c r="N304" s="2801"/>
      <c r="O304" s="2801"/>
      <c r="P304" s="2801"/>
      <c r="Q304" s="2801"/>
      <c r="R304" s="2801"/>
      <c r="S304" s="2801"/>
    </row>
    <row r="305" spans="1:19">
      <c r="A305" s="2713"/>
      <c r="B305" s="2776"/>
      <c r="C305" s="2798" t="s">
        <v>2660</v>
      </c>
      <c r="D305" s="2799" t="s">
        <v>3262</v>
      </c>
      <c r="E305" s="2799"/>
      <c r="F305" s="2800" t="str">
        <f>'Part II-Development Team'!F123</f>
        <v>Yes</v>
      </c>
      <c r="G305" s="2801" t="str">
        <f>'Part II-Development Team'!G123</f>
        <v>David A. Brown is President and 100% stockholder of McLain &amp; Brown Construction Co., Inc  and a prinicpal  of the owner entity.   Melanie Ferrell and Houston B. Brown are officers of McLain &amp; Brown Construction  Co., Inc. and principals of the owner entity.</v>
      </c>
      <c r="H305" s="2801"/>
      <c r="I305" s="2801"/>
      <c r="J305" s="2801"/>
      <c r="K305" s="2801"/>
      <c r="L305" s="2801"/>
      <c r="M305" s="2801"/>
      <c r="N305" s="2801"/>
      <c r="O305" s="2801"/>
      <c r="P305" s="2801"/>
      <c r="Q305" s="2801"/>
      <c r="R305" s="2801"/>
      <c r="S305" s="2801"/>
    </row>
    <row r="306" spans="1:19">
      <c r="A306" s="2713"/>
      <c r="B306" s="2776"/>
      <c r="C306" s="2798" t="s">
        <v>1282</v>
      </c>
      <c r="D306" s="2799" t="s">
        <v>3177</v>
      </c>
      <c r="E306" s="2799"/>
      <c r="F306" s="2800">
        <f>'Part II-Development Team'!F124</f>
        <v>0</v>
      </c>
      <c r="G306" s="2801" t="str">
        <f>'Part II-Development Team'!G124</f>
        <v>N/A\</v>
      </c>
      <c r="H306" s="2801"/>
      <c r="I306" s="2801"/>
      <c r="J306" s="2801"/>
      <c r="K306" s="2801"/>
      <c r="L306" s="2801"/>
      <c r="M306" s="2801"/>
      <c r="N306" s="2801"/>
      <c r="O306" s="2801"/>
      <c r="P306" s="2801"/>
      <c r="Q306" s="2801"/>
      <c r="R306" s="2801"/>
      <c r="S306" s="2801"/>
    </row>
    <row r="307" spans="1:19">
      <c r="A307" s="2713"/>
      <c r="B307" s="2776"/>
      <c r="C307" s="2798" t="s">
        <v>1283</v>
      </c>
      <c r="D307" s="2799" t="s">
        <v>4165</v>
      </c>
      <c r="E307" s="2799"/>
      <c r="F307" s="2800" t="str">
        <f>'Part II-Development Team'!F125</f>
        <v>No</v>
      </c>
      <c r="G307" s="2801">
        <f>'Part II-Development Team'!G125</f>
        <v>0</v>
      </c>
      <c r="H307" s="2801"/>
      <c r="I307" s="2801"/>
      <c r="J307" s="2801"/>
      <c r="K307" s="2801"/>
      <c r="L307" s="2801"/>
      <c r="M307" s="2801"/>
      <c r="N307" s="2801"/>
      <c r="O307" s="2801"/>
      <c r="P307" s="2801"/>
      <c r="Q307" s="2801"/>
      <c r="R307" s="2801"/>
      <c r="S307" s="2801"/>
    </row>
    <row r="308" spans="1:19">
      <c r="A308" s="2713"/>
      <c r="B308" s="2776"/>
      <c r="C308" s="2798" t="s">
        <v>1977</v>
      </c>
      <c r="D308" s="2799" t="s">
        <v>4166</v>
      </c>
      <c r="E308" s="2799"/>
      <c r="F308" s="2800" t="str">
        <f>'Part II-Development Team'!F126</f>
        <v>No</v>
      </c>
      <c r="G308" s="2801">
        <f>'Part II-Development Team'!G126</f>
        <v>0</v>
      </c>
      <c r="H308" s="2801"/>
      <c r="I308" s="2801"/>
      <c r="J308" s="2801"/>
      <c r="K308" s="2801"/>
      <c r="L308" s="2801"/>
      <c r="M308" s="2801"/>
      <c r="N308" s="2801"/>
      <c r="O308" s="2801"/>
      <c r="P308" s="2801"/>
      <c r="Q308" s="2801"/>
      <c r="R308" s="2801"/>
      <c r="S308" s="2801"/>
    </row>
    <row r="309" spans="1:19">
      <c r="A309" s="2713"/>
      <c r="B309" s="2776"/>
      <c r="C309" s="2798" t="s">
        <v>525</v>
      </c>
      <c r="D309" s="2799" t="s">
        <v>3178</v>
      </c>
      <c r="E309" s="2799"/>
      <c r="F309" s="2800">
        <f>'Part II-Development Team'!F127</f>
        <v>0</v>
      </c>
      <c r="G309" s="2801" t="str">
        <f>'Part II-Development Team'!G127</f>
        <v>N/A</v>
      </c>
      <c r="H309" s="2801"/>
      <c r="I309" s="2801"/>
      <c r="J309" s="2801"/>
      <c r="K309" s="2801"/>
      <c r="L309" s="2801"/>
      <c r="M309" s="2801"/>
      <c r="N309" s="2801"/>
      <c r="O309" s="2801"/>
      <c r="P309" s="2801"/>
      <c r="Q309" s="2801"/>
      <c r="R309" s="2801"/>
      <c r="S309" s="2801"/>
    </row>
    <row r="310" spans="1:19">
      <c r="A310" s="2713"/>
      <c r="B310" s="2776"/>
      <c r="C310" s="2798" t="s">
        <v>526</v>
      </c>
      <c r="D310" s="2799" t="s">
        <v>1678</v>
      </c>
      <c r="E310" s="2799"/>
      <c r="F310" s="2800" t="str">
        <f>'Part II-Development Team'!F128</f>
        <v>Yes</v>
      </c>
      <c r="G310" s="2801" t="str">
        <f>'Part II-Development Team'!G128</f>
        <v>There is an identity of interest with the proposed management agent.  David A. Brown is Vice-President and 100% stockholder of Investors Management Company,   Inc., and a principal of the owner and developer.  Melanie Ferrell and Houston Brown are officers and employees  of Investors Management Company and principals of the owner and developer.</v>
      </c>
      <c r="H310" s="2801"/>
      <c r="I310" s="2801"/>
      <c r="J310" s="2801"/>
      <c r="K310" s="2801"/>
      <c r="L310" s="2801"/>
      <c r="M310" s="2801"/>
      <c r="N310" s="2801"/>
      <c r="O310" s="2801"/>
      <c r="P310" s="2801"/>
      <c r="Q310" s="2801"/>
      <c r="R310" s="2801"/>
      <c r="S310" s="2801"/>
    </row>
    <row r="311" spans="1:19">
      <c r="A311" s="2716" t="s">
        <v>1879</v>
      </c>
      <c r="B311" s="2716" t="s">
        <v>4581</v>
      </c>
      <c r="C311" s="2713"/>
      <c r="D311" s="2713"/>
      <c r="E311" s="2713"/>
      <c r="F311" s="2716"/>
      <c r="G311" s="2717"/>
      <c r="H311" s="2717"/>
      <c r="I311" s="2717"/>
      <c r="J311" s="2717"/>
      <c r="K311" s="2717"/>
      <c r="L311" s="2717"/>
      <c r="M311" s="2717"/>
      <c r="N311" s="2717"/>
      <c r="O311" s="2717"/>
      <c r="P311" s="2717"/>
      <c r="Q311" s="2717"/>
      <c r="R311" s="2713"/>
      <c r="S311" s="2713"/>
    </row>
    <row r="312" spans="1:19">
      <c r="A312" s="2716"/>
      <c r="B312" s="2716"/>
      <c r="C312" s="2713"/>
      <c r="D312" s="2713"/>
      <c r="E312" s="2713"/>
      <c r="F312" s="2716"/>
      <c r="G312" s="2717"/>
      <c r="H312" s="2717"/>
      <c r="I312" s="2717"/>
      <c r="J312" s="2717"/>
      <c r="K312" s="2717"/>
      <c r="L312" s="2717"/>
      <c r="M312" s="2717"/>
      <c r="N312" s="2717"/>
      <c r="O312" s="2717"/>
      <c r="P312" s="2717"/>
      <c r="Q312" s="2717"/>
      <c r="R312" s="2713"/>
      <c r="S312" s="2713"/>
    </row>
    <row r="313" spans="1:19">
      <c r="A313" s="2719"/>
      <c r="B313" s="2716" t="s">
        <v>2083</v>
      </c>
      <c r="C313" s="2716" t="s">
        <v>3179</v>
      </c>
      <c r="D313" s="2719"/>
      <c r="E313" s="2719"/>
      <c r="F313" s="2719"/>
      <c r="G313" s="2719"/>
      <c r="H313" s="2719"/>
      <c r="I313" s="2719"/>
      <c r="J313" s="2719"/>
      <c r="K313" s="2719"/>
      <c r="L313" s="2719"/>
      <c r="M313" s="2719"/>
      <c r="N313" s="2719"/>
      <c r="O313" s="2719"/>
      <c r="P313" s="2719"/>
      <c r="Q313" s="2719"/>
      <c r="R313" s="2719"/>
      <c r="S313" s="2719"/>
    </row>
    <row r="314" spans="1:19">
      <c r="A314" s="2799" t="s">
        <v>670</v>
      </c>
      <c r="B314" s="2799"/>
      <c r="C314" s="2799"/>
      <c r="D314" s="2799"/>
      <c r="E314" s="2802" t="s">
        <v>4028</v>
      </c>
      <c r="F314" s="2803"/>
      <c r="G314" s="2803"/>
      <c r="H314" s="2803"/>
      <c r="I314" s="2803"/>
      <c r="J314" s="2802" t="s">
        <v>4029</v>
      </c>
      <c r="K314" s="2803" t="s">
        <v>4582</v>
      </c>
      <c r="L314" s="2803" t="s">
        <v>4583</v>
      </c>
      <c r="M314" s="2803" t="s">
        <v>4584</v>
      </c>
      <c r="N314" s="2803"/>
      <c r="O314" s="2803"/>
      <c r="P314" s="2803"/>
      <c r="Q314" s="2803"/>
      <c r="R314" s="2803"/>
      <c r="S314" s="2803"/>
    </row>
    <row r="315" spans="1:19">
      <c r="A315" s="2799"/>
      <c r="B315" s="2799"/>
      <c r="C315" s="2799"/>
      <c r="D315" s="2799"/>
      <c r="E315" s="2803"/>
      <c r="F315" s="2803"/>
      <c r="G315" s="2803"/>
      <c r="H315" s="2803"/>
      <c r="I315" s="2803"/>
      <c r="J315" s="2802"/>
      <c r="K315" s="2803"/>
      <c r="L315" s="2803"/>
      <c r="M315" s="2803"/>
      <c r="N315" s="2803"/>
      <c r="O315" s="2803"/>
      <c r="P315" s="2803"/>
      <c r="Q315" s="2803"/>
      <c r="R315" s="2803"/>
      <c r="S315" s="2803"/>
    </row>
    <row r="316" spans="1:19">
      <c r="A316" s="2799"/>
      <c r="B316" s="2799"/>
      <c r="C316" s="2799"/>
      <c r="D316" s="2799"/>
      <c r="E316" s="2713"/>
      <c r="F316" s="2804"/>
      <c r="G316" s="2804"/>
      <c r="H316" s="2804"/>
      <c r="I316" s="2805"/>
      <c r="J316" s="2802"/>
      <c r="K316" s="2803"/>
      <c r="L316" s="2803"/>
      <c r="M316" s="2803"/>
      <c r="N316" s="2803"/>
      <c r="O316" s="2803"/>
      <c r="P316" s="2803"/>
      <c r="Q316" s="2803"/>
      <c r="R316" s="2803"/>
      <c r="S316" s="2803"/>
    </row>
    <row r="317" spans="1:19">
      <c r="A317" s="2799"/>
      <c r="B317" s="2799"/>
      <c r="C317" s="2799"/>
      <c r="D317" s="2799"/>
      <c r="E317" s="2806" t="s">
        <v>4119</v>
      </c>
      <c r="F317" s="2806"/>
      <c r="G317" s="2806"/>
      <c r="H317" s="2806"/>
      <c r="I317" s="2805"/>
      <c r="J317" s="2802"/>
      <c r="K317" s="2803"/>
      <c r="L317" s="2803"/>
      <c r="M317" s="2803"/>
      <c r="N317" s="2803"/>
      <c r="O317" s="2803"/>
      <c r="P317" s="2803"/>
      <c r="Q317" s="2803"/>
      <c r="R317" s="2803"/>
      <c r="S317" s="2803"/>
    </row>
    <row r="318" spans="1:19">
      <c r="A318" s="2799"/>
      <c r="B318" s="2799"/>
      <c r="C318" s="2799"/>
      <c r="D318" s="2799"/>
      <c r="E318" s="2806"/>
      <c r="F318" s="2806"/>
      <c r="G318" s="2806"/>
      <c r="H318" s="2806"/>
      <c r="I318" s="2807" t="s">
        <v>2635</v>
      </c>
      <c r="J318" s="2802"/>
      <c r="K318" s="2803"/>
      <c r="L318" s="2803"/>
      <c r="M318" s="2726" t="s">
        <v>2635</v>
      </c>
      <c r="N318" s="2742" t="s">
        <v>3330</v>
      </c>
      <c r="O318" s="2742"/>
      <c r="P318" s="2742"/>
      <c r="Q318" s="2742"/>
      <c r="R318" s="2742"/>
      <c r="S318" s="2742"/>
    </row>
    <row r="319" spans="1:19">
      <c r="A319" s="2799" t="s">
        <v>4023</v>
      </c>
      <c r="B319" s="2799"/>
      <c r="C319" s="2799"/>
      <c r="D319" s="2799"/>
      <c r="E319" s="2801">
        <f>'Part II-Development Team'!E137</f>
        <v>0</v>
      </c>
      <c r="F319" s="2801"/>
      <c r="G319" s="2801"/>
      <c r="H319" s="2801"/>
      <c r="I319" s="2800" t="str">
        <f>'Part II-Development Team'!I137</f>
        <v>No</v>
      </c>
      <c r="J319" s="2800" t="str">
        <f>'Part II-Development Team'!J137</f>
        <v>No</v>
      </c>
      <c r="K319" s="2808" t="str">
        <f>'Part II-Development Team'!K137</f>
        <v>For Profit</v>
      </c>
      <c r="L319" s="2809">
        <f>'Part II-Development Team'!L137</f>
        <v>9.0000000000000006E-5</v>
      </c>
      <c r="M319" s="2800" t="str">
        <f>'Part II-Development Team'!M137</f>
        <v>Yes</v>
      </c>
      <c r="N319" s="2810" t="str">
        <f>'Part II-Development Team'!N137</f>
        <v xml:space="preserve">IOI between General Partner, Contractor, Developer, Management Agent. </v>
      </c>
      <c r="O319" s="2810"/>
      <c r="P319" s="2810"/>
      <c r="Q319" s="2810"/>
      <c r="R319" s="2810"/>
      <c r="S319" s="2810"/>
    </row>
    <row r="320" spans="1:19">
      <c r="A320" s="2799" t="s">
        <v>4024</v>
      </c>
      <c r="B320" s="2799"/>
      <c r="C320" s="2799"/>
      <c r="D320" s="2799"/>
      <c r="E320" s="2801">
        <f>'Part II-Development Team'!E138</f>
        <v>0</v>
      </c>
      <c r="F320" s="2801"/>
      <c r="G320" s="2801"/>
      <c r="H320" s="2801"/>
      <c r="I320" s="2800">
        <f>'Part II-Development Team'!I138</f>
        <v>0</v>
      </c>
      <c r="J320" s="2800">
        <f>'Part II-Development Team'!J138</f>
        <v>0</v>
      </c>
      <c r="K320" s="2808">
        <f>'Part II-Development Team'!K138</f>
        <v>0</v>
      </c>
      <c r="L320" s="2809">
        <f>'Part II-Development Team'!L138</f>
        <v>0</v>
      </c>
      <c r="M320" s="2800">
        <f>'Part II-Development Team'!M138</f>
        <v>0</v>
      </c>
      <c r="N320" s="2810">
        <f>'Part II-Development Team'!N138</f>
        <v>0</v>
      </c>
      <c r="O320" s="2810"/>
      <c r="P320" s="2810"/>
      <c r="Q320" s="2810"/>
      <c r="R320" s="2810"/>
      <c r="S320" s="2810"/>
    </row>
    <row r="321" spans="1:19">
      <c r="A321" s="2799" t="s">
        <v>4025</v>
      </c>
      <c r="B321" s="2799"/>
      <c r="C321" s="2799"/>
      <c r="D321" s="2799"/>
      <c r="E321" s="2801">
        <f>'Part II-Development Team'!E139</f>
        <v>0</v>
      </c>
      <c r="F321" s="2801"/>
      <c r="G321" s="2801"/>
      <c r="H321" s="2801"/>
      <c r="I321" s="2800">
        <f>'Part II-Development Team'!I139</f>
        <v>0</v>
      </c>
      <c r="J321" s="2800">
        <f>'Part II-Development Team'!J139</f>
        <v>0</v>
      </c>
      <c r="K321" s="2808">
        <f>'Part II-Development Team'!K139</f>
        <v>0</v>
      </c>
      <c r="L321" s="2809">
        <f>'Part II-Development Team'!L139</f>
        <v>0</v>
      </c>
      <c r="M321" s="2800">
        <f>'Part II-Development Team'!M139</f>
        <v>0</v>
      </c>
      <c r="N321" s="2810">
        <f>'Part II-Development Team'!N139</f>
        <v>0</v>
      </c>
      <c r="O321" s="2810"/>
      <c r="P321" s="2810"/>
      <c r="Q321" s="2810"/>
      <c r="R321" s="2810"/>
      <c r="S321" s="2810"/>
    </row>
    <row r="322" spans="1:19">
      <c r="A322" s="2799" t="s">
        <v>4026</v>
      </c>
      <c r="B322" s="2799"/>
      <c r="C322" s="2799"/>
      <c r="D322" s="2799"/>
      <c r="E322" s="2801">
        <f>'Part II-Development Team'!E140</f>
        <v>0</v>
      </c>
      <c r="F322" s="2801"/>
      <c r="G322" s="2801"/>
      <c r="H322" s="2801"/>
      <c r="I322" s="2800" t="str">
        <f>'Part II-Development Team'!I140</f>
        <v>No</v>
      </c>
      <c r="J322" s="2800" t="str">
        <f>'Part II-Development Team'!J140</f>
        <v>No</v>
      </c>
      <c r="K322" s="2808" t="str">
        <f>'Part II-Development Team'!K140</f>
        <v>For Profit</v>
      </c>
      <c r="L322" s="2809">
        <f>'Part II-Development Team'!L140</f>
        <v>0.99980999999999998</v>
      </c>
      <c r="M322" s="2800" t="str">
        <f>'Part II-Development Team'!M140</f>
        <v>No</v>
      </c>
      <c r="N322" s="2810">
        <f>'Part II-Development Team'!N140</f>
        <v>0</v>
      </c>
      <c r="O322" s="2810"/>
      <c r="P322" s="2810"/>
      <c r="Q322" s="2810"/>
      <c r="R322" s="2810"/>
      <c r="S322" s="2810"/>
    </row>
    <row r="323" spans="1:19">
      <c r="A323" s="2799" t="s">
        <v>4027</v>
      </c>
      <c r="B323" s="2799"/>
      <c r="C323" s="2799"/>
      <c r="D323" s="2799"/>
      <c r="E323" s="2801">
        <f>'Part II-Development Team'!E141</f>
        <v>0</v>
      </c>
      <c r="F323" s="2801"/>
      <c r="G323" s="2801"/>
      <c r="H323" s="2801"/>
      <c r="I323" s="2800" t="str">
        <f>'Part II-Development Team'!I141</f>
        <v>No</v>
      </c>
      <c r="J323" s="2800" t="str">
        <f>'Part II-Development Team'!J141</f>
        <v>No</v>
      </c>
      <c r="K323" s="2808" t="str">
        <f>'Part II-Development Team'!K141</f>
        <v>For Profit</v>
      </c>
      <c r="L323" s="2809">
        <f>'Part II-Development Team'!L141</f>
        <v>1E-4</v>
      </c>
      <c r="M323" s="2800" t="str">
        <f>'Part II-Development Team'!M141</f>
        <v>No</v>
      </c>
      <c r="N323" s="2810">
        <f>'Part II-Development Team'!N141</f>
        <v>0</v>
      </c>
      <c r="O323" s="2810"/>
      <c r="P323" s="2810"/>
      <c r="Q323" s="2810"/>
      <c r="R323" s="2810"/>
      <c r="S323" s="2810"/>
    </row>
    <row r="324" spans="1:19">
      <c r="A324" s="2799" t="s">
        <v>3289</v>
      </c>
      <c r="B324" s="2799"/>
      <c r="C324" s="2799"/>
      <c r="D324" s="2799"/>
      <c r="E324" s="2801">
        <f>'Part II-Development Team'!E142</f>
        <v>0</v>
      </c>
      <c r="F324" s="2801"/>
      <c r="G324" s="2801"/>
      <c r="H324" s="2801"/>
      <c r="I324" s="2800">
        <f>'Part II-Development Team'!I142</f>
        <v>0</v>
      </c>
      <c r="J324" s="2800">
        <f>'Part II-Development Team'!J142</f>
        <v>0</v>
      </c>
      <c r="K324" s="2808">
        <f>'Part II-Development Team'!K142</f>
        <v>0</v>
      </c>
      <c r="L324" s="2809">
        <f>'Part II-Development Team'!L142</f>
        <v>0</v>
      </c>
      <c r="M324" s="2800">
        <f>'Part II-Development Team'!M142</f>
        <v>0</v>
      </c>
      <c r="N324" s="2810">
        <f>'Part II-Development Team'!N142</f>
        <v>0</v>
      </c>
      <c r="O324" s="2810"/>
      <c r="P324" s="2810"/>
      <c r="Q324" s="2810"/>
      <c r="R324" s="2810"/>
      <c r="S324" s="2810"/>
    </row>
    <row r="325" spans="1:19">
      <c r="A325" s="2799" t="s">
        <v>687</v>
      </c>
      <c r="B325" s="2799"/>
      <c r="C325" s="2799"/>
      <c r="D325" s="2799"/>
      <c r="E325" s="2801">
        <f>'Part II-Development Team'!E143</f>
        <v>0</v>
      </c>
      <c r="F325" s="2801"/>
      <c r="G325" s="2801"/>
      <c r="H325" s="2801"/>
      <c r="I325" s="2800" t="str">
        <f>'Part II-Development Team'!I143</f>
        <v>No</v>
      </c>
      <c r="J325" s="2800" t="str">
        <f>'Part II-Development Team'!J143</f>
        <v>No</v>
      </c>
      <c r="K325" s="2808" t="str">
        <f>'Part II-Development Team'!K143</f>
        <v>For Profit</v>
      </c>
      <c r="L325" s="2809">
        <f>'Part II-Development Team'!L143</f>
        <v>0</v>
      </c>
      <c r="M325" s="2800" t="str">
        <f>'Part II-Development Team'!M143</f>
        <v>Yes</v>
      </c>
      <c r="N325" s="2810" t="str">
        <f>'Part II-Development Team'!N143</f>
        <v xml:space="preserve">IOI between General Partner, Contractor, Developer, Management Agent. </v>
      </c>
      <c r="O325" s="2810"/>
      <c r="P325" s="2810"/>
      <c r="Q325" s="2810"/>
      <c r="R325" s="2810"/>
      <c r="S325" s="2810"/>
    </row>
    <row r="326" spans="1:19">
      <c r="A326" s="2799" t="s">
        <v>3290</v>
      </c>
      <c r="B326" s="2799"/>
      <c r="C326" s="2799"/>
      <c r="D326" s="2799"/>
      <c r="E326" s="2801">
        <f>'Part II-Development Team'!E144</f>
        <v>0</v>
      </c>
      <c r="F326" s="2801"/>
      <c r="G326" s="2801"/>
      <c r="H326" s="2801"/>
      <c r="I326" s="2800">
        <f>'Part II-Development Team'!I144</f>
        <v>0</v>
      </c>
      <c r="J326" s="2800">
        <f>'Part II-Development Team'!J144</f>
        <v>0</v>
      </c>
      <c r="K326" s="2808">
        <f>'Part II-Development Team'!K144</f>
        <v>0</v>
      </c>
      <c r="L326" s="2809">
        <f>'Part II-Development Team'!L144</f>
        <v>0</v>
      </c>
      <c r="M326" s="2800">
        <f>'Part II-Development Team'!M144</f>
        <v>0</v>
      </c>
      <c r="N326" s="2810">
        <f>'Part II-Development Team'!N144</f>
        <v>0</v>
      </c>
      <c r="O326" s="2810"/>
      <c r="P326" s="2810"/>
      <c r="Q326" s="2810"/>
      <c r="R326" s="2810"/>
      <c r="S326" s="2810"/>
    </row>
    <row r="327" spans="1:19">
      <c r="A327" s="2799" t="s">
        <v>3291</v>
      </c>
      <c r="B327" s="2799"/>
      <c r="C327" s="2799"/>
      <c r="D327" s="2799"/>
      <c r="E327" s="2801">
        <f>'Part II-Development Team'!E145</f>
        <v>0</v>
      </c>
      <c r="F327" s="2801"/>
      <c r="G327" s="2801"/>
      <c r="H327" s="2801"/>
      <c r="I327" s="2800">
        <f>'Part II-Development Team'!I145</f>
        <v>0</v>
      </c>
      <c r="J327" s="2800">
        <f>'Part II-Development Team'!J145</f>
        <v>0</v>
      </c>
      <c r="K327" s="2808">
        <f>'Part II-Development Team'!K145</f>
        <v>0</v>
      </c>
      <c r="L327" s="2809">
        <f>'Part II-Development Team'!L145</f>
        <v>0</v>
      </c>
      <c r="M327" s="2800">
        <f>'Part II-Development Team'!M145</f>
        <v>0</v>
      </c>
      <c r="N327" s="2810">
        <f>'Part II-Development Team'!N145</f>
        <v>0</v>
      </c>
      <c r="O327" s="2810"/>
      <c r="P327" s="2810"/>
      <c r="Q327" s="2810"/>
      <c r="R327" s="2810"/>
      <c r="S327" s="2810"/>
    </row>
    <row r="328" spans="1:19">
      <c r="A328" s="2799" t="s">
        <v>3293</v>
      </c>
      <c r="B328" s="2799"/>
      <c r="C328" s="2799"/>
      <c r="D328" s="2799"/>
      <c r="E328" s="2801">
        <f>'Part II-Development Team'!E146</f>
        <v>0</v>
      </c>
      <c r="F328" s="2801"/>
      <c r="G328" s="2801"/>
      <c r="H328" s="2801"/>
      <c r="I328" s="2800">
        <f>'Part II-Development Team'!I146</f>
        <v>0</v>
      </c>
      <c r="J328" s="2800">
        <f>'Part II-Development Team'!J146</f>
        <v>0</v>
      </c>
      <c r="K328" s="2808">
        <f>'Part II-Development Team'!K146</f>
        <v>0</v>
      </c>
      <c r="L328" s="2809">
        <f>'Part II-Development Team'!L146</f>
        <v>0</v>
      </c>
      <c r="M328" s="2800">
        <f>'Part II-Development Team'!M146</f>
        <v>0</v>
      </c>
      <c r="N328" s="2810">
        <f>'Part II-Development Team'!N146</f>
        <v>0</v>
      </c>
      <c r="O328" s="2810"/>
      <c r="P328" s="2810"/>
      <c r="Q328" s="2810"/>
      <c r="R328" s="2810"/>
      <c r="S328" s="2810"/>
    </row>
    <row r="329" spans="1:19">
      <c r="A329" s="2799" t="s">
        <v>3292</v>
      </c>
      <c r="B329" s="2799"/>
      <c r="C329" s="2799"/>
      <c r="D329" s="2799"/>
      <c r="E329" s="2801">
        <f>'Part II-Development Team'!E147</f>
        <v>0</v>
      </c>
      <c r="F329" s="2801"/>
      <c r="G329" s="2801"/>
      <c r="H329" s="2801"/>
      <c r="I329" s="2800">
        <f>'Part II-Development Team'!I147</f>
        <v>0</v>
      </c>
      <c r="J329" s="2800">
        <f>'Part II-Development Team'!J147</f>
        <v>0</v>
      </c>
      <c r="K329" s="2808">
        <f>'Part II-Development Team'!K147</f>
        <v>0</v>
      </c>
      <c r="L329" s="2809">
        <f>'Part II-Development Team'!L147</f>
        <v>0</v>
      </c>
      <c r="M329" s="2800">
        <f>'Part II-Development Team'!M147</f>
        <v>0</v>
      </c>
      <c r="N329" s="2810">
        <f>'Part II-Development Team'!N147</f>
        <v>0</v>
      </c>
      <c r="O329" s="2810"/>
      <c r="P329" s="2810"/>
      <c r="Q329" s="2810"/>
      <c r="R329" s="2810"/>
      <c r="S329" s="2810"/>
    </row>
    <row r="330" spans="1:19">
      <c r="A330" s="2799" t="s">
        <v>1604</v>
      </c>
      <c r="B330" s="2799"/>
      <c r="C330" s="2799"/>
      <c r="D330" s="2799"/>
      <c r="E330" s="2801">
        <f>'Part II-Development Team'!E148</f>
        <v>0</v>
      </c>
      <c r="F330" s="2801"/>
      <c r="G330" s="2801"/>
      <c r="H330" s="2801"/>
      <c r="I330" s="2800" t="str">
        <f>'Part II-Development Team'!I148</f>
        <v>No</v>
      </c>
      <c r="J330" s="2800" t="str">
        <f>'Part II-Development Team'!J148</f>
        <v>No</v>
      </c>
      <c r="K330" s="2808" t="str">
        <f>'Part II-Development Team'!K148</f>
        <v>For Profit</v>
      </c>
      <c r="L330" s="2809">
        <f>'Part II-Development Team'!L148</f>
        <v>0</v>
      </c>
      <c r="M330" s="2800" t="str">
        <f>'Part II-Development Team'!M148</f>
        <v>Yes</v>
      </c>
      <c r="N330" s="2810" t="str">
        <f>'Part II-Development Team'!N148</f>
        <v xml:space="preserve">IOI between General Partner, Contractor, Developer, Management Agent. </v>
      </c>
      <c r="O330" s="2810"/>
      <c r="P330" s="2810"/>
      <c r="Q330" s="2810"/>
      <c r="R330" s="2810"/>
      <c r="S330" s="2810"/>
    </row>
    <row r="331" spans="1:19">
      <c r="A331" s="2799" t="s">
        <v>3294</v>
      </c>
      <c r="B331" s="2799"/>
      <c r="C331" s="2799"/>
      <c r="D331" s="2799"/>
      <c r="E331" s="2801">
        <f>'Part II-Development Team'!E149</f>
        <v>0</v>
      </c>
      <c r="F331" s="2801"/>
      <c r="G331" s="2801"/>
      <c r="H331" s="2801"/>
      <c r="I331" s="2800" t="str">
        <f>'Part II-Development Team'!I149</f>
        <v>No</v>
      </c>
      <c r="J331" s="2800" t="str">
        <f>'Part II-Development Team'!J149</f>
        <v>No</v>
      </c>
      <c r="K331" s="2808" t="str">
        <f>'Part II-Development Team'!K149</f>
        <v>For Profit</v>
      </c>
      <c r="L331" s="2809">
        <f>'Part II-Development Team'!L149</f>
        <v>0</v>
      </c>
      <c r="M331" s="2800" t="str">
        <f>'Part II-Development Team'!M149</f>
        <v>Yes</v>
      </c>
      <c r="N331" s="2810" t="str">
        <f>'Part II-Development Team'!N149</f>
        <v xml:space="preserve">IOI between General Partner, Contractor, Developer, Management Agent. </v>
      </c>
      <c r="O331" s="2810"/>
      <c r="P331" s="2810"/>
      <c r="Q331" s="2810"/>
      <c r="R331" s="2810"/>
      <c r="S331" s="2810"/>
    </row>
    <row r="332" spans="1:19">
      <c r="A332" s="2713"/>
      <c r="B332" s="2713"/>
      <c r="C332" s="2713"/>
      <c r="D332" s="2713"/>
      <c r="E332" s="2713"/>
      <c r="F332" s="2713"/>
      <c r="G332" s="2716"/>
      <c r="H332" s="2716"/>
      <c r="I332" s="2716"/>
      <c r="J332" s="2717"/>
      <c r="K332" s="2766" t="s">
        <v>562</v>
      </c>
      <c r="L332" s="2811">
        <f>SUM(L319:S331)</f>
        <v>1</v>
      </c>
      <c r="M332" s="2717"/>
      <c r="N332" s="2713"/>
      <c r="O332" s="2713"/>
      <c r="P332" s="2719"/>
      <c r="Q332" s="2713"/>
      <c r="R332" s="2713"/>
      <c r="S332" s="2713"/>
    </row>
    <row r="333" spans="1:19">
      <c r="A333" s="2759" t="s">
        <v>1881</v>
      </c>
      <c r="B333" s="2762"/>
      <c r="C333" s="2759" t="s">
        <v>598</v>
      </c>
      <c r="D333" s="2719"/>
      <c r="E333" s="2719"/>
      <c r="F333" s="2719"/>
      <c r="G333" s="2719"/>
      <c r="H333" s="2719"/>
      <c r="I333" s="2719"/>
      <c r="J333" s="2719"/>
      <c r="K333" s="2719"/>
      <c r="L333" s="2719"/>
      <c r="M333" s="2719"/>
      <c r="N333" s="2759" t="s">
        <v>553</v>
      </c>
      <c r="O333" s="2759" t="s">
        <v>81</v>
      </c>
      <c r="P333" s="2719"/>
      <c r="Q333" s="2719"/>
      <c r="R333" s="2719"/>
      <c r="S333" s="2719"/>
    </row>
    <row r="334" spans="1:19" ht="13.5">
      <c r="A334" s="2786" t="str">
        <f>'Part II-Development Team'!A152</f>
        <v xml:space="preserve">      The principals of the general partner entity and developer entity are David A. Brown, Melanie Ferrell and Houston M. Brown.  David A. Brown and Houston M. Brown are related as father and son.    
       Arbor Trace II Lake Park, LP is a newly formed entity with Arbor Trace II Lake Park Partners LLC as its General Partner.    There are identities of interest between the general partner, developer, contractor, management company and land buyer/seller.
       The General Partner, Arbor Trace II Lake Park Partners LLC is a newly formed  single member LLC.   The single member is BFB General Partners, LLC.  David A. Brown is managing member of BFB General Partners, LLC with 80% interest.  Melanie Ferrell is a   member of BFB General Partners, LLC with 10% interest.  Houston Brown is a member of   BFB General Partners, LLC with 10% interest.  
       David A Brown is the President and 60% stockholder of DHM Developer, Inc., the developer.   Melanie Ferrell is 20% stockholder of DHM Developer, Inc.   Houston Brown is 20% stockholder of DHM Developer, Inc.    
       David A. Brown is Vice-President and 100% stockholder of Investors Management Company,   Inc., the management agent.  Melanie Ferrell and Houston Brown are officers and employees of Investors Management Company.
       David A. Brown is President and 100% stockholder of McLain &amp; Brown Construction Co., Inc.   Melanie Ferrell and Houston B. Brown are officers of McLain &amp; Brown Construction Co., Inc.
       There is an identity of interest between the land seller and the Buyer/Owner.  David A. Brown and Melanie Ferrell are members of the Buyer and Seller entity’s partners.
</v>
      </c>
      <c r="B334" s="2786"/>
      <c r="C334" s="2786"/>
      <c r="D334" s="2786"/>
      <c r="E334" s="2786"/>
      <c r="F334" s="2786"/>
      <c r="G334" s="2786"/>
      <c r="H334" s="2786"/>
      <c r="I334" s="2786"/>
      <c r="J334" s="2786"/>
      <c r="K334" s="2786"/>
      <c r="L334" s="2786"/>
      <c r="M334" s="2786"/>
      <c r="N334" s="2786">
        <f>'Part II-Development Team'!N152</f>
        <v>0</v>
      </c>
      <c r="O334" s="2786"/>
      <c r="P334" s="2786"/>
      <c r="Q334" s="2786"/>
      <c r="R334" s="2786"/>
      <c r="S334" s="2786"/>
    </row>
    <row r="337" spans="1:20" ht="13.5">
      <c r="A337" s="2711" t="str">
        <f>CONCATENATE("PART THREE - SOURCES OF FUNDS","  -  ",'Part I-Project Information'!$O$4," ",'Part I-Project Information'!$F$24,", ",'Part I-Project Information'!$F$28,", ",'Part I-Project Information'!$J$29," County")</f>
        <v>PART THREE - SOURCES OF FUNDS  -  2015-026 Arbor Trace Apartments Phase II, Lake Park, Lowndes County</v>
      </c>
      <c r="B337" s="2711"/>
      <c r="C337" s="2711"/>
      <c r="D337" s="2711"/>
      <c r="E337" s="2711"/>
      <c r="F337" s="2711"/>
      <c r="G337" s="2711"/>
      <c r="H337" s="2711"/>
      <c r="I337" s="2711"/>
      <c r="J337" s="2711"/>
      <c r="K337" s="2711"/>
      <c r="L337" s="2711"/>
      <c r="M337" s="2711"/>
      <c r="N337" s="2711"/>
      <c r="O337" s="2711"/>
      <c r="P337" s="2711"/>
      <c r="Q337" s="2711"/>
      <c r="S337" s="2812" t="str">
        <f>$A$1</f>
        <v>Project Narrative</v>
      </c>
      <c r="T337" s="2812"/>
    </row>
    <row r="338" spans="1:20" ht="13.5">
      <c r="A338" s="2719"/>
      <c r="B338" s="2719"/>
      <c r="C338" s="2719"/>
      <c r="D338" s="2719"/>
      <c r="E338" s="2719"/>
      <c r="F338" s="2719"/>
      <c r="G338" s="2719"/>
      <c r="H338" s="2719"/>
      <c r="I338" s="2719"/>
      <c r="J338" s="2719"/>
      <c r="K338" s="2719"/>
      <c r="L338" s="2719"/>
      <c r="M338" s="2719"/>
      <c r="N338" s="2719"/>
      <c r="O338" s="2719"/>
      <c r="P338" s="2719"/>
      <c r="Q338" s="2719"/>
      <c r="S338" s="2813"/>
      <c r="T338" s="2813"/>
    </row>
    <row r="339" spans="1:20" ht="13.5">
      <c r="A339" s="2716" t="s">
        <v>646</v>
      </c>
      <c r="B339" s="2759" t="s">
        <v>2613</v>
      </c>
      <c r="C339" s="2713"/>
      <c r="D339" s="2713"/>
      <c r="E339" s="2713"/>
      <c r="F339" s="2713"/>
      <c r="G339" s="2713"/>
      <c r="H339" s="2789"/>
      <c r="I339" s="2789"/>
      <c r="J339" s="2713"/>
      <c r="K339" s="2789"/>
      <c r="L339" s="2789"/>
      <c r="M339" s="2713"/>
      <c r="N339" s="2713"/>
      <c r="O339" s="2789"/>
      <c r="P339" s="2789"/>
      <c r="Q339" s="2789"/>
      <c r="S339" s="2784" t="str">
        <f>B339</f>
        <v>GOVERNMENT FUNDING SOURCES  (check all that apply)</v>
      </c>
      <c r="T339" s="2789"/>
    </row>
    <row r="340" spans="1:20" ht="13.5">
      <c r="A340" s="2759"/>
      <c r="B340" s="2712"/>
      <c r="C340" s="2759"/>
      <c r="D340" s="2713"/>
      <c r="E340" s="2713"/>
      <c r="F340" s="2713"/>
      <c r="G340" s="2713"/>
      <c r="H340" s="2789"/>
      <c r="I340" s="2789"/>
      <c r="J340" s="2789"/>
      <c r="K340" s="2789"/>
      <c r="L340" s="2789"/>
      <c r="M340" s="2789"/>
      <c r="N340" s="2789"/>
      <c r="O340" s="2789"/>
      <c r="P340" s="2789"/>
      <c r="Q340" s="2789"/>
      <c r="S340" s="2814" t="s">
        <v>2825</v>
      </c>
      <c r="T340" s="2814"/>
    </row>
    <row r="341" spans="1:20" ht="13.5">
      <c r="A341" s="2712"/>
      <c r="B341" s="2717" t="str">
        <f>'Part III-Sources of Funds'!B5</f>
        <v>Yes</v>
      </c>
      <c r="C341" s="2721" t="s">
        <v>2529</v>
      </c>
      <c r="D341" s="2713"/>
      <c r="E341" s="2789"/>
      <c r="F341" s="2789"/>
      <c r="G341" s="2789"/>
      <c r="H341" s="2717" t="str">
        <f>'Part III-Sources of Funds'!H5</f>
        <v>No</v>
      </c>
      <c r="I341" s="2721" t="s">
        <v>2736</v>
      </c>
      <c r="J341" s="2789"/>
      <c r="K341" s="2789"/>
      <c r="L341" s="2789"/>
      <c r="M341" s="2789"/>
      <c r="N341" s="2717" t="str">
        <f>'Part III-Sources of Funds'!N5</f>
        <v>No</v>
      </c>
      <c r="O341" s="2721" t="s">
        <v>3102</v>
      </c>
      <c r="P341" s="2789"/>
      <c r="Q341" s="2789"/>
      <c r="S341" s="2786">
        <f>'Part III-Sources of Funds'!S5</f>
        <v>0</v>
      </c>
      <c r="T341" s="2786"/>
    </row>
    <row r="342" spans="1:20" ht="13.5">
      <c r="A342" s="2712"/>
      <c r="B342" s="2717" t="str">
        <f>'Part III-Sources of Funds'!B6</f>
        <v>No</v>
      </c>
      <c r="C342" s="2721" t="s">
        <v>573</v>
      </c>
      <c r="D342" s="2713"/>
      <c r="E342" s="2789"/>
      <c r="F342" s="2789"/>
      <c r="G342" s="2789"/>
      <c r="H342" s="2717" t="str">
        <f>'Part III-Sources of Funds'!H6</f>
        <v>No</v>
      </c>
      <c r="I342" s="2721" t="s">
        <v>4201</v>
      </c>
      <c r="J342" s="2789"/>
      <c r="K342" s="2715"/>
      <c r="L342" s="2715"/>
      <c r="M342" s="2789"/>
      <c r="N342" s="2717" t="str">
        <f>'Part III-Sources of Funds'!N6</f>
        <v>No</v>
      </c>
      <c r="O342" s="2721" t="s">
        <v>1612</v>
      </c>
      <c r="P342" s="2789"/>
      <c r="Q342" s="2776"/>
      <c r="S342" s="2786"/>
      <c r="T342" s="2786"/>
    </row>
    <row r="343" spans="1:20" ht="13.5">
      <c r="A343" s="2713"/>
      <c r="B343" s="2717" t="str">
        <f>'Part III-Sources of Funds'!B7</f>
        <v>No</v>
      </c>
      <c r="C343" s="2721" t="s">
        <v>1891</v>
      </c>
      <c r="D343" s="2789"/>
      <c r="E343" s="2789"/>
      <c r="F343" s="2789"/>
      <c r="G343" s="2789"/>
      <c r="H343" s="2717" t="str">
        <f>'Part III-Sources of Funds'!H7</f>
        <v>No</v>
      </c>
      <c r="I343" s="2713" t="s">
        <v>2728</v>
      </c>
      <c r="J343" s="2789"/>
      <c r="K343" s="2789"/>
      <c r="L343" s="2789"/>
      <c r="M343" s="2789"/>
      <c r="N343" s="2717" t="str">
        <f>'Part III-Sources of Funds'!N7</f>
        <v>No</v>
      </c>
      <c r="O343" s="2721" t="s">
        <v>572</v>
      </c>
      <c r="P343" s="2789"/>
      <c r="Q343" s="2789"/>
      <c r="S343" s="2786"/>
      <c r="T343" s="2786"/>
    </row>
    <row r="344" spans="1:20" ht="13.5">
      <c r="A344" s="2712"/>
      <c r="B344" s="2717" t="str">
        <f>'Part III-Sources of Funds'!B8</f>
        <v>No</v>
      </c>
      <c r="C344" s="2721" t="s">
        <v>1892</v>
      </c>
      <c r="D344" s="2713"/>
      <c r="E344" s="2789"/>
      <c r="F344" s="2789"/>
      <c r="G344" s="2789"/>
      <c r="H344" s="2717" t="str">
        <f>'Part III-Sources of Funds'!H8</f>
        <v>No</v>
      </c>
      <c r="I344" s="2761" t="s">
        <v>2729</v>
      </c>
      <c r="J344" s="2789"/>
      <c r="K344" s="2721"/>
      <c r="L344" s="2721"/>
      <c r="M344" s="2789"/>
      <c r="N344" s="2717" t="str">
        <f>'Part III-Sources of Funds'!N8</f>
        <v>No</v>
      </c>
      <c r="O344" s="2713" t="s">
        <v>2737</v>
      </c>
      <c r="P344" s="2789"/>
      <c r="Q344" s="2789"/>
      <c r="S344" s="2786"/>
      <c r="T344" s="2786"/>
    </row>
    <row r="345" spans="1:20" ht="13.5">
      <c r="A345" s="2712"/>
      <c r="B345" s="2717" t="str">
        <f>'Part III-Sources of Funds'!B9</f>
        <v>No</v>
      </c>
      <c r="C345" s="2721" t="s">
        <v>574</v>
      </c>
      <c r="D345" s="2789"/>
      <c r="E345" s="2789"/>
      <c r="F345" s="2789"/>
      <c r="G345" s="2789"/>
      <c r="H345" s="2717" t="str">
        <f>'Part III-Sources of Funds'!H9</f>
        <v>No</v>
      </c>
      <c r="I345" s="2713" t="s">
        <v>2735</v>
      </c>
      <c r="J345" s="2789"/>
      <c r="K345" s="2789"/>
      <c r="L345" s="2713"/>
      <c r="M345" s="2789"/>
      <c r="N345" s="2789"/>
      <c r="O345" s="2789"/>
      <c r="P345" s="2713"/>
      <c r="Q345" s="2713"/>
      <c r="S345" s="2789"/>
      <c r="T345" s="2789"/>
    </row>
    <row r="346" spans="1:20" ht="13.5">
      <c r="A346" s="2712"/>
      <c r="B346" s="2717" t="str">
        <f>'Part III-Sources of Funds'!B10</f>
        <v>No</v>
      </c>
      <c r="C346" s="2721" t="s">
        <v>4585</v>
      </c>
      <c r="D346" s="2713"/>
      <c r="E346" s="2789"/>
      <c r="F346" s="2789"/>
      <c r="G346" s="2815" t="s">
        <v>4031</v>
      </c>
      <c r="H346" s="2816">
        <f>'Part III-Sources of Funds'!H10</f>
        <v>0</v>
      </c>
      <c r="I346" s="2817"/>
      <c r="J346" s="2789"/>
      <c r="K346" s="2789"/>
      <c r="L346" s="2789"/>
      <c r="M346" s="2789"/>
      <c r="N346" s="2713"/>
      <c r="O346" s="2713"/>
      <c r="P346" s="2789"/>
      <c r="Q346" s="2713"/>
      <c r="S346" s="2789"/>
      <c r="T346" s="2789"/>
    </row>
    <row r="347" spans="1:20" ht="13.5">
      <c r="A347" s="2712"/>
      <c r="B347" s="2717" t="str">
        <f>'Part III-Sources of Funds'!B11</f>
        <v>No</v>
      </c>
      <c r="C347" s="2721" t="s">
        <v>2303</v>
      </c>
      <c r="D347" s="2789"/>
      <c r="E347" s="2789"/>
      <c r="F347" s="2789"/>
      <c r="G347" s="2789"/>
      <c r="H347" s="2818" t="str">
        <f>'Part III-Sources of Funds'!H11</f>
        <v>Specify Other HOME Source here</v>
      </c>
      <c r="I347" s="2818"/>
      <c r="J347" s="2818"/>
      <c r="K347" s="2818"/>
      <c r="L347" s="2818"/>
      <c r="M347" s="2818"/>
      <c r="N347" s="2713"/>
      <c r="O347" s="2713"/>
      <c r="P347" s="2713"/>
      <c r="Q347" s="2713"/>
      <c r="S347" s="2789"/>
      <c r="T347" s="2789"/>
    </row>
    <row r="348" spans="1:20" ht="13.5">
      <c r="A348" s="2712"/>
      <c r="B348" s="2717" t="str">
        <f>'Part III-Sources of Funds'!B12</f>
        <v>Yes</v>
      </c>
      <c r="C348" s="2728" t="str">
        <f>'Part III-Sources of Funds'!C12</f>
        <v>acquire USDA 515 loan</v>
      </c>
      <c r="D348" s="2728"/>
      <c r="E348" s="2728"/>
      <c r="F348" s="2728"/>
      <c r="G348" s="2728"/>
      <c r="H348" s="2818" t="str">
        <f>'Part III-Sources of Funds'!H12</f>
        <v>USDA</v>
      </c>
      <c r="I348" s="2818"/>
      <c r="J348" s="2818"/>
      <c r="K348" s="2818"/>
      <c r="L348" s="2818"/>
      <c r="M348" s="2818"/>
      <c r="N348" s="2713"/>
      <c r="O348" s="2713"/>
      <c r="P348" s="2789"/>
      <c r="Q348" s="2713"/>
      <c r="S348" s="2789"/>
      <c r="T348" s="2789"/>
    </row>
    <row r="349" spans="1:20" ht="13.5">
      <c r="A349" s="2712"/>
      <c r="B349" s="2789" t="s">
        <v>3027</v>
      </c>
      <c r="C349" s="2713"/>
      <c r="D349" s="2713"/>
      <c r="E349" s="2713"/>
      <c r="F349" s="2713"/>
      <c r="G349" s="2713"/>
      <c r="H349" s="2713"/>
      <c r="I349" s="2713"/>
      <c r="J349" s="2713"/>
      <c r="K349" s="2713"/>
      <c r="L349" s="2713"/>
      <c r="M349" s="2761"/>
      <c r="N349" s="2713"/>
      <c r="O349" s="2713"/>
      <c r="P349" s="2713"/>
      <c r="Q349" s="2713"/>
      <c r="S349" s="2789"/>
      <c r="T349" s="2789"/>
    </row>
    <row r="350" spans="1:20" ht="13.5">
      <c r="A350" s="2712"/>
      <c r="B350" s="2789"/>
      <c r="C350" s="2789"/>
      <c r="D350" s="2789"/>
      <c r="E350" s="2789"/>
      <c r="F350" s="2789"/>
      <c r="G350" s="2789"/>
      <c r="H350" s="2789"/>
      <c r="I350" s="2789"/>
      <c r="J350" s="2789"/>
      <c r="K350" s="2789"/>
      <c r="L350" s="2713"/>
      <c r="M350" s="2761"/>
      <c r="N350" s="2713"/>
      <c r="O350" s="2713"/>
      <c r="P350" s="2713"/>
      <c r="Q350" s="2713"/>
      <c r="S350" s="2789"/>
      <c r="T350" s="2789"/>
    </row>
    <row r="351" spans="1:20" ht="13.5">
      <c r="A351" s="2716" t="s">
        <v>779</v>
      </c>
      <c r="B351" s="2714" t="s">
        <v>2454</v>
      </c>
      <c r="C351" s="2713"/>
      <c r="D351" s="2713"/>
      <c r="E351" s="2713"/>
      <c r="F351" s="2713"/>
      <c r="G351" s="2713"/>
      <c r="H351" s="2789"/>
      <c r="I351" s="2789"/>
      <c r="J351" s="2716"/>
      <c r="K351" s="2713"/>
      <c r="L351" s="2713"/>
      <c r="M351" s="2713"/>
      <c r="N351" s="2727"/>
      <c r="O351" s="2727"/>
      <c r="P351" s="2713"/>
      <c r="Q351" s="2713"/>
      <c r="S351" s="2784" t="str">
        <f>B351</f>
        <v>CONSTRUCTION FINANCING</v>
      </c>
      <c r="T351" s="2784"/>
    </row>
    <row r="352" spans="1:20" ht="13.5">
      <c r="A352" s="2716"/>
      <c r="B352" s="2714"/>
      <c r="C352" s="2713"/>
      <c r="D352" s="2784"/>
      <c r="E352" s="2784"/>
      <c r="F352" s="2784"/>
      <c r="G352" s="2784"/>
      <c r="H352" s="2784"/>
      <c r="I352" s="2784"/>
      <c r="J352" s="2784"/>
      <c r="K352" s="2713"/>
      <c r="L352" s="2713"/>
      <c r="M352" s="2713"/>
      <c r="N352" s="2717"/>
      <c r="O352" s="2717"/>
      <c r="P352" s="2713"/>
      <c r="Q352" s="2713"/>
      <c r="S352" s="2784"/>
      <c r="T352" s="2784"/>
    </row>
    <row r="353" spans="1:20">
      <c r="A353" s="2713"/>
      <c r="B353" s="2721" t="s">
        <v>1964</v>
      </c>
      <c r="C353" s="2713"/>
      <c r="D353" s="2713"/>
      <c r="E353" s="2713"/>
      <c r="F353" s="2713"/>
      <c r="G353" s="2713"/>
      <c r="H353" s="2728" t="s">
        <v>1361</v>
      </c>
      <c r="I353" s="2728"/>
      <c r="J353" s="2728"/>
      <c r="K353" s="2728"/>
      <c r="L353" s="2727" t="s">
        <v>2088</v>
      </c>
      <c r="M353" s="2727"/>
      <c r="N353" s="2727" t="s">
        <v>1582</v>
      </c>
      <c r="O353" s="2727"/>
      <c r="P353" s="2727" t="s">
        <v>1708</v>
      </c>
      <c r="Q353" s="2727"/>
      <c r="S353" s="2814" t="s">
        <v>2825</v>
      </c>
      <c r="T353" s="2814"/>
    </row>
    <row r="354" spans="1:20">
      <c r="A354" s="2713"/>
      <c r="B354" s="2819" t="s">
        <v>1667</v>
      </c>
      <c r="C354" s="2819"/>
      <c r="D354" s="2819"/>
      <c r="E354" s="2713"/>
      <c r="F354" s="2713"/>
      <c r="G354" s="2713"/>
      <c r="H354" s="2728">
        <f>'Part III-Sources of Funds'!H18</f>
        <v>0</v>
      </c>
      <c r="I354" s="2728"/>
      <c r="J354" s="2728"/>
      <c r="K354" s="2728"/>
      <c r="L354" s="2820">
        <f>'Part III-Sources of Funds'!L18</f>
        <v>0</v>
      </c>
      <c r="M354" s="2820"/>
      <c r="N354" s="2821">
        <f>'Part III-Sources of Funds'!N18</f>
        <v>0</v>
      </c>
      <c r="O354" s="2821"/>
      <c r="P354" s="2822">
        <f>'Part III-Sources of Funds'!P18</f>
        <v>0</v>
      </c>
      <c r="Q354" s="2822"/>
      <c r="S354" s="2786">
        <f>'Part III-Sources of Funds'!S18</f>
        <v>0</v>
      </c>
      <c r="T354" s="2786"/>
    </row>
    <row r="355" spans="1:20">
      <c r="A355" s="2713"/>
      <c r="B355" s="2819" t="s">
        <v>1668</v>
      </c>
      <c r="C355" s="2819"/>
      <c r="D355" s="2819"/>
      <c r="E355" s="2713"/>
      <c r="F355" s="2713"/>
      <c r="G355" s="2713"/>
      <c r="H355" s="2728">
        <f>'Part III-Sources of Funds'!H19</f>
        <v>0</v>
      </c>
      <c r="I355" s="2728"/>
      <c r="J355" s="2728"/>
      <c r="K355" s="2728"/>
      <c r="L355" s="2820">
        <f>'Part III-Sources of Funds'!L19</f>
        <v>0</v>
      </c>
      <c r="M355" s="2820"/>
      <c r="N355" s="2821">
        <f>'Part III-Sources of Funds'!N19</f>
        <v>0</v>
      </c>
      <c r="O355" s="2821"/>
      <c r="P355" s="2822">
        <f>'Part III-Sources of Funds'!P19</f>
        <v>0</v>
      </c>
      <c r="Q355" s="2822"/>
      <c r="S355" s="2786"/>
      <c r="T355" s="2786"/>
    </row>
    <row r="356" spans="1:20">
      <c r="A356" s="2713"/>
      <c r="B356" s="2819" t="s">
        <v>1669</v>
      </c>
      <c r="C356" s="2819"/>
      <c r="D356" s="2819"/>
      <c r="E356" s="2713"/>
      <c r="F356" s="2713"/>
      <c r="G356" s="2713"/>
      <c r="H356" s="2728">
        <f>'Part III-Sources of Funds'!H20</f>
        <v>0</v>
      </c>
      <c r="I356" s="2728"/>
      <c r="J356" s="2728"/>
      <c r="K356" s="2728"/>
      <c r="L356" s="2820">
        <f>'Part III-Sources of Funds'!L20</f>
        <v>0</v>
      </c>
      <c r="M356" s="2820"/>
      <c r="N356" s="2821">
        <f>'Part III-Sources of Funds'!N20</f>
        <v>0</v>
      </c>
      <c r="O356" s="2821"/>
      <c r="P356" s="2822">
        <f>'Part III-Sources of Funds'!P20</f>
        <v>0</v>
      </c>
      <c r="Q356" s="2822"/>
      <c r="S356" s="2786"/>
      <c r="T356" s="2786"/>
    </row>
    <row r="357" spans="1:20">
      <c r="A357" s="2713"/>
      <c r="B357" s="2819" t="s">
        <v>2320</v>
      </c>
      <c r="C357" s="2819"/>
      <c r="D357" s="2819"/>
      <c r="E357" s="2713"/>
      <c r="F357" s="2713"/>
      <c r="G357" s="2713"/>
      <c r="H357" s="2728">
        <f>'Part III-Sources of Funds'!H21</f>
        <v>0</v>
      </c>
      <c r="I357" s="2728"/>
      <c r="J357" s="2728"/>
      <c r="K357" s="2728"/>
      <c r="L357" s="2820">
        <f>'Part III-Sources of Funds'!L21</f>
        <v>0</v>
      </c>
      <c r="M357" s="2820"/>
      <c r="N357" s="2823"/>
      <c r="O357" s="2823"/>
      <c r="P357" s="2727"/>
      <c r="Q357" s="2727"/>
      <c r="S357" s="2786"/>
      <c r="T357" s="2786"/>
    </row>
    <row r="358" spans="1:20" ht="13.5">
      <c r="A358" s="2713"/>
      <c r="B358" s="2819" t="s">
        <v>842</v>
      </c>
      <c r="C358" s="2819"/>
      <c r="D358" s="2819"/>
      <c r="E358" s="2713"/>
      <c r="F358" s="2789"/>
      <c r="G358" s="2789"/>
      <c r="H358" s="2728">
        <f>'Part III-Sources of Funds'!H22</f>
        <v>0</v>
      </c>
      <c r="I358" s="2728"/>
      <c r="J358" s="2728"/>
      <c r="K358" s="2728"/>
      <c r="L358" s="2820">
        <f>'Part III-Sources of Funds'!L22</f>
        <v>0</v>
      </c>
      <c r="M358" s="2820"/>
      <c r="N358" s="2823"/>
      <c r="O358" s="2823"/>
      <c r="P358" s="2727"/>
      <c r="Q358" s="2727"/>
      <c r="S358" s="2786"/>
      <c r="T358" s="2786"/>
    </row>
    <row r="359" spans="1:20" ht="13.5">
      <c r="A359" s="2713"/>
      <c r="B359" s="2819" t="s">
        <v>671</v>
      </c>
      <c r="C359" s="2819"/>
      <c r="D359" s="2819"/>
      <c r="E359" s="2713"/>
      <c r="F359" s="2789"/>
      <c r="G359" s="2789"/>
      <c r="H359" s="2728">
        <f>'Part III-Sources of Funds'!H23</f>
        <v>0</v>
      </c>
      <c r="I359" s="2728"/>
      <c r="J359" s="2728"/>
      <c r="K359" s="2728"/>
      <c r="L359" s="2820">
        <f>'Part III-Sources of Funds'!L23</f>
        <v>0</v>
      </c>
      <c r="M359" s="2820"/>
      <c r="N359" s="2823"/>
      <c r="O359" s="2823"/>
      <c r="P359" s="2727"/>
      <c r="Q359" s="2727"/>
      <c r="S359" s="2786"/>
      <c r="T359" s="2786"/>
    </row>
    <row r="360" spans="1:20" ht="13.5">
      <c r="A360" s="2713"/>
      <c r="B360" s="2819" t="s">
        <v>843</v>
      </c>
      <c r="C360" s="2819"/>
      <c r="D360" s="2819"/>
      <c r="E360" s="2713"/>
      <c r="F360" s="2789"/>
      <c r="G360" s="2789"/>
      <c r="H360" s="2728" t="str">
        <f>'Part III-Sources of Funds'!H24</f>
        <v>Raymond James</v>
      </c>
      <c r="I360" s="2728"/>
      <c r="J360" s="2728"/>
      <c r="K360" s="2728"/>
      <c r="L360" s="2820">
        <f>'Part III-Sources of Funds'!L24</f>
        <v>2812901</v>
      </c>
      <c r="M360" s="2820"/>
      <c r="N360" s="2713"/>
      <c r="O360" s="2713"/>
      <c r="P360" s="2713"/>
      <c r="Q360" s="2713"/>
      <c r="S360" s="2786"/>
      <c r="T360" s="2786"/>
    </row>
    <row r="361" spans="1:20" ht="13.5">
      <c r="A361" s="2713"/>
      <c r="B361" s="2819" t="s">
        <v>844</v>
      </c>
      <c r="C361" s="2819"/>
      <c r="D361" s="2819"/>
      <c r="E361" s="2713"/>
      <c r="F361" s="2789"/>
      <c r="G361" s="2789"/>
      <c r="H361" s="2728" t="str">
        <f>'Part III-Sources of Funds'!H25</f>
        <v>Raymond James</v>
      </c>
      <c r="I361" s="2728"/>
      <c r="J361" s="2728"/>
      <c r="K361" s="2728"/>
      <c r="L361" s="2820">
        <f>'Part III-Sources of Funds'!L25</f>
        <v>1284148</v>
      </c>
      <c r="M361" s="2820"/>
      <c r="N361" s="2713"/>
      <c r="O361" s="2713"/>
      <c r="P361" s="2713"/>
      <c r="Q361" s="2713"/>
      <c r="S361" s="2786">
        <f>'Part III-Sources of Funds'!S25</f>
        <v>0</v>
      </c>
      <c r="T361" s="2786"/>
    </row>
    <row r="362" spans="1:20">
      <c r="A362" s="2713"/>
      <c r="B362" s="2713" t="s">
        <v>253</v>
      </c>
      <c r="C362" s="2713"/>
      <c r="D362" s="2728" t="str">
        <f>'Part III-Sources of Funds'!D26</f>
        <v>loan transfer at acquisition</v>
      </c>
      <c r="E362" s="2728"/>
      <c r="F362" s="2728"/>
      <c r="G362" s="2728"/>
      <c r="H362" s="2728" t="str">
        <f>'Part III-Sources of Funds'!H26</f>
        <v>USDA 515 acquired loan</v>
      </c>
      <c r="I362" s="2728"/>
      <c r="J362" s="2728"/>
      <c r="K362" s="2728"/>
      <c r="L362" s="2820">
        <f>'Part III-Sources of Funds'!L26</f>
        <v>1329420</v>
      </c>
      <c r="M362" s="2820"/>
      <c r="N362" s="2713"/>
      <c r="O362" s="2713"/>
      <c r="P362" s="2713"/>
      <c r="Q362" s="2713"/>
      <c r="S362" s="2786"/>
      <c r="T362" s="2786"/>
    </row>
    <row r="363" spans="1:20">
      <c r="A363" s="2713"/>
      <c r="B363" s="2713" t="s">
        <v>253</v>
      </c>
      <c r="C363" s="2713"/>
      <c r="D363" s="2728">
        <f>'Part III-Sources of Funds'!D27</f>
        <v>0</v>
      </c>
      <c r="E363" s="2728"/>
      <c r="F363" s="2728"/>
      <c r="G363" s="2728"/>
      <c r="H363" s="2728">
        <f>'Part III-Sources of Funds'!H27</f>
        <v>0</v>
      </c>
      <c r="I363" s="2728"/>
      <c r="J363" s="2728"/>
      <c r="K363" s="2728"/>
      <c r="L363" s="2820">
        <f>'Part III-Sources of Funds'!L27</f>
        <v>0</v>
      </c>
      <c r="M363" s="2820"/>
      <c r="N363" s="2713"/>
      <c r="O363" s="2713"/>
      <c r="P363" s="2713"/>
      <c r="Q363" s="2713"/>
      <c r="S363" s="2786"/>
      <c r="T363" s="2786"/>
    </row>
    <row r="364" spans="1:20">
      <c r="A364" s="2713"/>
      <c r="B364" s="2713" t="s">
        <v>253</v>
      </c>
      <c r="C364" s="2713"/>
      <c r="D364" s="2728">
        <f>'Part III-Sources of Funds'!D28</f>
        <v>0</v>
      </c>
      <c r="E364" s="2728"/>
      <c r="F364" s="2728"/>
      <c r="G364" s="2728"/>
      <c r="H364" s="2728">
        <f>'Part III-Sources of Funds'!H28</f>
        <v>0</v>
      </c>
      <c r="I364" s="2728"/>
      <c r="J364" s="2728"/>
      <c r="K364" s="2728"/>
      <c r="L364" s="2820">
        <f>'Part III-Sources of Funds'!L28</f>
        <v>0</v>
      </c>
      <c r="M364" s="2820"/>
      <c r="N364" s="2713"/>
      <c r="O364" s="2713"/>
      <c r="P364" s="2713"/>
      <c r="Q364" s="2713"/>
      <c r="S364" s="2786"/>
      <c r="T364" s="2786"/>
    </row>
    <row r="365" spans="1:20" ht="13.5">
      <c r="A365" s="2713"/>
      <c r="B365" s="2714" t="s">
        <v>1362</v>
      </c>
      <c r="C365" s="2713"/>
      <c r="D365" s="2713"/>
      <c r="E365" s="2713"/>
      <c r="F365" s="2713"/>
      <c r="G365" s="2713"/>
      <c r="H365" s="2713"/>
      <c r="I365" s="2713"/>
      <c r="J365" s="2789"/>
      <c r="K365" s="2789"/>
      <c r="L365" s="2824">
        <f>SUM(L354:L364)</f>
        <v>5426469</v>
      </c>
      <c r="M365" s="2824"/>
      <c r="N365" s="2719"/>
      <c r="O365" s="2719"/>
      <c r="P365" s="2719"/>
      <c r="Q365" s="2719"/>
      <c r="S365" s="2786"/>
      <c r="T365" s="2786"/>
    </row>
    <row r="366" spans="1:20" ht="13.5">
      <c r="A366" s="2713"/>
      <c r="B366" s="2721" t="s">
        <v>1363</v>
      </c>
      <c r="C366" s="2713"/>
      <c r="D366" s="2713"/>
      <c r="E366" s="2713"/>
      <c r="F366" s="2713"/>
      <c r="G366" s="2713"/>
      <c r="H366" s="2713"/>
      <c r="I366" s="2713"/>
      <c r="J366" s="2789"/>
      <c r="K366" s="2789"/>
      <c r="L366" s="2824">
        <f>'Part III-Sources of Funds'!L30</f>
        <v>4952648</v>
      </c>
      <c r="M366" s="2824"/>
      <c r="N366" s="2797"/>
      <c r="O366" s="2797"/>
      <c r="P366" s="2797"/>
      <c r="Q366" s="2797"/>
      <c r="S366" s="2786"/>
      <c r="T366" s="2786"/>
    </row>
    <row r="367" spans="1:20" ht="13.5">
      <c r="A367" s="2713"/>
      <c r="B367" s="2721" t="s">
        <v>2257</v>
      </c>
      <c r="C367" s="2713"/>
      <c r="D367" s="2713"/>
      <c r="E367" s="2713"/>
      <c r="F367" s="2713"/>
      <c r="G367" s="2713"/>
      <c r="H367" s="2713"/>
      <c r="I367" s="2713"/>
      <c r="J367" s="2789"/>
      <c r="K367" s="2789"/>
      <c r="L367" s="2825">
        <f>L365-L366</f>
        <v>473821</v>
      </c>
      <c r="M367" s="2825"/>
      <c r="N367" s="2797"/>
      <c r="O367" s="2797"/>
      <c r="P367" s="2797"/>
      <c r="Q367" s="2797"/>
      <c r="S367" s="2786"/>
      <c r="T367" s="2786"/>
    </row>
    <row r="368" spans="1:20">
      <c r="A368" s="2759"/>
      <c r="B368" s="2714"/>
      <c r="C368" s="2719"/>
      <c r="D368" s="2719"/>
      <c r="E368" s="2719"/>
      <c r="F368" s="2719"/>
      <c r="G368" s="2719"/>
      <c r="H368" s="2719"/>
      <c r="I368" s="2719"/>
      <c r="J368" s="2719"/>
      <c r="K368" s="2719"/>
      <c r="L368" s="2719"/>
      <c r="M368" s="2717"/>
      <c r="N368" s="2717"/>
      <c r="O368" s="2719"/>
      <c r="P368" s="2716"/>
      <c r="Q368" s="2716"/>
    </row>
    <row r="369" spans="1:20" s="2813" customFormat="1" ht="9.6" customHeight="1">
      <c r="A369" s="2716" t="s">
        <v>781</v>
      </c>
      <c r="B369" s="2714" t="s">
        <v>841</v>
      </c>
      <c r="C369" s="2719"/>
      <c r="D369" s="2719"/>
      <c r="E369" s="2719"/>
      <c r="F369" s="2719"/>
      <c r="G369" s="2719"/>
      <c r="H369" s="2719"/>
      <c r="I369" s="2719"/>
      <c r="J369" s="2719"/>
      <c r="K369" s="2719"/>
      <c r="L369" s="2719"/>
      <c r="M369" s="2717"/>
      <c r="N369" s="2717"/>
      <c r="O369" s="2719"/>
      <c r="S369" s="2784" t="str">
        <f>B369</f>
        <v>PERMANENT FINANCING</v>
      </c>
    </row>
    <row r="370" spans="1:20" s="2789" customFormat="1" ht="13.15" customHeight="1">
      <c r="A370" s="2713"/>
      <c r="B370" s="2713"/>
      <c r="C370" s="2713"/>
      <c r="D370" s="2713"/>
      <c r="E370" s="2713"/>
      <c r="F370" s="2717"/>
      <c r="G370" s="2717"/>
      <c r="H370" s="2713"/>
      <c r="I370" s="2713"/>
      <c r="K370" s="2726" t="s">
        <v>2199</v>
      </c>
      <c r="L370" s="2717" t="s">
        <v>1359</v>
      </c>
      <c r="M370" s="2717" t="s">
        <v>1364</v>
      </c>
      <c r="N370" s="2826" t="s">
        <v>36</v>
      </c>
      <c r="O370" s="2826"/>
      <c r="P370" s="2717"/>
      <c r="Q370" s="2716"/>
      <c r="S370" s="2784"/>
    </row>
    <row r="371" spans="1:20" s="2789" customFormat="1" ht="13.15" customHeight="1">
      <c r="A371" s="2713"/>
      <c r="B371" s="2721" t="s">
        <v>1964</v>
      </c>
      <c r="C371" s="2713"/>
      <c r="D371" s="2713"/>
      <c r="E371" s="2728" t="s">
        <v>1361</v>
      </c>
      <c r="F371" s="2728"/>
      <c r="G371" s="2728"/>
      <c r="H371" s="2728"/>
      <c r="I371" s="2727" t="s">
        <v>509</v>
      </c>
      <c r="J371" s="2727"/>
      <c r="K371" s="2717" t="s">
        <v>1896</v>
      </c>
      <c r="L371" s="2717" t="s">
        <v>2319</v>
      </c>
      <c r="M371" s="2717" t="s">
        <v>2319</v>
      </c>
      <c r="N371" s="2826"/>
      <c r="O371" s="2826"/>
      <c r="P371" s="2727" t="s">
        <v>76</v>
      </c>
      <c r="Q371" s="2727"/>
      <c r="S371" s="2814" t="s">
        <v>2825</v>
      </c>
      <c r="T371" s="2814"/>
    </row>
    <row r="372" spans="1:20" s="2789" customFormat="1" ht="13.15" customHeight="1">
      <c r="A372" s="2713"/>
      <c r="B372" s="2819" t="s">
        <v>2741</v>
      </c>
      <c r="C372" s="2819"/>
      <c r="D372" s="2819"/>
      <c r="E372" s="2728" t="str">
        <f>'Part III-Sources of Funds'!E36</f>
        <v>USDA 515 acquired loan</v>
      </c>
      <c r="F372" s="2728"/>
      <c r="G372" s="2728"/>
      <c r="H372" s="2728"/>
      <c r="I372" s="2827">
        <f>'Part III-Sources of Funds'!I36</f>
        <v>1329420</v>
      </c>
      <c r="J372" s="2819"/>
      <c r="K372" s="2828">
        <f>'Part III-Sources of Funds'!K36</f>
        <v>0.01</v>
      </c>
      <c r="L372" s="2717">
        <f>'Part III-Sources of Funds'!L36</f>
        <v>30</v>
      </c>
      <c r="M372" s="2717">
        <f>'Part III-Sources of Funds'!M36</f>
        <v>50</v>
      </c>
      <c r="N372" s="2829">
        <f>'Part III-Sources of Funds'!N36</f>
        <v>37855</v>
      </c>
      <c r="O372" s="2829"/>
      <c r="P372" s="2727" t="str">
        <f>'Part III-Sources of Funds'!P36</f>
        <v>Amortizing</v>
      </c>
      <c r="Q372" s="2727"/>
      <c r="S372" s="2786">
        <f>'Part III-Sources of Funds'!S36</f>
        <v>0</v>
      </c>
      <c r="T372" s="2786"/>
    </row>
    <row r="373" spans="1:20" s="2789" customFormat="1" ht="13.15" customHeight="1">
      <c r="A373" s="2713"/>
      <c r="B373" s="2819" t="s">
        <v>2742</v>
      </c>
      <c r="C373" s="2819"/>
      <c r="D373" s="2819"/>
      <c r="E373" s="2728">
        <f>'Part III-Sources of Funds'!E37</f>
        <v>0</v>
      </c>
      <c r="F373" s="2728"/>
      <c r="G373" s="2728"/>
      <c r="H373" s="2728"/>
      <c r="I373" s="2827">
        <f>'Part III-Sources of Funds'!I37</f>
        <v>0</v>
      </c>
      <c r="J373" s="2819"/>
      <c r="K373" s="2828">
        <f>'Part III-Sources of Funds'!K37</f>
        <v>0</v>
      </c>
      <c r="L373" s="2717">
        <f>'Part III-Sources of Funds'!L37</f>
        <v>0</v>
      </c>
      <c r="M373" s="2717">
        <f>'Part III-Sources of Funds'!M37</f>
        <v>0</v>
      </c>
      <c r="N373" s="2829" t="str">
        <f>'Part III-Sources of Funds'!N37</f>
        <v/>
      </c>
      <c r="O373" s="2829"/>
      <c r="P373" s="2727">
        <f>'Part III-Sources of Funds'!P37</f>
        <v>0</v>
      </c>
      <c r="Q373" s="2727"/>
      <c r="S373" s="2786"/>
      <c r="T373" s="2786"/>
    </row>
    <row r="374" spans="1:20" s="2789" customFormat="1" ht="13.15" customHeight="1">
      <c r="A374" s="2713"/>
      <c r="B374" s="2819" t="s">
        <v>2743</v>
      </c>
      <c r="C374" s="2819"/>
      <c r="D374" s="2819"/>
      <c r="E374" s="2728">
        <f>'Part III-Sources of Funds'!E38</f>
        <v>0</v>
      </c>
      <c r="F374" s="2728"/>
      <c r="G374" s="2728"/>
      <c r="H374" s="2728"/>
      <c r="I374" s="2827">
        <f>'Part III-Sources of Funds'!I38</f>
        <v>0</v>
      </c>
      <c r="J374" s="2819"/>
      <c r="K374" s="2828">
        <f>'Part III-Sources of Funds'!K38</f>
        <v>0</v>
      </c>
      <c r="L374" s="2717">
        <f>'Part III-Sources of Funds'!L38</f>
        <v>0</v>
      </c>
      <c r="M374" s="2717">
        <f>'Part III-Sources of Funds'!M38</f>
        <v>0</v>
      </c>
      <c r="N374" s="2829" t="str">
        <f>'Part III-Sources of Funds'!N38</f>
        <v/>
      </c>
      <c r="O374" s="2829"/>
      <c r="P374" s="2727">
        <f>'Part III-Sources of Funds'!P38</f>
        <v>0</v>
      </c>
      <c r="Q374" s="2727"/>
      <c r="S374" s="2786"/>
      <c r="T374" s="2786"/>
    </row>
    <row r="375" spans="1:20" s="2789" customFormat="1" ht="13.15" customHeight="1">
      <c r="A375" s="2713"/>
      <c r="B375" s="2713" t="s">
        <v>780</v>
      </c>
      <c r="C375" s="2728">
        <f>'Part III-Sources of Funds'!C39</f>
        <v>0</v>
      </c>
      <c r="D375" s="2728"/>
      <c r="E375" s="2728">
        <f>'Part III-Sources of Funds'!E39</f>
        <v>0</v>
      </c>
      <c r="F375" s="2728"/>
      <c r="G375" s="2728"/>
      <c r="H375" s="2728"/>
      <c r="I375" s="2827">
        <f>'Part III-Sources of Funds'!I39</f>
        <v>0</v>
      </c>
      <c r="J375" s="2819"/>
      <c r="K375" s="2828">
        <f>'Part III-Sources of Funds'!K39</f>
        <v>0</v>
      </c>
      <c r="L375" s="2717">
        <f>'Part III-Sources of Funds'!L39</f>
        <v>0</v>
      </c>
      <c r="M375" s="2717">
        <f>'Part III-Sources of Funds'!M39</f>
        <v>0</v>
      </c>
      <c r="N375" s="2829" t="str">
        <f>'Part III-Sources of Funds'!N39</f>
        <v/>
      </c>
      <c r="O375" s="2829"/>
      <c r="P375" s="2727">
        <f>'Part III-Sources of Funds'!P39</f>
        <v>0</v>
      </c>
      <c r="Q375" s="2727"/>
      <c r="S375" s="2786"/>
      <c r="T375" s="2786"/>
    </row>
    <row r="376" spans="1:20" s="2789" customFormat="1" ht="13.15" customHeight="1">
      <c r="A376" s="2713"/>
      <c r="B376" s="2713" t="s">
        <v>2936</v>
      </c>
      <c r="C376" s="2713"/>
      <c r="D376" s="2713"/>
      <c r="E376" s="2728">
        <f>'Part III-Sources of Funds'!E40</f>
        <v>0</v>
      </c>
      <c r="F376" s="2728"/>
      <c r="G376" s="2728"/>
      <c r="H376" s="2728"/>
      <c r="I376" s="2827">
        <f>'Part III-Sources of Funds'!I40</f>
        <v>0</v>
      </c>
      <c r="J376" s="2819"/>
      <c r="K376" s="2828"/>
      <c r="L376" s="2717"/>
      <c r="M376" s="2717"/>
      <c r="N376" s="2829" t="str">
        <f>IF(OR(I376&lt;=0,I376=""),"",IF(P376="Amortizing",-PMT(K376/12,M376*12,I376,0,0)*12,""))</f>
        <v/>
      </c>
      <c r="O376" s="2829"/>
      <c r="P376" s="2727"/>
      <c r="Q376" s="2727"/>
      <c r="S376" s="2786"/>
      <c r="T376" s="2786"/>
    </row>
    <row r="377" spans="1:20" s="2789" customFormat="1" ht="13.15" customHeight="1">
      <c r="A377" s="2713"/>
      <c r="B377" s="2713" t="s">
        <v>237</v>
      </c>
      <c r="C377" s="2713"/>
      <c r="D377" s="2830" t="str">
        <f>'Part III-Sources of Funds'!D41</f>
        <v/>
      </c>
      <c r="E377" s="2728">
        <f>'Part III-Sources of Funds'!E41</f>
        <v>0</v>
      </c>
      <c r="F377" s="2728"/>
      <c r="G377" s="2728"/>
      <c r="H377" s="2728"/>
      <c r="I377" s="2827">
        <f>'Part III-Sources of Funds'!I41</f>
        <v>0</v>
      </c>
      <c r="J377" s="2819"/>
      <c r="K377" s="2828">
        <f>'Part III-Sources of Funds'!K41</f>
        <v>0</v>
      </c>
      <c r="L377" s="2717">
        <f>'Part III-Sources of Funds'!L41</f>
        <v>0</v>
      </c>
      <c r="M377" s="2717">
        <f>'Part III-Sources of Funds'!M41</f>
        <v>0</v>
      </c>
      <c r="N377" s="2829" t="str">
        <f>'Part III-Sources of Funds'!N41</f>
        <v/>
      </c>
      <c r="O377" s="2829"/>
      <c r="P377" s="2727">
        <f>'Part III-Sources of Funds'!P41</f>
        <v>0</v>
      </c>
      <c r="Q377" s="2727"/>
      <c r="S377" s="2786"/>
      <c r="T377" s="2786"/>
    </row>
    <row r="378" spans="1:20" s="2789" customFormat="1" ht="13.15" customHeight="1">
      <c r="A378" s="2713"/>
      <c r="B378" s="2819" t="s">
        <v>2320</v>
      </c>
      <c r="C378" s="2819"/>
      <c r="D378" s="2819"/>
      <c r="E378" s="2728">
        <f>'Part III-Sources of Funds'!E42</f>
        <v>0</v>
      </c>
      <c r="F378" s="2728"/>
      <c r="G378" s="2728"/>
      <c r="H378" s="2728"/>
      <c r="I378" s="2827">
        <f>'Part III-Sources of Funds'!I42</f>
        <v>0</v>
      </c>
      <c r="J378" s="2819"/>
      <c r="K378" s="2713"/>
      <c r="L378" s="2713"/>
      <c r="M378" s="2713"/>
      <c r="N378" s="2713"/>
      <c r="O378" s="2713"/>
      <c r="P378" s="2713"/>
      <c r="Q378" s="2713"/>
      <c r="S378" s="2786">
        <f>'Part III-Sources of Funds'!S42</f>
        <v>0</v>
      </c>
      <c r="T378" s="2786"/>
    </row>
    <row r="379" spans="1:20" s="2789" customFormat="1" ht="13.15" customHeight="1">
      <c r="A379" s="2713"/>
      <c r="B379" s="2819" t="s">
        <v>842</v>
      </c>
      <c r="C379" s="2819"/>
      <c r="D379" s="2819"/>
      <c r="E379" s="2728">
        <f>'Part III-Sources of Funds'!E43</f>
        <v>0</v>
      </c>
      <c r="F379" s="2728"/>
      <c r="G379" s="2728"/>
      <c r="H379" s="2728"/>
      <c r="I379" s="2827">
        <f>'Part III-Sources of Funds'!I43</f>
        <v>0</v>
      </c>
      <c r="J379" s="2819"/>
      <c r="L379" s="2831" t="s">
        <v>540</v>
      </c>
      <c r="M379" s="2831"/>
      <c r="N379" s="2832" t="s">
        <v>541</v>
      </c>
      <c r="O379" s="2832"/>
      <c r="P379" s="2717" t="s">
        <v>539</v>
      </c>
      <c r="Q379" s="2713"/>
      <c r="S379" s="2786"/>
      <c r="T379" s="2786"/>
    </row>
    <row r="380" spans="1:20" s="2789" customFormat="1" ht="13.15" customHeight="1">
      <c r="A380" s="2713"/>
      <c r="B380" s="2819" t="s">
        <v>843</v>
      </c>
      <c r="C380" s="2819"/>
      <c r="D380" s="2819"/>
      <c r="E380" s="2728" t="str">
        <f>'Part III-Sources of Funds'!E44</f>
        <v>Raymond James</v>
      </c>
      <c r="F380" s="2728"/>
      <c r="G380" s="2728"/>
      <c r="H380" s="2728"/>
      <c r="I380" s="2827">
        <f>'Part III-Sources of Funds'!I44</f>
        <v>3309295</v>
      </c>
      <c r="J380" s="2819"/>
      <c r="L380" s="2833">
        <f>'Part III-Sources of Funds'!L44</f>
        <v>3309292.8656716417</v>
      </c>
      <c r="M380" s="2833"/>
      <c r="N380" s="2834">
        <f>I380-L380</f>
        <v>2.1343283583410084</v>
      </c>
      <c r="O380" s="2834"/>
      <c r="P380" s="2835" t="s">
        <v>2687</v>
      </c>
      <c r="Q380" s="2713"/>
      <c r="S380" s="2786"/>
      <c r="T380" s="2786"/>
    </row>
    <row r="381" spans="1:20" s="2789" customFormat="1" ht="13.15" customHeight="1">
      <c r="A381" s="2713"/>
      <c r="B381" s="2819" t="s">
        <v>844</v>
      </c>
      <c r="C381" s="2819"/>
      <c r="D381" s="2819"/>
      <c r="E381" s="2728" t="str">
        <f>'Part III-Sources of Funds'!E45</f>
        <v>Raymond James</v>
      </c>
      <c r="F381" s="2728"/>
      <c r="G381" s="2728"/>
      <c r="H381" s="2728"/>
      <c r="I381" s="2827">
        <f>'Part III-Sources of Funds'!I45</f>
        <v>1510762</v>
      </c>
      <c r="J381" s="2819"/>
      <c r="L381" s="2833">
        <f>'Part III-Sources of Funds'!L45</f>
        <v>1510764.1343283579</v>
      </c>
      <c r="M381" s="2833"/>
      <c r="N381" s="2834">
        <f>I381-L381</f>
        <v>-2.1343283578753471</v>
      </c>
      <c r="O381" s="2834"/>
      <c r="P381" s="2836">
        <f>I380/I390</f>
        <v>0.52990213456745172</v>
      </c>
      <c r="Q381" s="2713"/>
      <c r="S381" s="2786"/>
      <c r="T381" s="2786"/>
    </row>
    <row r="382" spans="1:20" s="2789" customFormat="1" ht="13.15" customHeight="1">
      <c r="A382" s="2713"/>
      <c r="B382" s="2819" t="s">
        <v>1480</v>
      </c>
      <c r="C382" s="2819"/>
      <c r="D382" s="2819"/>
      <c r="E382" s="2728">
        <f>'Part III-Sources of Funds'!E46</f>
        <v>0</v>
      </c>
      <c r="F382" s="2728"/>
      <c r="G382" s="2728"/>
      <c r="H382" s="2728"/>
      <c r="I382" s="2827">
        <f>'Part III-Sources of Funds'!I46</f>
        <v>0</v>
      </c>
      <c r="J382" s="2819"/>
      <c r="P382" s="2836">
        <f>I381/I390</f>
        <v>0.24191134626057589</v>
      </c>
      <c r="Q382" s="2713"/>
      <c r="S382" s="2786"/>
      <c r="T382" s="2786"/>
    </row>
    <row r="383" spans="1:20" s="2789" customFormat="1" ht="13.15" customHeight="1">
      <c r="A383" s="2713"/>
      <c r="B383" s="2713" t="s">
        <v>554</v>
      </c>
      <c r="C383" s="2713"/>
      <c r="D383" s="2713"/>
      <c r="E383" s="2728">
        <f>'Part III-Sources of Funds'!E47</f>
        <v>0</v>
      </c>
      <c r="F383" s="2728"/>
      <c r="G383" s="2728"/>
      <c r="H383" s="2728"/>
      <c r="I383" s="2827">
        <f>'Part III-Sources of Funds'!I47</f>
        <v>0</v>
      </c>
      <c r="J383" s="2819"/>
      <c r="K383" s="2713"/>
      <c r="P383" s="2836">
        <f>SUM(P381:P382)</f>
        <v>0.77181348082802759</v>
      </c>
      <c r="Q383" s="2713"/>
      <c r="S383" s="2786">
        <f>'Part III-Sources of Funds'!S47</f>
        <v>0</v>
      </c>
      <c r="T383" s="2786"/>
    </row>
    <row r="384" spans="1:20" s="2789" customFormat="1" ht="13.15" customHeight="1">
      <c r="A384" s="2713"/>
      <c r="B384" s="2713" t="s">
        <v>1962</v>
      </c>
      <c r="C384" s="2713"/>
      <c r="D384" s="2713"/>
      <c r="E384" s="2728">
        <f>'Part III-Sources of Funds'!E48</f>
        <v>0</v>
      </c>
      <c r="F384" s="2728"/>
      <c r="G384" s="2728"/>
      <c r="H384" s="2728"/>
      <c r="I384" s="2827">
        <f>'Part III-Sources of Funds'!I48</f>
        <v>0</v>
      </c>
      <c r="J384" s="2819"/>
      <c r="N384" s="2837"/>
      <c r="O384" s="2837"/>
      <c r="P384" s="2837"/>
      <c r="Q384" s="2713"/>
      <c r="S384" s="2786"/>
      <c r="T384" s="2786"/>
    </row>
    <row r="385" spans="1:24" s="2789" customFormat="1" ht="13.15" customHeight="1">
      <c r="A385" s="2713"/>
      <c r="B385" s="2713" t="s">
        <v>1963</v>
      </c>
      <c r="C385" s="2713"/>
      <c r="D385" s="2713"/>
      <c r="E385" s="2728">
        <f>'Part III-Sources of Funds'!E49</f>
        <v>0</v>
      </c>
      <c r="F385" s="2728"/>
      <c r="G385" s="2728"/>
      <c r="H385" s="2728"/>
      <c r="I385" s="2827">
        <f>'Part III-Sources of Funds'!I49</f>
        <v>0</v>
      </c>
      <c r="J385" s="2819"/>
      <c r="M385" s="2837"/>
      <c r="N385" s="2837"/>
      <c r="O385" s="2837"/>
      <c r="P385" s="2837"/>
      <c r="Q385" s="2713"/>
      <c r="S385" s="2786"/>
      <c r="T385" s="2786"/>
    </row>
    <row r="386" spans="1:24" s="2789" customFormat="1" ht="13.15" customHeight="1">
      <c r="A386" s="2713"/>
      <c r="B386" s="2713" t="s">
        <v>780</v>
      </c>
      <c r="C386" s="2728" t="str">
        <f>'Part III-Sources of Funds'!C50</f>
        <v>trans at acquistion</v>
      </c>
      <c r="D386" s="2728"/>
      <c r="E386" s="2728" t="str">
        <f>'Part III-Sources of Funds'!E50</f>
        <v>Replacement Reserve</v>
      </c>
      <c r="F386" s="2728"/>
      <c r="G386" s="2728"/>
      <c r="H386" s="2728"/>
      <c r="I386" s="2827">
        <f>'Part III-Sources of Funds'!I50</f>
        <v>79000</v>
      </c>
      <c r="J386" s="2819"/>
      <c r="M386" s="2837"/>
      <c r="N386" s="2837"/>
      <c r="O386" s="2837"/>
      <c r="P386" s="2837"/>
      <c r="Q386" s="2713"/>
      <c r="S386" s="2786"/>
      <c r="T386" s="2786"/>
    </row>
    <row r="387" spans="1:24" s="2789" customFormat="1" ht="13.15" customHeight="1">
      <c r="A387" s="2713"/>
      <c r="B387" s="2713" t="s">
        <v>780</v>
      </c>
      <c r="C387" s="2728" t="str">
        <f>'Part III-Sources of Funds'!C51</f>
        <v>trans at acquistion</v>
      </c>
      <c r="D387" s="2728"/>
      <c r="E387" s="2728" t="str">
        <f>'Part III-Sources of Funds'!E51</f>
        <v>Tax &amp; Insurance Reserve</v>
      </c>
      <c r="F387" s="2728"/>
      <c r="G387" s="2728"/>
      <c r="H387" s="2728"/>
      <c r="I387" s="2827">
        <f>'Part III-Sources of Funds'!I51</f>
        <v>8000</v>
      </c>
      <c r="J387" s="2819"/>
      <c r="K387" s="2713"/>
      <c r="L387" s="2717"/>
      <c r="M387" s="2837"/>
      <c r="N387" s="2837"/>
      <c r="O387" s="2837"/>
      <c r="P387" s="2837"/>
      <c r="Q387" s="2713"/>
      <c r="S387" s="2786"/>
      <c r="T387" s="2786"/>
    </row>
    <row r="388" spans="1:24" s="2789" customFormat="1" ht="13.15" customHeight="1">
      <c r="A388" s="2713"/>
      <c r="B388" s="2713" t="s">
        <v>780</v>
      </c>
      <c r="C388" s="2728" t="str">
        <f>'Part III-Sources of Funds'!C52</f>
        <v>trans at acquistion</v>
      </c>
      <c r="D388" s="2728"/>
      <c r="E388" s="2728" t="str">
        <f>'Part III-Sources of Funds'!E52</f>
        <v>Security Deposit Reserve</v>
      </c>
      <c r="F388" s="2728"/>
      <c r="G388" s="2728"/>
      <c r="H388" s="2728"/>
      <c r="I388" s="2827">
        <f>'Part III-Sources of Funds'!I52</f>
        <v>8629</v>
      </c>
      <c r="J388" s="2819"/>
      <c r="K388" s="2713"/>
      <c r="L388" s="2717"/>
      <c r="M388" s="2837"/>
      <c r="N388" s="2837"/>
      <c r="O388" s="2837"/>
      <c r="P388" s="2837"/>
      <c r="Q388" s="2713"/>
      <c r="S388" s="2786"/>
      <c r="T388" s="2786"/>
    </row>
    <row r="389" spans="1:24" s="2789" customFormat="1" ht="13.15" customHeight="1">
      <c r="A389" s="2713"/>
      <c r="B389" s="2721" t="s">
        <v>2321</v>
      </c>
      <c r="C389" s="2713"/>
      <c r="D389" s="2713"/>
      <c r="E389" s="2713"/>
      <c r="F389" s="2713"/>
      <c r="G389" s="2713"/>
      <c r="I389" s="2838">
        <f>SUM(I372:J388)</f>
        <v>6245106</v>
      </c>
      <c r="J389" s="2838"/>
      <c r="K389" s="2713"/>
      <c r="L389" s="2717"/>
      <c r="M389" s="2837"/>
      <c r="N389" s="2837"/>
      <c r="O389" s="2837"/>
      <c r="P389" s="2837"/>
      <c r="Q389" s="2713"/>
      <c r="S389" s="2786"/>
      <c r="T389" s="2786"/>
    </row>
    <row r="390" spans="1:24" s="2789" customFormat="1" ht="13.15" customHeight="1">
      <c r="A390" s="2713"/>
      <c r="B390" s="2721" t="s">
        <v>2322</v>
      </c>
      <c r="C390" s="2713"/>
      <c r="D390" s="2713"/>
      <c r="E390" s="2713"/>
      <c r="F390" s="2713"/>
      <c r="G390" s="2713"/>
      <c r="I390" s="2838">
        <f>'Part IV-Uses of Funds'!$G$130</f>
        <v>6245106</v>
      </c>
      <c r="J390" s="2838"/>
      <c r="K390" s="2713"/>
      <c r="L390" s="2717"/>
      <c r="M390" s="2837"/>
      <c r="N390" s="2837"/>
      <c r="O390" s="2837"/>
      <c r="P390" s="2837"/>
      <c r="Q390" s="2713"/>
      <c r="S390" s="2786"/>
      <c r="T390" s="2786"/>
    </row>
    <row r="391" spans="1:24" s="2789" customFormat="1" ht="13.15" customHeight="1">
      <c r="A391" s="2713"/>
      <c r="B391" s="2721" t="s">
        <v>1600</v>
      </c>
      <c r="C391" s="2713"/>
      <c r="D391" s="2713"/>
      <c r="E391" s="2713"/>
      <c r="F391" s="2713"/>
      <c r="G391" s="2713"/>
      <c r="I391" s="2839">
        <f>I389-I390</f>
        <v>0</v>
      </c>
      <c r="J391" s="2839"/>
      <c r="K391" s="2713"/>
      <c r="L391" s="2717"/>
      <c r="M391" s="2837"/>
      <c r="N391" s="2837"/>
      <c r="O391" s="2837"/>
      <c r="P391" s="2837"/>
      <c r="Q391" s="2713"/>
      <c r="S391" s="2786"/>
      <c r="T391" s="2786"/>
    </row>
    <row r="392" spans="1:24" s="2789" customFormat="1" ht="13.15" customHeight="1">
      <c r="A392" s="2713" t="s">
        <v>4167</v>
      </c>
      <c r="B392" s="2721"/>
      <c r="C392" s="2713"/>
      <c r="D392" s="2713"/>
      <c r="E392" s="2713"/>
      <c r="F392" s="2713"/>
      <c r="G392" s="2713"/>
      <c r="H392" s="2840"/>
      <c r="I392" s="2840"/>
      <c r="J392" s="2719"/>
      <c r="K392" s="2713"/>
      <c r="L392" s="2717"/>
      <c r="M392" s="2837"/>
      <c r="N392" s="2837"/>
      <c r="O392" s="2837"/>
      <c r="P392" s="2837"/>
      <c r="Q392" s="2713"/>
    </row>
    <row r="393" spans="1:24">
      <c r="A393" s="2719"/>
      <c r="B393" s="2719"/>
      <c r="C393" s="2719"/>
      <c r="D393" s="2719"/>
      <c r="E393" s="2719"/>
      <c r="F393" s="2719"/>
      <c r="G393" s="2719"/>
      <c r="H393" s="2719"/>
      <c r="I393" s="2719"/>
      <c r="J393" s="2719"/>
      <c r="K393" s="2719"/>
      <c r="L393" s="2719"/>
      <c r="M393" s="2719"/>
      <c r="N393" s="2719"/>
      <c r="O393" s="2719"/>
      <c r="P393" s="2719"/>
      <c r="Q393" s="2719"/>
    </row>
    <row r="394" spans="1:24">
      <c r="A394" s="2716" t="s">
        <v>1879</v>
      </c>
      <c r="B394" s="2716" t="s">
        <v>598</v>
      </c>
      <c r="C394" s="2719"/>
      <c r="D394" s="2719"/>
      <c r="E394" s="2719"/>
      <c r="F394" s="2719"/>
      <c r="G394" s="2719"/>
      <c r="H394" s="2719"/>
      <c r="I394" s="2719"/>
      <c r="J394" s="2719"/>
      <c r="K394" s="2716" t="s">
        <v>1879</v>
      </c>
      <c r="L394" s="2716" t="s">
        <v>81</v>
      </c>
      <c r="M394" s="2719"/>
      <c r="N394" s="2719"/>
      <c r="O394" s="2719"/>
      <c r="P394" s="2719"/>
      <c r="Q394" s="2719"/>
    </row>
    <row r="395" spans="1:24" ht="13.5">
      <c r="A395" s="2813"/>
      <c r="B395" s="2841"/>
      <c r="C395" s="2813"/>
      <c r="D395" s="2813"/>
      <c r="E395" s="2813"/>
      <c r="F395" s="2813"/>
      <c r="G395" s="2813"/>
      <c r="H395" s="2813"/>
      <c r="I395" s="2813"/>
      <c r="J395" s="2813"/>
      <c r="K395" s="2813"/>
      <c r="L395" s="2813"/>
      <c r="M395" s="2813"/>
      <c r="N395" s="2813"/>
      <c r="O395" s="2813"/>
      <c r="P395" s="2813"/>
      <c r="Q395" s="2813"/>
    </row>
    <row r="396" spans="1:24">
      <c r="A396" s="2786" t="str">
        <f>'Part III-Sources of Funds'!A60</f>
        <v xml:space="preserve">   The existing USDA Rural Development 515 loan will be assumed by the applicant.  The principal amount above is the estimated balance on the loan on estimated transfer date of April 1, 2016.  The loan balance as of application date is 1,343,218.
   No construction loan will be needed because equity will be contributed to cover construction as it progresses.
   Applicant is requesting that the state deisignated basis boost deferred developers fee requirement be waived due to the restrictions of the RD 515 loan.  A narrative is included in TAB 43.
   USDA interest credit agreement showing debt service amount as $3,154.59 monthly which equals $37,855 yearly is included in TAB 43.
     </v>
      </c>
      <c r="B396" s="2842"/>
      <c r="C396" s="2842"/>
      <c r="D396" s="2842"/>
      <c r="E396" s="2842"/>
      <c r="F396" s="2842"/>
      <c r="G396" s="2842"/>
      <c r="H396" s="2842"/>
      <c r="I396" s="2842"/>
      <c r="J396" s="2842"/>
      <c r="K396" s="2786">
        <f>'Part III-Sources of Funds'!K60</f>
        <v>0</v>
      </c>
      <c r="L396" s="2842"/>
      <c r="M396" s="2842"/>
      <c r="N396" s="2842"/>
      <c r="O396" s="2842"/>
      <c r="P396" s="2842"/>
      <c r="Q396" s="2842"/>
    </row>
    <row r="399" spans="1:24">
      <c r="A399" s="2711" t="str">
        <f>'Part IV-Uses of Funds'!A1</f>
        <v>PART FOUR -  USES OF FUNDS  -  2015-026 Arbor Trace Apartments Phase II, Lake Park, Lowndes County</v>
      </c>
      <c r="B399" s="2711"/>
      <c r="C399" s="2711"/>
      <c r="D399" s="2711"/>
      <c r="E399" s="2711"/>
      <c r="F399" s="2711"/>
      <c r="G399" s="2711"/>
      <c r="H399" s="2711"/>
      <c r="I399" s="2711"/>
      <c r="J399" s="2711"/>
      <c r="K399" s="2711"/>
      <c r="L399" s="2711"/>
      <c r="M399" s="2711"/>
      <c r="N399" s="2711"/>
      <c r="O399" s="2711"/>
      <c r="P399" s="2711"/>
      <c r="Q399" s="2711"/>
      <c r="R399" s="2711"/>
      <c r="S399" s="2711"/>
      <c r="T399" s="2711"/>
      <c r="U399" s="2713"/>
      <c r="V399" s="2713"/>
      <c r="W399" s="2711" t="str">
        <f>A399</f>
        <v>PART FOUR -  USES OF FUNDS  -  2015-026 Arbor Trace Apartments Phase II, Lake Park, Lowndes County</v>
      </c>
      <c r="X399" s="2711"/>
    </row>
    <row r="400" spans="1:24">
      <c r="A400" s="2719"/>
      <c r="B400" s="2719"/>
      <c r="C400" s="2719"/>
      <c r="D400" s="2719"/>
      <c r="E400" s="2719"/>
      <c r="F400" s="2719"/>
      <c r="G400" s="2719"/>
      <c r="H400" s="2719"/>
      <c r="I400" s="2719"/>
      <c r="J400" s="2719"/>
      <c r="K400" s="2719"/>
      <c r="L400" s="2719"/>
      <c r="M400" s="2719"/>
      <c r="N400" s="2719"/>
      <c r="O400" s="2719"/>
      <c r="P400" s="2719"/>
      <c r="Q400" s="2719"/>
      <c r="R400" s="2719"/>
      <c r="S400" s="2719"/>
      <c r="T400" s="2719"/>
      <c r="U400" s="2719"/>
      <c r="V400" s="2719"/>
      <c r="W400" s="2719"/>
      <c r="X400" s="2719"/>
    </row>
    <row r="401" spans="1:24">
      <c r="A401" s="2716"/>
      <c r="B401" s="2716"/>
      <c r="C401" s="2716"/>
      <c r="D401" s="2716"/>
      <c r="E401" s="2716"/>
      <c r="F401" s="2716"/>
      <c r="G401" s="2716"/>
      <c r="H401" s="2716"/>
      <c r="I401" s="2716"/>
      <c r="J401" s="2716"/>
      <c r="K401" s="2716"/>
      <c r="L401" s="2716"/>
      <c r="M401" s="2716"/>
      <c r="N401" s="2716"/>
      <c r="O401" s="2716"/>
      <c r="P401" s="2716"/>
      <c r="Q401" s="2716"/>
      <c r="R401" s="2716"/>
      <c r="S401" s="2716"/>
      <c r="T401" s="2716"/>
      <c r="U401" s="2713"/>
      <c r="V401" s="2713"/>
      <c r="W401" s="2713"/>
      <c r="X401" s="2713"/>
    </row>
    <row r="402" spans="1:24" ht="16.5">
      <c r="A402" s="2712"/>
      <c r="B402" s="2712"/>
      <c r="C402" s="2712"/>
      <c r="D402" s="2843"/>
      <c r="E402" s="2843"/>
      <c r="F402" s="2843"/>
      <c r="G402" s="2843"/>
      <c r="H402" s="2843"/>
      <c r="I402" s="2716"/>
      <c r="J402" s="2712"/>
      <c r="K402" s="2712"/>
      <c r="L402" s="2712"/>
      <c r="M402" s="2712"/>
      <c r="N402" s="2712"/>
      <c r="O402" s="2712"/>
      <c r="P402" s="2712"/>
      <c r="Q402" s="2712"/>
      <c r="R402" s="2712"/>
      <c r="S402" s="2712"/>
      <c r="T402" s="2712"/>
      <c r="U402" s="2713"/>
      <c r="V402" s="2713"/>
      <c r="W402" s="2713"/>
      <c r="X402" s="2713"/>
    </row>
    <row r="403" spans="1:24" ht="16.5">
      <c r="A403" s="2843" t="s">
        <v>646</v>
      </c>
      <c r="B403" s="2843" t="s">
        <v>943</v>
      </c>
      <c r="C403" s="2713"/>
      <c r="D403" s="2843"/>
      <c r="E403" s="2843"/>
      <c r="F403" s="2843"/>
      <c r="G403" s="2843"/>
      <c r="H403" s="2843"/>
      <c r="I403" s="2843"/>
      <c r="J403" s="2844" t="s">
        <v>283</v>
      </c>
      <c r="K403" s="2844"/>
      <c r="L403" s="2740"/>
      <c r="M403" s="2845" t="s">
        <v>510</v>
      </c>
      <c r="N403" s="2845"/>
      <c r="O403" s="2713"/>
      <c r="P403" s="2844" t="s">
        <v>284</v>
      </c>
      <c r="Q403" s="2844"/>
      <c r="R403" s="2713"/>
      <c r="S403" s="2844" t="s">
        <v>285</v>
      </c>
      <c r="T403" s="2844"/>
      <c r="U403" s="2713"/>
      <c r="V403" s="2713"/>
      <c r="W403" s="2846" t="str">
        <f>B403</f>
        <v>DEVELOPMENT BUDGET</v>
      </c>
      <c r="X403" s="2713"/>
    </row>
    <row r="404" spans="1:24">
      <c r="A404" s="2713"/>
      <c r="B404" s="2713"/>
      <c r="C404" s="2713"/>
      <c r="D404" s="2713"/>
      <c r="E404" s="2713"/>
      <c r="F404" s="2713"/>
      <c r="G404" s="2711" t="s">
        <v>103</v>
      </c>
      <c r="H404" s="2711"/>
      <c r="I404" s="2713"/>
      <c r="J404" s="2844"/>
      <c r="K404" s="2844"/>
      <c r="L404" s="2740"/>
      <c r="M404" s="2845"/>
      <c r="N404" s="2845"/>
      <c r="O404" s="2713"/>
      <c r="P404" s="2844"/>
      <c r="Q404" s="2844"/>
      <c r="R404" s="2713"/>
      <c r="S404" s="2844"/>
      <c r="T404" s="2844"/>
      <c r="U404" s="2713"/>
      <c r="V404" s="2713"/>
      <c r="W404" s="2779" t="s">
        <v>2825</v>
      </c>
      <c r="X404" s="2779"/>
    </row>
    <row r="405" spans="1:24">
      <c r="A405" s="2713"/>
      <c r="B405" s="2716" t="s">
        <v>104</v>
      </c>
      <c r="C405" s="2713"/>
      <c r="D405" s="2713"/>
      <c r="E405" s="2713"/>
      <c r="F405" s="2713"/>
      <c r="G405" s="2713"/>
      <c r="H405" s="2713"/>
      <c r="I405" s="2713"/>
      <c r="J405" s="2713"/>
      <c r="K405" s="2713"/>
      <c r="L405" s="2713"/>
      <c r="M405" s="2713"/>
      <c r="N405" s="2713"/>
      <c r="O405" s="2712" t="str">
        <f>B405</f>
        <v>PRE-DEVELOPMENT COSTS</v>
      </c>
      <c r="P405" s="2713"/>
      <c r="Q405" s="2713"/>
      <c r="R405" s="2713"/>
      <c r="S405" s="2713"/>
      <c r="T405" s="2713"/>
      <c r="U405" s="2713"/>
      <c r="V405" s="2713"/>
      <c r="W405" s="2713" t="str">
        <f>B405</f>
        <v>PRE-DEVELOPMENT COSTS</v>
      </c>
      <c r="X405" s="2713"/>
    </row>
    <row r="406" spans="1:24">
      <c r="A406" s="2713"/>
      <c r="B406" s="2713" t="s">
        <v>2098</v>
      </c>
      <c r="C406" s="2713"/>
      <c r="D406" s="2713"/>
      <c r="E406" s="2713"/>
      <c r="F406" s="2713"/>
      <c r="G406" s="2820">
        <f>'Part IV-Uses of Funds'!G8</f>
        <v>6500</v>
      </c>
      <c r="H406" s="2820"/>
      <c r="I406" s="2713"/>
      <c r="J406" s="2820">
        <f>'Part IV-Uses of Funds'!J8</f>
        <v>0</v>
      </c>
      <c r="K406" s="2820"/>
      <c r="L406" s="2741"/>
      <c r="M406" s="2820">
        <f>'Part IV-Uses of Funds'!M8</f>
        <v>0</v>
      </c>
      <c r="N406" s="2820"/>
      <c r="O406" s="2713"/>
      <c r="P406" s="2820">
        <f>'Part IV-Uses of Funds'!P8</f>
        <v>6500</v>
      </c>
      <c r="Q406" s="2820"/>
      <c r="R406" s="2713"/>
      <c r="S406" s="2820">
        <f>'Part IV-Uses of Funds'!S8</f>
        <v>0</v>
      </c>
      <c r="T406" s="2820"/>
      <c r="U406" s="2713"/>
      <c r="V406" s="2847">
        <f>'Part IV-Uses of Funds'!V8</f>
        <v>0</v>
      </c>
      <c r="W406" s="2848">
        <f>'Part IV-Uses of Funds'!W8</f>
        <v>0</v>
      </c>
      <c r="X406" s="2848"/>
    </row>
    <row r="407" spans="1:24">
      <c r="A407" s="2713"/>
      <c r="B407" s="2713" t="s">
        <v>476</v>
      </c>
      <c r="C407" s="2713"/>
      <c r="D407" s="2713"/>
      <c r="E407" s="2713"/>
      <c r="F407" s="2713"/>
      <c r="G407" s="2820">
        <f>'Part IV-Uses of Funds'!G9</f>
        <v>5000</v>
      </c>
      <c r="H407" s="2820"/>
      <c r="I407" s="2713"/>
      <c r="J407" s="2820">
        <f>'Part IV-Uses of Funds'!J9</f>
        <v>0</v>
      </c>
      <c r="K407" s="2820"/>
      <c r="L407" s="2741"/>
      <c r="M407" s="2820">
        <f>'Part IV-Uses of Funds'!M9</f>
        <v>0</v>
      </c>
      <c r="N407" s="2820"/>
      <c r="O407" s="2713"/>
      <c r="P407" s="2820">
        <f>'Part IV-Uses of Funds'!P9</f>
        <v>5000</v>
      </c>
      <c r="Q407" s="2820"/>
      <c r="R407" s="2713"/>
      <c r="S407" s="2820">
        <f>'Part IV-Uses of Funds'!S9</f>
        <v>0</v>
      </c>
      <c r="T407" s="2820"/>
      <c r="U407" s="2713"/>
      <c r="V407" s="2847">
        <f>'Part IV-Uses of Funds'!V9</f>
        <v>0</v>
      </c>
      <c r="W407" s="2848"/>
      <c r="X407" s="2848"/>
    </row>
    <row r="408" spans="1:24">
      <c r="A408" s="2713"/>
      <c r="B408" s="2713" t="s">
        <v>507</v>
      </c>
      <c r="C408" s="2713"/>
      <c r="D408" s="2713"/>
      <c r="E408" s="2713"/>
      <c r="F408" s="2713"/>
      <c r="G408" s="2820">
        <f>'Part IV-Uses of Funds'!G10</f>
        <v>9000</v>
      </c>
      <c r="H408" s="2820"/>
      <c r="I408" s="2713"/>
      <c r="J408" s="2820">
        <f>'Part IV-Uses of Funds'!J10</f>
        <v>0</v>
      </c>
      <c r="K408" s="2820"/>
      <c r="L408" s="2741"/>
      <c r="M408" s="2820">
        <f>'Part IV-Uses of Funds'!M10</f>
        <v>0</v>
      </c>
      <c r="N408" s="2820"/>
      <c r="O408" s="2713"/>
      <c r="P408" s="2820">
        <f>'Part IV-Uses of Funds'!P10</f>
        <v>9000</v>
      </c>
      <c r="Q408" s="2820"/>
      <c r="R408" s="2713"/>
      <c r="S408" s="2820">
        <f>'Part IV-Uses of Funds'!S10</f>
        <v>0</v>
      </c>
      <c r="T408" s="2820"/>
      <c r="U408" s="2713"/>
      <c r="V408" s="2847">
        <f>'Part IV-Uses of Funds'!V10</f>
        <v>0</v>
      </c>
      <c r="W408" s="2848"/>
      <c r="X408" s="2848"/>
    </row>
    <row r="409" spans="1:24">
      <c r="A409" s="2713"/>
      <c r="B409" s="2713" t="s">
        <v>508</v>
      </c>
      <c r="C409" s="2713"/>
      <c r="D409" s="2713"/>
      <c r="E409" s="2713"/>
      <c r="F409" s="2713"/>
      <c r="G409" s="2820">
        <f>'Part IV-Uses of Funds'!G11</f>
        <v>0</v>
      </c>
      <c r="H409" s="2820"/>
      <c r="I409" s="2713"/>
      <c r="J409" s="2820">
        <f>'Part IV-Uses of Funds'!J11</f>
        <v>0</v>
      </c>
      <c r="K409" s="2820"/>
      <c r="L409" s="2741"/>
      <c r="M409" s="2820">
        <f>'Part IV-Uses of Funds'!M11</f>
        <v>0</v>
      </c>
      <c r="N409" s="2820"/>
      <c r="O409" s="2713"/>
      <c r="P409" s="2820">
        <f>'Part IV-Uses of Funds'!P11</f>
        <v>0</v>
      </c>
      <c r="Q409" s="2820"/>
      <c r="R409" s="2713"/>
      <c r="S409" s="2820">
        <f>'Part IV-Uses of Funds'!S11</f>
        <v>0</v>
      </c>
      <c r="T409" s="2820"/>
      <c r="U409" s="2713"/>
      <c r="V409" s="2847">
        <f>'Part IV-Uses of Funds'!V11</f>
        <v>0</v>
      </c>
      <c r="W409" s="2848"/>
      <c r="X409" s="2848"/>
    </row>
    <row r="410" spans="1:24">
      <c r="A410" s="2713"/>
      <c r="B410" s="2713" t="s">
        <v>2622</v>
      </c>
      <c r="C410" s="2713"/>
      <c r="D410" s="2713"/>
      <c r="E410" s="2713"/>
      <c r="F410" s="2713"/>
      <c r="G410" s="2820">
        <f>'Part IV-Uses of Funds'!G12</f>
        <v>3000</v>
      </c>
      <c r="H410" s="2820"/>
      <c r="I410" s="2713"/>
      <c r="J410" s="2820">
        <f>'Part IV-Uses of Funds'!J12</f>
        <v>0</v>
      </c>
      <c r="K410" s="2820"/>
      <c r="L410" s="2741"/>
      <c r="M410" s="2820">
        <f>'Part IV-Uses of Funds'!M12</f>
        <v>0</v>
      </c>
      <c r="N410" s="2820"/>
      <c r="O410" s="2713"/>
      <c r="P410" s="2820">
        <f>'Part IV-Uses of Funds'!P12</f>
        <v>3000</v>
      </c>
      <c r="Q410" s="2820"/>
      <c r="R410" s="2713"/>
      <c r="S410" s="2820">
        <f>'Part IV-Uses of Funds'!S12</f>
        <v>0</v>
      </c>
      <c r="T410" s="2820"/>
      <c r="U410" s="2713"/>
      <c r="V410" s="2847">
        <f>'Part IV-Uses of Funds'!V12</f>
        <v>0</v>
      </c>
      <c r="W410" s="2848"/>
      <c r="X410" s="2848"/>
    </row>
    <row r="411" spans="1:24">
      <c r="A411" s="2713"/>
      <c r="B411" s="2713" t="s">
        <v>196</v>
      </c>
      <c r="C411" s="2713"/>
      <c r="D411" s="2713"/>
      <c r="E411" s="2713"/>
      <c r="F411" s="2713"/>
      <c r="G411" s="2820">
        <f>'Part IV-Uses of Funds'!G13</f>
        <v>500</v>
      </c>
      <c r="H411" s="2820"/>
      <c r="I411" s="2713"/>
      <c r="J411" s="2820">
        <f>'Part IV-Uses of Funds'!J13</f>
        <v>0</v>
      </c>
      <c r="K411" s="2820"/>
      <c r="L411" s="2741"/>
      <c r="M411" s="2820">
        <f>'Part IV-Uses of Funds'!M13</f>
        <v>0</v>
      </c>
      <c r="N411" s="2820"/>
      <c r="O411" s="2713"/>
      <c r="P411" s="2820">
        <f>'Part IV-Uses of Funds'!P13</f>
        <v>500</v>
      </c>
      <c r="Q411" s="2820"/>
      <c r="R411" s="2713"/>
      <c r="S411" s="2820">
        <f>'Part IV-Uses of Funds'!S13</f>
        <v>0</v>
      </c>
      <c r="T411" s="2820"/>
      <c r="U411" s="2713"/>
      <c r="V411" s="2847">
        <f>'Part IV-Uses of Funds'!V13</f>
        <v>0</v>
      </c>
      <c r="W411" s="2848"/>
      <c r="X411" s="2848"/>
    </row>
    <row r="412" spans="1:24" ht="15.75">
      <c r="A412" s="2849" t="str">
        <f>IF(AND(G412&gt;0,OR(C412="",C412="&lt;Enter detailed description here; use Comments section if needed&gt;")),"X","")</f>
        <v/>
      </c>
      <c r="B412" s="2713" t="s">
        <v>780</v>
      </c>
      <c r="C412" s="2728" t="str">
        <f>'Part IV-Uses of Funds'!C14</f>
        <v>physical needs assessment</v>
      </c>
      <c r="D412" s="2728"/>
      <c r="E412" s="2728"/>
      <c r="F412" s="2728"/>
      <c r="G412" s="2820">
        <f>'Part IV-Uses of Funds'!G14</f>
        <v>4250</v>
      </c>
      <c r="H412" s="2820"/>
      <c r="I412" s="2713"/>
      <c r="J412" s="2820">
        <f>'Part IV-Uses of Funds'!J14</f>
        <v>0</v>
      </c>
      <c r="K412" s="2820"/>
      <c r="L412" s="2741"/>
      <c r="M412" s="2820">
        <f>'Part IV-Uses of Funds'!M14</f>
        <v>0</v>
      </c>
      <c r="N412" s="2820"/>
      <c r="O412" s="2713"/>
      <c r="P412" s="2820">
        <f>'Part IV-Uses of Funds'!P14</f>
        <v>4250</v>
      </c>
      <c r="Q412" s="2820"/>
      <c r="R412" s="2713"/>
      <c r="S412" s="2820">
        <f>'Part IV-Uses of Funds'!S14</f>
        <v>0</v>
      </c>
      <c r="T412" s="2820"/>
      <c r="U412" s="2714" t="str">
        <f>IF(AND(G412&gt;0,OR(C412="",C412="&lt;Enter detailed description here; use Comments section if needed&gt;")),"NO DESCRIPTION PROVIDED - please enter detailed description in Other box at left; use Comments section below if needed.","")</f>
        <v/>
      </c>
      <c r="V412" s="2847">
        <f>'Part IV-Uses of Funds'!V14</f>
        <v>0</v>
      </c>
      <c r="W412" s="2848"/>
      <c r="X412" s="2848"/>
    </row>
    <row r="413" spans="1:24" ht="15.75">
      <c r="A413" s="2849" t="str">
        <f>IF(AND(G413&gt;0,OR(C413="",C413="&lt;Enter detailed description here; use Comments section if needed&gt;")),"X","")</f>
        <v/>
      </c>
      <c r="B413" s="2713" t="s">
        <v>780</v>
      </c>
      <c r="C413" s="2728" t="str">
        <f>'Part IV-Uses of Funds'!C15</f>
        <v>&lt;Enter detailed description here; use Comments section if needed&gt;</v>
      </c>
      <c r="D413" s="2728"/>
      <c r="E413" s="2728"/>
      <c r="F413" s="2728"/>
      <c r="G413" s="2820">
        <f>'Part IV-Uses of Funds'!G15</f>
        <v>0</v>
      </c>
      <c r="H413" s="2820"/>
      <c r="I413" s="2713"/>
      <c r="J413" s="2820">
        <f>'Part IV-Uses of Funds'!J15</f>
        <v>0</v>
      </c>
      <c r="K413" s="2820"/>
      <c r="L413" s="2741"/>
      <c r="M413" s="2820">
        <f>'Part IV-Uses of Funds'!M15</f>
        <v>0</v>
      </c>
      <c r="N413" s="2820"/>
      <c r="O413" s="2713"/>
      <c r="P413" s="2820">
        <f>'Part IV-Uses of Funds'!P15</f>
        <v>0</v>
      </c>
      <c r="Q413" s="2820"/>
      <c r="R413" s="2713"/>
      <c r="S413" s="2820">
        <f>'Part IV-Uses of Funds'!S15</f>
        <v>0</v>
      </c>
      <c r="T413" s="2820"/>
      <c r="U413" s="2714" t="str">
        <f>IF(AND(G413&gt;0,OR(C413="",C413="&lt;Enter detailed description here; use Comments section if needed&gt;")),"NO DESCRIPTION PROVIDED - please enter detailed description in Other box at left; use Comments section below if needed.","")</f>
        <v/>
      </c>
      <c r="V413" s="2847">
        <f>'Part IV-Uses of Funds'!V15</f>
        <v>0</v>
      </c>
      <c r="W413" s="2848"/>
      <c r="X413" s="2848"/>
    </row>
    <row r="414" spans="1:24" ht="15.75">
      <c r="A414" s="2849" t="str">
        <f>IF(AND(G414&gt;0,OR(C414="",C414="&lt;Enter detailed description here; use Comments section if needed&gt;")),"X","")</f>
        <v/>
      </c>
      <c r="B414" s="2713" t="s">
        <v>780</v>
      </c>
      <c r="C414" s="2728" t="str">
        <f>'Part IV-Uses of Funds'!C16</f>
        <v>&lt;Enter detailed description here; use Comments section if needed&gt;</v>
      </c>
      <c r="D414" s="2728"/>
      <c r="E414" s="2728"/>
      <c r="F414" s="2728"/>
      <c r="G414" s="2820">
        <f>'Part IV-Uses of Funds'!G16</f>
        <v>0</v>
      </c>
      <c r="H414" s="2820"/>
      <c r="I414" s="2713"/>
      <c r="J414" s="2820">
        <f>'Part IV-Uses of Funds'!J16</f>
        <v>0</v>
      </c>
      <c r="K414" s="2820"/>
      <c r="L414" s="2741"/>
      <c r="M414" s="2820">
        <f>'Part IV-Uses of Funds'!M16</f>
        <v>0</v>
      </c>
      <c r="N414" s="2820"/>
      <c r="O414" s="2713"/>
      <c r="P414" s="2820">
        <f>'Part IV-Uses of Funds'!P16</f>
        <v>0</v>
      </c>
      <c r="Q414" s="2820"/>
      <c r="R414" s="2713"/>
      <c r="S414" s="2820">
        <f>'Part IV-Uses of Funds'!S16</f>
        <v>0</v>
      </c>
      <c r="T414" s="2820"/>
      <c r="U414" s="2714" t="str">
        <f>IF(AND(G414&gt;0,OR(C414="",C414="&lt;Enter detailed description here; use Comments section if needed&gt;")),"NO DESCRIPTION PROVIDED - please enter detailed description in Other box at left; use Comments section below if needed.","")</f>
        <v/>
      </c>
      <c r="V414" s="2847">
        <f>'Part IV-Uses of Funds'!V16</f>
        <v>0</v>
      </c>
      <c r="W414" s="2848"/>
      <c r="X414" s="2848"/>
    </row>
    <row r="415" spans="1:24">
      <c r="A415" s="2713"/>
      <c r="B415" s="2713"/>
      <c r="C415" s="2713"/>
      <c r="D415" s="2713"/>
      <c r="E415" s="2713"/>
      <c r="F415" s="2850" t="s">
        <v>197</v>
      </c>
      <c r="G415" s="2820">
        <f>SUM(G406:H414)</f>
        <v>28250</v>
      </c>
      <c r="H415" s="2820"/>
      <c r="I415" s="2713"/>
      <c r="J415" s="2820">
        <f>SUM(J406:K414)</f>
        <v>0</v>
      </c>
      <c r="K415" s="2771"/>
      <c r="L415" s="2741"/>
      <c r="M415" s="2820">
        <f>SUM(M406:N414)</f>
        <v>0</v>
      </c>
      <c r="N415" s="2820"/>
      <c r="O415" s="2713"/>
      <c r="P415" s="2820">
        <f>SUM(P406:Q414)</f>
        <v>28250</v>
      </c>
      <c r="Q415" s="2820"/>
      <c r="R415" s="2713"/>
      <c r="S415" s="2820">
        <f>SUM(S406:T414)</f>
        <v>0</v>
      </c>
      <c r="T415" s="2820"/>
      <c r="U415" s="2713"/>
      <c r="V415" s="2847">
        <f>SUM(V406:V414)</f>
        <v>0</v>
      </c>
      <c r="W415" s="2848"/>
      <c r="X415" s="2848"/>
    </row>
    <row r="416" spans="1:24">
      <c r="A416" s="2713"/>
      <c r="B416" s="2716" t="s">
        <v>2299</v>
      </c>
      <c r="C416" s="2713"/>
      <c r="D416" s="2713"/>
      <c r="E416" s="2713"/>
      <c r="F416" s="2713"/>
      <c r="G416" s="2713"/>
      <c r="H416" s="2713"/>
      <c r="I416" s="2713"/>
      <c r="J416" s="2740"/>
      <c r="K416" s="2740"/>
      <c r="L416" s="2713"/>
      <c r="M416" s="2740"/>
      <c r="N416" s="2740"/>
      <c r="O416" s="2851" t="str">
        <f>B416</f>
        <v>ACQUISITION</v>
      </c>
      <c r="P416" s="2740"/>
      <c r="Q416" s="2740"/>
      <c r="R416" s="2713"/>
      <c r="S416" s="2740"/>
      <c r="T416" s="2740"/>
      <c r="U416" s="2713"/>
      <c r="V416" s="2713"/>
      <c r="W416" s="2721" t="str">
        <f>B416</f>
        <v>ACQUISITION</v>
      </c>
      <c r="X416" s="2721"/>
    </row>
    <row r="417" spans="1:24">
      <c r="A417" s="2713"/>
      <c r="B417" s="2713" t="s">
        <v>2300</v>
      </c>
      <c r="C417" s="2713"/>
      <c r="D417" s="2713"/>
      <c r="E417" s="2713"/>
      <c r="F417" s="2713"/>
      <c r="G417" s="2820">
        <f>'Part IV-Uses of Funds'!G19</f>
        <v>115000</v>
      </c>
      <c r="H417" s="2820"/>
      <c r="I417" s="2713"/>
      <c r="J417" s="2741"/>
      <c r="K417" s="2740"/>
      <c r="L417" s="2741"/>
      <c r="M417" s="2741"/>
      <c r="N417" s="2740"/>
      <c r="O417" s="2713"/>
      <c r="P417" s="2741"/>
      <c r="Q417" s="2740"/>
      <c r="R417" s="2713"/>
      <c r="S417" s="2820">
        <f>'Part IV-Uses of Funds'!S19</f>
        <v>115000</v>
      </c>
      <c r="T417" s="2820"/>
      <c r="U417" s="2713"/>
      <c r="V417" s="2847">
        <f>'Part IV-Uses of Funds'!V19</f>
        <v>0</v>
      </c>
      <c r="W417" s="2848">
        <f>'Part IV-Uses of Funds'!W19</f>
        <v>0</v>
      </c>
      <c r="X417" s="2848"/>
    </row>
    <row r="418" spans="1:24">
      <c r="A418" s="2713"/>
      <c r="B418" s="2713" t="s">
        <v>1169</v>
      </c>
      <c r="C418" s="2713"/>
      <c r="D418" s="2713"/>
      <c r="E418" s="2713"/>
      <c r="F418" s="2713"/>
      <c r="G418" s="2820">
        <f>'Part IV-Uses of Funds'!G20</f>
        <v>0</v>
      </c>
      <c r="H418" s="2820"/>
      <c r="I418" s="2713"/>
      <c r="J418" s="2741"/>
      <c r="K418" s="2740"/>
      <c r="L418" s="2741"/>
      <c r="M418" s="2741"/>
      <c r="N418" s="2740"/>
      <c r="O418" s="2713"/>
      <c r="P418" s="2741"/>
      <c r="Q418" s="2740"/>
      <c r="R418" s="2713"/>
      <c r="S418" s="2820">
        <f>'Part IV-Uses of Funds'!S20</f>
        <v>0</v>
      </c>
      <c r="T418" s="2820"/>
      <c r="U418" s="2713"/>
      <c r="V418" s="2847">
        <f>'Part IV-Uses of Funds'!V20</f>
        <v>0</v>
      </c>
      <c r="W418" s="2848"/>
      <c r="X418" s="2848"/>
    </row>
    <row r="419" spans="1:24">
      <c r="A419" s="2713"/>
      <c r="B419" s="2713" t="s">
        <v>477</v>
      </c>
      <c r="C419" s="2713"/>
      <c r="D419" s="2713"/>
      <c r="E419" s="2713"/>
      <c r="F419" s="2713"/>
      <c r="G419" s="2820">
        <f>'Part IV-Uses of Funds'!G21</f>
        <v>10000</v>
      </c>
      <c r="H419" s="2820"/>
      <c r="I419" s="2713"/>
      <c r="J419" s="2741"/>
      <c r="K419" s="2740"/>
      <c r="L419" s="2741"/>
      <c r="M419" s="2820">
        <f>'Part IV-Uses of Funds'!M21</f>
        <v>10000</v>
      </c>
      <c r="N419" s="2820"/>
      <c r="O419" s="2713"/>
      <c r="P419" s="2741"/>
      <c r="Q419" s="2740"/>
      <c r="R419" s="2713"/>
      <c r="S419" s="2820">
        <f>'Part IV-Uses of Funds'!S21</f>
        <v>0</v>
      </c>
      <c r="T419" s="2820"/>
      <c r="U419" s="2713"/>
      <c r="V419" s="2847">
        <f>'Part IV-Uses of Funds'!V21</f>
        <v>0</v>
      </c>
      <c r="W419" s="2848"/>
      <c r="X419" s="2848"/>
    </row>
    <row r="420" spans="1:24">
      <c r="A420" s="2713"/>
      <c r="B420" s="2713" t="s">
        <v>446</v>
      </c>
      <c r="C420" s="2713"/>
      <c r="D420" s="2713"/>
      <c r="E420" s="2713"/>
      <c r="F420" s="2713"/>
      <c r="G420" s="2820">
        <f>'Part IV-Uses of Funds'!G22</f>
        <v>1319420</v>
      </c>
      <c r="H420" s="2820"/>
      <c r="I420" s="2713"/>
      <c r="J420" s="2741"/>
      <c r="K420" s="2740"/>
      <c r="L420" s="2741"/>
      <c r="M420" s="2820">
        <f>'Part IV-Uses of Funds'!M22</f>
        <v>1319420</v>
      </c>
      <c r="N420" s="2820"/>
      <c r="O420" s="2713"/>
      <c r="P420" s="2741"/>
      <c r="Q420" s="2740"/>
      <c r="R420" s="2713"/>
      <c r="S420" s="2820">
        <f>'Part IV-Uses of Funds'!S22</f>
        <v>0</v>
      </c>
      <c r="T420" s="2820"/>
      <c r="U420" s="2713"/>
      <c r="V420" s="2847">
        <f>'Part IV-Uses of Funds'!V22</f>
        <v>0</v>
      </c>
      <c r="W420" s="2848"/>
      <c r="X420" s="2848"/>
    </row>
    <row r="421" spans="1:24">
      <c r="A421" s="2713"/>
      <c r="B421" s="2713"/>
      <c r="C421" s="2713"/>
      <c r="D421" s="2713"/>
      <c r="E421" s="2713"/>
      <c r="F421" s="2850" t="s">
        <v>197</v>
      </c>
      <c r="G421" s="2820">
        <f>SUM(G417:H420)</f>
        <v>1444420</v>
      </c>
      <c r="H421" s="2820"/>
      <c r="I421" s="2713"/>
      <c r="J421" s="2741"/>
      <c r="K421" s="2740"/>
      <c r="L421" s="2741"/>
      <c r="M421" s="2820">
        <f>SUM(M419:N420)</f>
        <v>1329420</v>
      </c>
      <c r="N421" s="2820"/>
      <c r="O421" s="2713"/>
      <c r="P421" s="2741"/>
      <c r="Q421" s="2740"/>
      <c r="R421" s="2713"/>
      <c r="S421" s="2820">
        <f>SUM(S417:T420)</f>
        <v>115000</v>
      </c>
      <c r="T421" s="2820"/>
      <c r="U421" s="2713"/>
      <c r="V421" s="2847">
        <f>SUM(V417:V420)</f>
        <v>0</v>
      </c>
      <c r="W421" s="2848"/>
      <c r="X421" s="2848"/>
    </row>
    <row r="422" spans="1:24">
      <c r="A422" s="2713"/>
      <c r="B422" s="2716" t="s">
        <v>1170</v>
      </c>
      <c r="C422" s="2713"/>
      <c r="D422" s="2713"/>
      <c r="E422" s="2713"/>
      <c r="F422" s="2713"/>
      <c r="G422" s="2713"/>
      <c r="H422" s="2713"/>
      <c r="I422" s="2713"/>
      <c r="J422" s="2741"/>
      <c r="K422" s="2740"/>
      <c r="L422" s="2713"/>
      <c r="M422" s="2741"/>
      <c r="N422" s="2740"/>
      <c r="O422" s="2851" t="str">
        <f>B422</f>
        <v>LAND IMPROVEMENTS</v>
      </c>
      <c r="P422" s="2741"/>
      <c r="Q422" s="2740"/>
      <c r="R422" s="2713"/>
      <c r="S422" s="2741"/>
      <c r="T422" s="2740"/>
      <c r="U422" s="2713"/>
      <c r="V422" s="2713"/>
      <c r="W422" s="2721" t="str">
        <f>B422</f>
        <v>LAND IMPROVEMENTS</v>
      </c>
      <c r="X422" s="2721"/>
    </row>
    <row r="423" spans="1:24">
      <c r="A423" s="2713"/>
      <c r="B423" s="2713" t="s">
        <v>1171</v>
      </c>
      <c r="C423" s="2713"/>
      <c r="D423" s="2713"/>
      <c r="E423" s="2713"/>
      <c r="F423" s="2713"/>
      <c r="G423" s="2820">
        <f>'Part IV-Uses of Funds'!G25</f>
        <v>200000</v>
      </c>
      <c r="H423" s="2820"/>
      <c r="I423" s="2713"/>
      <c r="J423" s="2820">
        <f>'Part IV-Uses of Funds'!J25</f>
        <v>0</v>
      </c>
      <c r="K423" s="2820"/>
      <c r="L423" s="2741"/>
      <c r="M423" s="2820">
        <f>'Part IV-Uses of Funds'!M25</f>
        <v>0</v>
      </c>
      <c r="N423" s="2820"/>
      <c r="O423" s="2713"/>
      <c r="P423" s="2820">
        <f>'Part IV-Uses of Funds'!P25</f>
        <v>200000</v>
      </c>
      <c r="Q423" s="2820"/>
      <c r="R423" s="2713"/>
      <c r="S423" s="2820">
        <f>'Part IV-Uses of Funds'!S25</f>
        <v>0</v>
      </c>
      <c r="T423" s="2820"/>
      <c r="U423" s="2713"/>
      <c r="V423" s="2847">
        <f>'Part IV-Uses of Funds'!V25</f>
        <v>0</v>
      </c>
      <c r="W423" s="2848">
        <f>'Part IV-Uses of Funds'!W25</f>
        <v>0</v>
      </c>
      <c r="X423" s="2848"/>
    </row>
    <row r="424" spans="1:24">
      <c r="A424" s="2713"/>
      <c r="B424" s="2713" t="s">
        <v>1172</v>
      </c>
      <c r="C424" s="2713"/>
      <c r="D424" s="2713"/>
      <c r="E424" s="2713"/>
      <c r="F424" s="2713"/>
      <c r="G424" s="2820">
        <f>'Part IV-Uses of Funds'!G26</f>
        <v>0</v>
      </c>
      <c r="H424" s="2820"/>
      <c r="I424" s="2713"/>
      <c r="J424" s="2820">
        <f>'Part IV-Uses of Funds'!J26</f>
        <v>0</v>
      </c>
      <c r="K424" s="2820"/>
      <c r="L424" s="2852"/>
      <c r="M424" s="2820"/>
      <c r="N424" s="2820"/>
      <c r="O424" s="2713"/>
      <c r="P424" s="2820"/>
      <c r="Q424" s="2820"/>
      <c r="R424" s="2713"/>
      <c r="S424" s="2820">
        <f>'Part IV-Uses of Funds'!S26</f>
        <v>0</v>
      </c>
      <c r="T424" s="2820"/>
      <c r="U424" s="2713"/>
      <c r="V424" s="2847">
        <f>'Part IV-Uses of Funds'!V26</f>
        <v>0</v>
      </c>
      <c r="W424" s="2848"/>
      <c r="X424" s="2848"/>
    </row>
    <row r="425" spans="1:24">
      <c r="A425" s="2713"/>
      <c r="B425" s="2713"/>
      <c r="C425" s="2713"/>
      <c r="D425" s="2713"/>
      <c r="E425" s="2713"/>
      <c r="F425" s="2850" t="s">
        <v>197</v>
      </c>
      <c r="G425" s="2820">
        <f>SUM(G423:H424)</f>
        <v>200000</v>
      </c>
      <c r="H425" s="2820"/>
      <c r="I425" s="2713"/>
      <c r="J425" s="2820">
        <f>SUM(J423:K424)</f>
        <v>0</v>
      </c>
      <c r="K425" s="2820"/>
      <c r="L425" s="2741"/>
      <c r="M425" s="2820">
        <f>M423</f>
        <v>0</v>
      </c>
      <c r="N425" s="2820"/>
      <c r="O425" s="2713"/>
      <c r="P425" s="2820">
        <f>P423</f>
        <v>200000</v>
      </c>
      <c r="Q425" s="2820"/>
      <c r="R425" s="2713"/>
      <c r="S425" s="2820">
        <f>SUM(S423:T424)</f>
        <v>0</v>
      </c>
      <c r="T425" s="2820"/>
      <c r="U425" s="2713"/>
      <c r="V425" s="2847">
        <f>SUM(V423:V424)</f>
        <v>0</v>
      </c>
      <c r="W425" s="2848"/>
      <c r="X425" s="2848"/>
    </row>
    <row r="426" spans="1:24">
      <c r="A426" s="2713"/>
      <c r="B426" s="2716" t="s">
        <v>1173</v>
      </c>
      <c r="C426" s="2713"/>
      <c r="D426" s="2713"/>
      <c r="E426" s="2713"/>
      <c r="F426" s="2713"/>
      <c r="G426" s="2713"/>
      <c r="H426" s="2713"/>
      <c r="I426" s="2713"/>
      <c r="J426" s="2741"/>
      <c r="K426" s="2740"/>
      <c r="L426" s="2713"/>
      <c r="M426" s="2741"/>
      <c r="N426" s="2740"/>
      <c r="O426" s="2851" t="str">
        <f>B426</f>
        <v>STRUCTURES</v>
      </c>
      <c r="P426" s="2741"/>
      <c r="Q426" s="2740"/>
      <c r="R426" s="2713"/>
      <c r="S426" s="2741"/>
      <c r="T426" s="2740"/>
      <c r="U426" s="2713"/>
      <c r="V426" s="2713"/>
      <c r="W426" s="2721" t="str">
        <f>B426</f>
        <v>STRUCTURES</v>
      </c>
      <c r="X426" s="2721"/>
    </row>
    <row r="427" spans="1:24">
      <c r="A427" s="2713"/>
      <c r="B427" s="2713" t="s">
        <v>1174</v>
      </c>
      <c r="C427" s="2713"/>
      <c r="D427" s="2713"/>
      <c r="E427" s="2713"/>
      <c r="F427" s="2713"/>
      <c r="G427" s="2820">
        <f>'Part IV-Uses of Funds'!G29</f>
        <v>0</v>
      </c>
      <c r="H427" s="2820"/>
      <c r="I427" s="2713"/>
      <c r="J427" s="2820">
        <f>'Part IV-Uses of Funds'!J29</f>
        <v>0</v>
      </c>
      <c r="K427" s="2820"/>
      <c r="L427" s="2741"/>
      <c r="M427" s="2820">
        <f>'Part IV-Uses of Funds'!M29</f>
        <v>0</v>
      </c>
      <c r="N427" s="2820"/>
      <c r="O427" s="2713"/>
      <c r="P427" s="2820">
        <f>'Part IV-Uses of Funds'!P29</f>
        <v>0</v>
      </c>
      <c r="Q427" s="2820"/>
      <c r="R427" s="2713"/>
      <c r="S427" s="2820">
        <f>'Part IV-Uses of Funds'!S29</f>
        <v>0</v>
      </c>
      <c r="T427" s="2820"/>
      <c r="U427" s="2713"/>
      <c r="V427" s="2847">
        <f>'Part IV-Uses of Funds'!V29</f>
        <v>0</v>
      </c>
      <c r="W427" s="2848">
        <f>'Part IV-Uses of Funds'!W29</f>
        <v>0</v>
      </c>
      <c r="X427" s="2848"/>
    </row>
    <row r="428" spans="1:24">
      <c r="A428" s="2713"/>
      <c r="B428" s="2713" t="s">
        <v>1175</v>
      </c>
      <c r="C428" s="2713"/>
      <c r="D428" s="2713"/>
      <c r="E428" s="2713"/>
      <c r="F428" s="2713"/>
      <c r="G428" s="2820">
        <f>'Part IV-Uses of Funds'!G30</f>
        <v>2100000</v>
      </c>
      <c r="H428" s="2820"/>
      <c r="I428" s="2713"/>
      <c r="J428" s="2820">
        <f>'Part IV-Uses of Funds'!J30</f>
        <v>0</v>
      </c>
      <c r="K428" s="2820"/>
      <c r="L428" s="2741"/>
      <c r="M428" s="2820">
        <f>'Part IV-Uses of Funds'!M30</f>
        <v>0</v>
      </c>
      <c r="N428" s="2820"/>
      <c r="O428" s="2713"/>
      <c r="P428" s="2820">
        <f>'Part IV-Uses of Funds'!P30</f>
        <v>2100000</v>
      </c>
      <c r="Q428" s="2820"/>
      <c r="R428" s="2713"/>
      <c r="S428" s="2820">
        <f>'Part IV-Uses of Funds'!S30</f>
        <v>0</v>
      </c>
      <c r="T428" s="2820"/>
      <c r="U428" s="2713"/>
      <c r="V428" s="2847">
        <f>'Part IV-Uses of Funds'!V30</f>
        <v>0</v>
      </c>
      <c r="W428" s="2848"/>
      <c r="X428" s="2848"/>
    </row>
    <row r="429" spans="1:24">
      <c r="A429" s="2713"/>
      <c r="B429" s="2713" t="s">
        <v>3085</v>
      </c>
      <c r="C429" s="2713"/>
      <c r="D429" s="2713"/>
      <c r="E429" s="2713"/>
      <c r="F429" s="2713"/>
      <c r="G429" s="2820">
        <f>'Part IV-Uses of Funds'!G31</f>
        <v>0</v>
      </c>
      <c r="H429" s="2820"/>
      <c r="I429" s="2713"/>
      <c r="J429" s="2820">
        <f>'Part IV-Uses of Funds'!J31</f>
        <v>0</v>
      </c>
      <c r="K429" s="2820"/>
      <c r="L429" s="2741"/>
      <c r="M429" s="2820">
        <f>'Part IV-Uses of Funds'!M31</f>
        <v>0</v>
      </c>
      <c r="N429" s="2820"/>
      <c r="O429" s="2713"/>
      <c r="P429" s="2820">
        <f>'Part IV-Uses of Funds'!P31</f>
        <v>0</v>
      </c>
      <c r="Q429" s="2820"/>
      <c r="R429" s="2713"/>
      <c r="S429" s="2820">
        <f>'Part IV-Uses of Funds'!S31</f>
        <v>0</v>
      </c>
      <c r="T429" s="2820"/>
      <c r="U429" s="2713"/>
      <c r="V429" s="2847">
        <f>'Part IV-Uses of Funds'!V31</f>
        <v>0</v>
      </c>
      <c r="W429" s="2848"/>
      <c r="X429" s="2848"/>
    </row>
    <row r="430" spans="1:24">
      <c r="A430" s="2719"/>
      <c r="B430" s="2713" t="s">
        <v>3084</v>
      </c>
      <c r="C430" s="2719"/>
      <c r="D430" s="2719"/>
      <c r="E430" s="2719"/>
      <c r="F430" s="2719"/>
      <c r="G430" s="2820">
        <f>'Part IV-Uses of Funds'!G32</f>
        <v>200000</v>
      </c>
      <c r="H430" s="2820"/>
      <c r="I430" s="2713"/>
      <c r="J430" s="2820">
        <f>'Part IV-Uses of Funds'!J32</f>
        <v>0</v>
      </c>
      <c r="K430" s="2820"/>
      <c r="L430" s="2741"/>
      <c r="M430" s="2820">
        <f>'Part IV-Uses of Funds'!M32</f>
        <v>0</v>
      </c>
      <c r="N430" s="2820"/>
      <c r="O430" s="2713"/>
      <c r="P430" s="2820">
        <f>'Part IV-Uses of Funds'!P32</f>
        <v>200000</v>
      </c>
      <c r="Q430" s="2820"/>
      <c r="R430" s="2713"/>
      <c r="S430" s="2820">
        <f>'Part IV-Uses of Funds'!S32</f>
        <v>0</v>
      </c>
      <c r="T430" s="2820"/>
      <c r="U430" s="2719"/>
      <c r="V430" s="2847">
        <f>'Part IV-Uses of Funds'!V32</f>
        <v>0</v>
      </c>
      <c r="W430" s="2848"/>
      <c r="X430" s="2848"/>
    </row>
    <row r="431" spans="1:24">
      <c r="A431" s="2713"/>
      <c r="B431" s="2713"/>
      <c r="C431" s="2853"/>
      <c r="D431" s="2853"/>
      <c r="E431" s="2854"/>
      <c r="F431" s="2850" t="s">
        <v>197</v>
      </c>
      <c r="G431" s="2820">
        <f>SUM(G427:H430)</f>
        <v>2300000</v>
      </c>
      <c r="H431" s="2820"/>
      <c r="I431" s="2713"/>
      <c r="J431" s="2820">
        <f>SUM(J427:K430)</f>
        <v>0</v>
      </c>
      <c r="K431" s="2820"/>
      <c r="L431" s="2741"/>
      <c r="M431" s="2820">
        <f>SUM(M427:N430)</f>
        <v>0</v>
      </c>
      <c r="N431" s="2820"/>
      <c r="O431" s="2713"/>
      <c r="P431" s="2820">
        <f>SUM(P427:Q430)</f>
        <v>2300000</v>
      </c>
      <c r="Q431" s="2820"/>
      <c r="R431" s="2713"/>
      <c r="S431" s="2820">
        <f>SUM(S427:T430)</f>
        <v>0</v>
      </c>
      <c r="T431" s="2820"/>
      <c r="U431" s="2713"/>
      <c r="V431" s="2847">
        <f>SUM(V427:V430)</f>
        <v>0</v>
      </c>
      <c r="W431" s="2848"/>
      <c r="X431" s="2848"/>
    </row>
    <row r="432" spans="1:24">
      <c r="A432" s="2713"/>
      <c r="B432" s="2716" t="s">
        <v>2452</v>
      </c>
      <c r="C432" s="2713"/>
      <c r="D432" s="2713"/>
      <c r="E432" s="2855">
        <f>SUM(E433:E435)</f>
        <v>0.14000000000000001</v>
      </c>
      <c r="F432" s="2713"/>
      <c r="G432" s="2716"/>
      <c r="H432" s="2719"/>
      <c r="I432" s="2719"/>
      <c r="J432" s="2741"/>
      <c r="K432" s="2740"/>
      <c r="L432" s="2713"/>
      <c r="M432" s="2741"/>
      <c r="N432" s="2740"/>
      <c r="O432" s="2851" t="str">
        <f>B432</f>
        <v>CONTRACTOR SERVICES</v>
      </c>
      <c r="P432" s="2741"/>
      <c r="Q432" s="2740"/>
      <c r="R432" s="2713"/>
      <c r="S432" s="2741"/>
      <c r="T432" s="2740"/>
      <c r="U432" s="2713"/>
      <c r="V432" s="2713"/>
      <c r="W432" s="2721" t="str">
        <f>B432</f>
        <v>CONTRACTOR SERVICES</v>
      </c>
      <c r="X432" s="2721"/>
    </row>
    <row r="433" spans="1:24">
      <c r="A433" s="2713"/>
      <c r="B433" s="2713" t="s">
        <v>2453</v>
      </c>
      <c r="C433" s="2713"/>
      <c r="D433" s="2713"/>
      <c r="E433" s="2856">
        <f>'DCA Underwriting Assumptions'!$R$71</f>
        <v>0.06</v>
      </c>
      <c r="F433" s="2857">
        <f>'Part IV-Uses of Funds'!F35</f>
        <v>150000</v>
      </c>
      <c r="G433" s="2820">
        <f>'Part IV-Uses of Funds'!G35</f>
        <v>150000</v>
      </c>
      <c r="H433" s="2820"/>
      <c r="I433" s="2719"/>
      <c r="J433" s="2820">
        <f>'Part IV-Uses of Funds'!J35</f>
        <v>0</v>
      </c>
      <c r="K433" s="2820"/>
      <c r="L433" s="2741"/>
      <c r="M433" s="2820">
        <f>'Part IV-Uses of Funds'!M35</f>
        <v>0</v>
      </c>
      <c r="N433" s="2820"/>
      <c r="O433" s="2713"/>
      <c r="P433" s="2820">
        <f>'Part IV-Uses of Funds'!P35</f>
        <v>150000</v>
      </c>
      <c r="Q433" s="2820"/>
      <c r="R433" s="2713"/>
      <c r="S433" s="2820">
        <f>'Part IV-Uses of Funds'!S35</f>
        <v>0</v>
      </c>
      <c r="T433" s="2820"/>
      <c r="U433" s="2713"/>
      <c r="V433" s="2847">
        <f>'Part IV-Uses of Funds'!V35</f>
        <v>0</v>
      </c>
      <c r="W433" s="2848">
        <f>'Part IV-Uses of Funds'!W35</f>
        <v>0</v>
      </c>
      <c r="X433" s="2848"/>
    </row>
    <row r="434" spans="1:24">
      <c r="A434" s="2713"/>
      <c r="B434" s="2713" t="s">
        <v>2922</v>
      </c>
      <c r="C434" s="2713"/>
      <c r="D434" s="2713"/>
      <c r="E434" s="2856">
        <f>'DCA Underwriting Assumptions'!$R$72</f>
        <v>0.02</v>
      </c>
      <c r="F434" s="2857">
        <f>'Part IV-Uses of Funds'!F36</f>
        <v>50000</v>
      </c>
      <c r="G434" s="2820">
        <f>'Part IV-Uses of Funds'!G36</f>
        <v>50000</v>
      </c>
      <c r="H434" s="2820"/>
      <c r="I434" s="2719"/>
      <c r="J434" s="2820">
        <f>'Part IV-Uses of Funds'!J36</f>
        <v>0</v>
      </c>
      <c r="K434" s="2820"/>
      <c r="L434" s="2741"/>
      <c r="M434" s="2820">
        <f>'Part IV-Uses of Funds'!M36</f>
        <v>0</v>
      </c>
      <c r="N434" s="2820"/>
      <c r="O434" s="2713"/>
      <c r="P434" s="2820">
        <f>'Part IV-Uses of Funds'!P36</f>
        <v>50000</v>
      </c>
      <c r="Q434" s="2820"/>
      <c r="R434" s="2713"/>
      <c r="S434" s="2820">
        <f>'Part IV-Uses of Funds'!S36</f>
        <v>0</v>
      </c>
      <c r="T434" s="2820"/>
      <c r="U434" s="2713"/>
      <c r="V434" s="2847">
        <f>'Part IV-Uses of Funds'!V36</f>
        <v>0</v>
      </c>
      <c r="W434" s="2848"/>
      <c r="X434" s="2848"/>
    </row>
    <row r="435" spans="1:24">
      <c r="A435" s="2713"/>
      <c r="B435" s="2713" t="s">
        <v>2923</v>
      </c>
      <c r="C435" s="2713"/>
      <c r="D435" s="2713"/>
      <c r="E435" s="2856">
        <f>'DCA Underwriting Assumptions'!$R$73</f>
        <v>0.06</v>
      </c>
      <c r="F435" s="2857">
        <f>'Part IV-Uses of Funds'!F37</f>
        <v>150000</v>
      </c>
      <c r="G435" s="2820">
        <f>'Part IV-Uses of Funds'!G37</f>
        <v>150000</v>
      </c>
      <c r="H435" s="2820"/>
      <c r="I435" s="2719"/>
      <c r="J435" s="2820">
        <f>'Part IV-Uses of Funds'!J37</f>
        <v>0</v>
      </c>
      <c r="K435" s="2820"/>
      <c r="L435" s="2741"/>
      <c r="M435" s="2820">
        <f>'Part IV-Uses of Funds'!M37</f>
        <v>0</v>
      </c>
      <c r="N435" s="2820"/>
      <c r="O435" s="2713"/>
      <c r="P435" s="2820">
        <f>'Part IV-Uses of Funds'!P37</f>
        <v>150000</v>
      </c>
      <c r="Q435" s="2820"/>
      <c r="R435" s="2713"/>
      <c r="S435" s="2820">
        <f>'Part IV-Uses of Funds'!S37</f>
        <v>0</v>
      </c>
      <c r="T435" s="2820"/>
      <c r="U435" s="2713"/>
      <c r="V435" s="2847">
        <f>'Part IV-Uses of Funds'!V37</f>
        <v>0</v>
      </c>
      <c r="W435" s="2848"/>
      <c r="X435" s="2848"/>
    </row>
    <row r="436" spans="1:24">
      <c r="A436" s="2713"/>
      <c r="B436" s="2713" t="s">
        <v>2139</v>
      </c>
      <c r="C436" s="2713"/>
      <c r="D436" s="2858"/>
      <c r="E436" s="2713"/>
      <c r="F436" s="2850" t="s">
        <v>197</v>
      </c>
      <c r="G436" s="2820">
        <f>SUM(G433:H435)</f>
        <v>350000</v>
      </c>
      <c r="H436" s="2820"/>
      <c r="I436" s="2713"/>
      <c r="J436" s="2820">
        <f>SUM(J433:K435)</f>
        <v>0</v>
      </c>
      <c r="K436" s="2820"/>
      <c r="L436" s="2741"/>
      <c r="M436" s="2820">
        <f>SUM(M433:N435)</f>
        <v>0</v>
      </c>
      <c r="N436" s="2820"/>
      <c r="O436" s="2713"/>
      <c r="P436" s="2820">
        <f>SUM(P433:Q435)</f>
        <v>350000</v>
      </c>
      <c r="Q436" s="2820"/>
      <c r="R436" s="2713"/>
      <c r="S436" s="2820">
        <f>SUM(S433:T435)</f>
        <v>0</v>
      </c>
      <c r="T436" s="2820"/>
      <c r="U436" s="2713"/>
      <c r="V436" s="2847">
        <f>SUM(V433:V435)</f>
        <v>0</v>
      </c>
      <c r="W436" s="2848"/>
      <c r="X436" s="2848"/>
    </row>
    <row r="437" spans="1:24">
      <c r="A437" s="2712"/>
      <c r="B437" s="2712"/>
      <c r="C437" s="2712"/>
      <c r="D437" s="2712"/>
      <c r="E437" s="2712"/>
      <c r="F437" s="2712"/>
      <c r="G437" s="2712"/>
      <c r="H437" s="2712"/>
      <c r="I437" s="2712"/>
      <c r="J437" s="2712"/>
      <c r="K437" s="2712"/>
      <c r="L437" s="2712"/>
      <c r="M437" s="2712"/>
      <c r="N437" s="2712"/>
      <c r="O437" s="2712"/>
      <c r="P437" s="2712"/>
      <c r="Q437" s="2712"/>
      <c r="R437" s="2712"/>
      <c r="S437" s="2712"/>
      <c r="T437" s="2712"/>
      <c r="U437" s="2713"/>
      <c r="V437" s="2713"/>
      <c r="W437" s="2721"/>
      <c r="X437" s="2721"/>
    </row>
    <row r="438" spans="1:24">
      <c r="A438" s="2713"/>
      <c r="B438" s="2716" t="s">
        <v>4586</v>
      </c>
      <c r="C438" s="2713"/>
      <c r="D438" s="2713"/>
      <c r="E438" s="2713"/>
      <c r="F438" s="2713"/>
      <c r="G438" s="2713"/>
      <c r="H438" s="2713"/>
      <c r="I438" s="2713"/>
      <c r="J438" s="2741"/>
      <c r="K438" s="2740"/>
      <c r="L438" s="2713"/>
      <c r="M438" s="2741"/>
      <c r="N438" s="2740"/>
      <c r="O438" s="2851" t="str">
        <f>B438</f>
        <v>OTHER CONSTRUCTION HARD COSTS (Non-GC work scope items done by Owner)</v>
      </c>
      <c r="P438" s="2741"/>
      <c r="Q438" s="2740"/>
      <c r="R438" s="2713"/>
      <c r="S438" s="2741"/>
      <c r="T438" s="2740"/>
      <c r="U438" s="2713"/>
      <c r="V438" s="2713"/>
      <c r="W438" s="2721" t="str">
        <f>B438</f>
        <v>OTHER CONSTRUCTION HARD COSTS (Non-GC work scope items done by Owner)</v>
      </c>
      <c r="X438" s="2721"/>
    </row>
    <row r="439" spans="1:24">
      <c r="A439" s="2719"/>
      <c r="B439" s="2713" t="s">
        <v>780</v>
      </c>
      <c r="C439" s="2728" t="str">
        <f>'Part IV-Uses of Funds'!C41</f>
        <v>&lt;Enter detailed description here; use Comments section if needed&gt;</v>
      </c>
      <c r="D439" s="2728"/>
      <c r="E439" s="2728"/>
      <c r="F439" s="2728"/>
      <c r="G439" s="2820">
        <f>'Part IV-Uses of Funds'!G41</f>
        <v>0</v>
      </c>
      <c r="H439" s="2820"/>
      <c r="I439" s="2713"/>
      <c r="J439" s="2820">
        <f>'Part IV-Uses of Funds'!J41</f>
        <v>0</v>
      </c>
      <c r="K439" s="2820"/>
      <c r="L439" s="2741"/>
      <c r="M439" s="2820">
        <f>'Part IV-Uses of Funds'!M41</f>
        <v>0</v>
      </c>
      <c r="N439" s="2820"/>
      <c r="O439" s="2713"/>
      <c r="P439" s="2820">
        <f>'Part IV-Uses of Funds'!P41</f>
        <v>0</v>
      </c>
      <c r="Q439" s="2820"/>
      <c r="R439" s="2713"/>
      <c r="S439" s="2820">
        <f>'Part IV-Uses of Funds'!S41</f>
        <v>0</v>
      </c>
      <c r="T439" s="2820"/>
      <c r="U439" s="2719"/>
      <c r="V439" s="2847">
        <f>'Part IV-Uses of Funds'!V41</f>
        <v>0</v>
      </c>
      <c r="W439" s="2848">
        <f>'Part IV-Uses of Funds'!W41</f>
        <v>0</v>
      </c>
      <c r="X439" s="2848"/>
    </row>
    <row r="440" spans="1:24">
      <c r="A440" s="2712"/>
      <c r="B440" s="2712"/>
      <c r="C440" s="2712"/>
      <c r="D440" s="2712"/>
      <c r="E440" s="2712"/>
      <c r="F440" s="2712"/>
      <c r="G440" s="2712"/>
      <c r="H440" s="2712"/>
      <c r="I440" s="2712"/>
      <c r="J440" s="2712"/>
      <c r="K440" s="2712"/>
      <c r="L440" s="2712"/>
      <c r="M440" s="2712"/>
      <c r="N440" s="2712"/>
      <c r="O440" s="2712"/>
      <c r="P440" s="2712"/>
      <c r="Q440" s="2712"/>
      <c r="R440" s="2712"/>
      <c r="S440" s="2712"/>
      <c r="T440" s="2712"/>
      <c r="U440" s="2713"/>
      <c r="V440" s="2713"/>
      <c r="W440" s="2848"/>
      <c r="X440" s="2848"/>
    </row>
    <row r="441" spans="1:24">
      <c r="A441" s="2713"/>
      <c r="B441" s="2859" t="s">
        <v>4587</v>
      </c>
      <c r="C441" s="2860"/>
      <c r="D441" s="2713"/>
      <c r="E441" s="2844" t="s">
        <v>2931</v>
      </c>
      <c r="F441" s="2861">
        <f>B442/'Part VI-Revenues &amp; Expenses'!$M$60</f>
        <v>67857.142857142855</v>
      </c>
      <c r="G441" s="2862" t="s">
        <v>4588</v>
      </c>
      <c r="H441" s="2713"/>
      <c r="I441" s="2713"/>
      <c r="J441" s="2863">
        <f>B442/'Part VI-Revenues &amp; Expenses'!$M$62</f>
        <v>67857.142857142855</v>
      </c>
      <c r="K441" s="2863"/>
      <c r="L441" s="2713"/>
      <c r="M441" s="2864" t="s">
        <v>1470</v>
      </c>
      <c r="N441" s="2864"/>
      <c r="O441" s="2713"/>
      <c r="P441" s="2863">
        <f>B442/'Part I-Project Information'!$P$60</f>
        <v>75.554730786564519</v>
      </c>
      <c r="Q441" s="2863"/>
      <c r="R441" s="2713"/>
      <c r="S441" s="2865" t="s">
        <v>3083</v>
      </c>
      <c r="T441" s="2865"/>
      <c r="U441" s="2713"/>
      <c r="V441" s="2713"/>
      <c r="W441" s="2848"/>
      <c r="X441" s="2848"/>
    </row>
    <row r="442" spans="1:24">
      <c r="A442" s="2713"/>
      <c r="B442" s="2866">
        <f>G425+G431+G436+G439</f>
        <v>2850000</v>
      </c>
      <c r="C442" s="2866"/>
      <c r="D442" s="2713"/>
      <c r="E442" s="2844"/>
      <c r="F442" s="2861">
        <f>B442/'Part VI-Revenues &amp; Expenses'!$M$118</f>
        <v>78.359132275714174</v>
      </c>
      <c r="G442" s="2751" t="s">
        <v>4589</v>
      </c>
      <c r="H442" s="2713"/>
      <c r="I442" s="2713"/>
      <c r="J442" s="2863">
        <f>B442/'Part VI-Revenues &amp; Expenses'!$M$120</f>
        <v>78.359132275714174</v>
      </c>
      <c r="K442" s="2863"/>
      <c r="L442" s="2713"/>
      <c r="M442" s="2865" t="s">
        <v>3082</v>
      </c>
      <c r="N442" s="2865"/>
      <c r="O442" s="2713"/>
      <c r="P442" s="2713"/>
      <c r="Q442" s="2713"/>
      <c r="R442" s="2713"/>
      <c r="S442" s="2713"/>
      <c r="T442" s="2713"/>
      <c r="U442" s="2713"/>
      <c r="V442" s="2713"/>
      <c r="W442" s="2848"/>
      <c r="X442" s="2848"/>
    </row>
    <row r="443" spans="1:24">
      <c r="A443" s="2712"/>
      <c r="B443" s="2712"/>
      <c r="C443" s="2712"/>
      <c r="D443" s="2712"/>
      <c r="E443" s="2712"/>
      <c r="F443" s="2712"/>
      <c r="G443" s="2712"/>
      <c r="H443" s="2712"/>
      <c r="I443" s="2712"/>
      <c r="J443" s="2712"/>
      <c r="K443" s="2712"/>
      <c r="L443" s="2712"/>
      <c r="M443" s="2712"/>
      <c r="N443" s="2712"/>
      <c r="O443" s="2712"/>
      <c r="P443" s="2712"/>
      <c r="Q443" s="2712"/>
      <c r="R443" s="2712"/>
      <c r="S443" s="2712"/>
      <c r="T443" s="2712"/>
      <c r="U443" s="2713"/>
      <c r="V443" s="2713"/>
      <c r="W443" s="2721"/>
      <c r="X443" s="2721"/>
    </row>
    <row r="444" spans="1:24">
      <c r="A444" s="2713"/>
      <c r="B444" s="2716" t="s">
        <v>1176</v>
      </c>
      <c r="C444" s="2713"/>
      <c r="D444" s="2713"/>
      <c r="E444" s="2713"/>
      <c r="F444" s="2713"/>
      <c r="G444" s="2713"/>
      <c r="H444" s="2713"/>
      <c r="I444" s="2713"/>
      <c r="J444" s="2741"/>
      <c r="K444" s="2740"/>
      <c r="L444" s="2713"/>
      <c r="M444" s="2741"/>
      <c r="N444" s="2740"/>
      <c r="O444" s="2851" t="str">
        <f>B444</f>
        <v>CONSTRUCTION CONTINGENCY</v>
      </c>
      <c r="P444" s="2741"/>
      <c r="Q444" s="2740"/>
      <c r="R444" s="2713"/>
      <c r="S444" s="2741"/>
      <c r="T444" s="2740"/>
      <c r="U444" s="2713"/>
      <c r="V444" s="2713"/>
      <c r="W444" s="2721" t="str">
        <f>B444</f>
        <v>CONSTRUCTION CONTINGENCY</v>
      </c>
      <c r="X444" s="2721"/>
    </row>
    <row r="445" spans="1:24">
      <c r="A445" s="2719"/>
      <c r="B445" s="2713" t="s">
        <v>2058</v>
      </c>
      <c r="C445" s="2719"/>
      <c r="D445" s="2719"/>
      <c r="E445" s="2719"/>
      <c r="F445" s="2867">
        <f>G445/B442</f>
        <v>5.7894736842105263E-2</v>
      </c>
      <c r="G445" s="2820">
        <f>'Part IV-Uses of Funds'!G47</f>
        <v>165000</v>
      </c>
      <c r="H445" s="2820"/>
      <c r="I445" s="2713"/>
      <c r="J445" s="2820">
        <f>'Part IV-Uses of Funds'!J47</f>
        <v>0</v>
      </c>
      <c r="K445" s="2820"/>
      <c r="L445" s="2741"/>
      <c r="M445" s="2820">
        <f>'Part IV-Uses of Funds'!M47</f>
        <v>0</v>
      </c>
      <c r="N445" s="2820"/>
      <c r="O445" s="2713"/>
      <c r="P445" s="2820">
        <f>'Part IV-Uses of Funds'!P47</f>
        <v>165000</v>
      </c>
      <c r="Q445" s="2820"/>
      <c r="R445" s="2713"/>
      <c r="S445" s="2820">
        <f>'Part IV-Uses of Funds'!S47</f>
        <v>0</v>
      </c>
      <c r="T445" s="2820"/>
      <c r="U445" s="2719"/>
      <c r="V445" s="2847">
        <f>'Part IV-Uses of Funds'!V47</f>
        <v>0</v>
      </c>
      <c r="W445" s="2848">
        <f>'Part IV-Uses of Funds'!W47</f>
        <v>0</v>
      </c>
      <c r="X445" s="2848"/>
    </row>
    <row r="446" spans="1:24">
      <c r="A446" s="2712"/>
      <c r="B446" s="2712"/>
      <c r="C446" s="2712"/>
      <c r="D446" s="2712"/>
      <c r="E446" s="2712"/>
      <c r="F446" s="2712"/>
      <c r="G446" s="2712"/>
      <c r="H446" s="2712"/>
      <c r="I446" s="2712"/>
      <c r="J446" s="2712"/>
      <c r="K446" s="2712"/>
      <c r="L446" s="2712"/>
      <c r="M446" s="2712"/>
      <c r="N446" s="2712"/>
      <c r="O446" s="2712"/>
      <c r="P446" s="2712"/>
      <c r="Q446" s="2712"/>
      <c r="R446" s="2712"/>
      <c r="S446" s="2712"/>
      <c r="T446" s="2712"/>
      <c r="U446" s="2713"/>
      <c r="V446" s="2713"/>
      <c r="W446" s="2721"/>
      <c r="X446" s="2721"/>
    </row>
    <row r="447" spans="1:24">
      <c r="A447" s="2712"/>
      <c r="B447" s="2712"/>
      <c r="C447" s="2712"/>
      <c r="D447" s="2712"/>
      <c r="E447" s="2712"/>
      <c r="F447" s="2712"/>
      <c r="G447" s="2712"/>
      <c r="H447" s="2712"/>
      <c r="I447" s="2712"/>
      <c r="J447" s="2712"/>
      <c r="K447" s="2712"/>
      <c r="L447" s="2712"/>
      <c r="M447" s="2712"/>
      <c r="N447" s="2712"/>
      <c r="O447" s="2712"/>
      <c r="P447" s="2712"/>
      <c r="Q447" s="2712"/>
      <c r="R447" s="2712"/>
      <c r="S447" s="2712"/>
      <c r="T447" s="2712"/>
      <c r="U447" s="2713"/>
      <c r="V447" s="2713"/>
      <c r="W447" s="2721"/>
      <c r="X447" s="2721"/>
    </row>
    <row r="448" spans="1:24" ht="16.5">
      <c r="A448" s="2843" t="s">
        <v>646</v>
      </c>
      <c r="B448" s="2843" t="s">
        <v>4590</v>
      </c>
      <c r="C448" s="2713"/>
      <c r="D448" s="2713"/>
      <c r="E448" s="2713"/>
      <c r="F448" s="2713"/>
      <c r="G448" s="2713"/>
      <c r="H448" s="2713"/>
      <c r="I448" s="2713"/>
      <c r="J448" s="2844" t="s">
        <v>283</v>
      </c>
      <c r="K448" s="2844"/>
      <c r="L448" s="2740"/>
      <c r="M448" s="2845" t="s">
        <v>510</v>
      </c>
      <c r="N448" s="2845"/>
      <c r="O448" s="2713"/>
      <c r="P448" s="2844" t="s">
        <v>284</v>
      </c>
      <c r="Q448" s="2844"/>
      <c r="R448" s="2713"/>
      <c r="S448" s="2844" t="s">
        <v>285</v>
      </c>
      <c r="T448" s="2844"/>
      <c r="U448" s="2713"/>
      <c r="V448" s="2713"/>
      <c r="W448" s="2868" t="str">
        <f>B448</f>
        <v>DEVELOPMENT BUDGET (cont'd)</v>
      </c>
      <c r="X448" s="2721"/>
    </row>
    <row r="449" spans="1:24">
      <c r="A449" s="2713"/>
      <c r="B449" s="2713"/>
      <c r="C449" s="2713"/>
      <c r="D449" s="2713"/>
      <c r="E449" s="2713"/>
      <c r="F449" s="2713"/>
      <c r="G449" s="2711" t="s">
        <v>103</v>
      </c>
      <c r="H449" s="2711"/>
      <c r="I449" s="2713"/>
      <c r="J449" s="2844"/>
      <c r="K449" s="2844"/>
      <c r="L449" s="2740"/>
      <c r="M449" s="2845"/>
      <c r="N449" s="2845"/>
      <c r="O449" s="2713"/>
      <c r="P449" s="2844"/>
      <c r="Q449" s="2844"/>
      <c r="R449" s="2713"/>
      <c r="S449" s="2844"/>
      <c r="T449" s="2844"/>
      <c r="U449" s="2713"/>
      <c r="V449" s="2713"/>
      <c r="W449" s="2763" t="s">
        <v>2825</v>
      </c>
      <c r="X449" s="2763"/>
    </row>
    <row r="450" spans="1:24">
      <c r="A450" s="2713"/>
      <c r="B450" s="2716" t="s">
        <v>761</v>
      </c>
      <c r="C450" s="2713"/>
      <c r="D450" s="2713"/>
      <c r="E450" s="2713"/>
      <c r="F450" s="2713"/>
      <c r="G450" s="2713"/>
      <c r="H450" s="2713"/>
      <c r="I450" s="2713"/>
      <c r="J450" s="2741"/>
      <c r="K450" s="2740"/>
      <c r="L450" s="2713"/>
      <c r="M450" s="2741"/>
      <c r="N450" s="2740"/>
      <c r="O450" s="2851" t="str">
        <f>B450</f>
        <v>CONSTRUCTION PERIOD FINANCING</v>
      </c>
      <c r="P450" s="2741"/>
      <c r="Q450" s="2740"/>
      <c r="R450" s="2713"/>
      <c r="S450" s="2741"/>
      <c r="T450" s="2740"/>
      <c r="U450" s="2713"/>
      <c r="V450" s="2713"/>
      <c r="W450" s="2721" t="str">
        <f>B450</f>
        <v>CONSTRUCTION PERIOD FINANCING</v>
      </c>
      <c r="X450" s="2721"/>
    </row>
    <row r="451" spans="1:24">
      <c r="A451" s="2713"/>
      <c r="B451" s="2713" t="s">
        <v>292</v>
      </c>
      <c r="C451" s="2713"/>
      <c r="D451" s="2713"/>
      <c r="E451" s="2713"/>
      <c r="F451" s="2713"/>
      <c r="G451" s="2820">
        <f>'Part IV-Uses of Funds'!G53</f>
        <v>0</v>
      </c>
      <c r="H451" s="2820"/>
      <c r="I451" s="2713"/>
      <c r="J451" s="2820">
        <f>'Part IV-Uses of Funds'!J53</f>
        <v>0</v>
      </c>
      <c r="K451" s="2820"/>
      <c r="L451" s="2741"/>
      <c r="M451" s="2820">
        <f>'Part IV-Uses of Funds'!M53</f>
        <v>0</v>
      </c>
      <c r="N451" s="2820"/>
      <c r="O451" s="2713"/>
      <c r="P451" s="2820">
        <f>'Part IV-Uses of Funds'!P53</f>
        <v>0</v>
      </c>
      <c r="Q451" s="2820"/>
      <c r="R451" s="2713"/>
      <c r="S451" s="2820">
        <f>'Part IV-Uses of Funds'!S53</f>
        <v>0</v>
      </c>
      <c r="T451" s="2820"/>
      <c r="U451" s="2713"/>
      <c r="V451" s="2713"/>
      <c r="W451" s="2721"/>
      <c r="X451" s="2721"/>
    </row>
    <row r="452" spans="1:24">
      <c r="A452" s="2713"/>
      <c r="B452" s="2713" t="s">
        <v>2455</v>
      </c>
      <c r="C452" s="2713"/>
      <c r="D452" s="2713"/>
      <c r="E452" s="2713"/>
      <c r="F452" s="2713"/>
      <c r="G452" s="2820">
        <f>'Part IV-Uses of Funds'!G54</f>
        <v>0</v>
      </c>
      <c r="H452" s="2820"/>
      <c r="I452" s="2713"/>
      <c r="J452" s="2820">
        <f>'Part IV-Uses of Funds'!J54</f>
        <v>0</v>
      </c>
      <c r="K452" s="2820"/>
      <c r="L452" s="2741"/>
      <c r="M452" s="2820">
        <f>'Part IV-Uses of Funds'!M54</f>
        <v>0</v>
      </c>
      <c r="N452" s="2820"/>
      <c r="O452" s="2713"/>
      <c r="P452" s="2820">
        <f>'Part IV-Uses of Funds'!P54</f>
        <v>0</v>
      </c>
      <c r="Q452" s="2820"/>
      <c r="R452" s="2713"/>
      <c r="S452" s="2820">
        <f>'Part IV-Uses of Funds'!S54</f>
        <v>0</v>
      </c>
      <c r="T452" s="2820"/>
      <c r="U452" s="2713"/>
      <c r="V452" s="2847">
        <f>'Part IV-Uses of Funds'!V54</f>
        <v>0</v>
      </c>
      <c r="W452" s="2848">
        <f>'Part IV-Uses of Funds'!W54</f>
        <v>0</v>
      </c>
      <c r="X452" s="2848"/>
    </row>
    <row r="453" spans="1:24">
      <c r="A453" s="2713"/>
      <c r="B453" s="2713" t="s">
        <v>2456</v>
      </c>
      <c r="C453" s="2713"/>
      <c r="D453" s="2713"/>
      <c r="E453" s="2713"/>
      <c r="F453" s="2713"/>
      <c r="G453" s="2820">
        <f>'Part IV-Uses of Funds'!G55</f>
        <v>0</v>
      </c>
      <c r="H453" s="2820"/>
      <c r="I453" s="2713"/>
      <c r="J453" s="2820">
        <f>'Part IV-Uses of Funds'!J55</f>
        <v>0</v>
      </c>
      <c r="K453" s="2820"/>
      <c r="L453" s="2741"/>
      <c r="M453" s="2820">
        <f>'Part IV-Uses of Funds'!M55</f>
        <v>0</v>
      </c>
      <c r="N453" s="2820"/>
      <c r="O453" s="2713"/>
      <c r="P453" s="2820">
        <f>'Part IV-Uses of Funds'!P55</f>
        <v>0</v>
      </c>
      <c r="Q453" s="2820"/>
      <c r="R453" s="2713"/>
      <c r="S453" s="2820">
        <f>'Part IV-Uses of Funds'!S55</f>
        <v>0</v>
      </c>
      <c r="T453" s="2820"/>
      <c r="U453" s="2713"/>
      <c r="V453" s="2847">
        <f>'Part IV-Uses of Funds'!V55</f>
        <v>0</v>
      </c>
      <c r="W453" s="2848"/>
      <c r="X453" s="2848"/>
    </row>
    <row r="454" spans="1:24">
      <c r="A454" s="2713"/>
      <c r="B454" s="2713" t="s">
        <v>2457</v>
      </c>
      <c r="C454" s="2713"/>
      <c r="D454" s="2713"/>
      <c r="E454" s="2713"/>
      <c r="F454" s="2713"/>
      <c r="G454" s="2820">
        <f>'Part IV-Uses of Funds'!G56</f>
        <v>0</v>
      </c>
      <c r="H454" s="2820"/>
      <c r="I454" s="2713"/>
      <c r="J454" s="2820">
        <f>'Part IV-Uses of Funds'!J56</f>
        <v>0</v>
      </c>
      <c r="K454" s="2820"/>
      <c r="L454" s="2741"/>
      <c r="M454" s="2820">
        <f>'Part IV-Uses of Funds'!M56</f>
        <v>0</v>
      </c>
      <c r="N454" s="2820"/>
      <c r="O454" s="2713"/>
      <c r="P454" s="2820">
        <f>'Part IV-Uses of Funds'!P56</f>
        <v>0</v>
      </c>
      <c r="Q454" s="2820"/>
      <c r="R454" s="2713"/>
      <c r="S454" s="2820">
        <f>'Part IV-Uses of Funds'!S56</f>
        <v>0</v>
      </c>
      <c r="T454" s="2820"/>
      <c r="U454" s="2713"/>
      <c r="V454" s="2847">
        <f>'Part IV-Uses of Funds'!V56</f>
        <v>0</v>
      </c>
      <c r="W454" s="2848"/>
      <c r="X454" s="2848"/>
    </row>
    <row r="455" spans="1:24">
      <c r="A455" s="2713"/>
      <c r="B455" s="2713" t="s">
        <v>2843</v>
      </c>
      <c r="C455" s="2713"/>
      <c r="D455" s="2713"/>
      <c r="E455" s="2713"/>
      <c r="F455" s="2713"/>
      <c r="G455" s="2820">
        <f>'Part IV-Uses of Funds'!G57</f>
        <v>18000</v>
      </c>
      <c r="H455" s="2820"/>
      <c r="I455" s="2713"/>
      <c r="J455" s="2820">
        <f>'Part IV-Uses of Funds'!J57</f>
        <v>0</v>
      </c>
      <c r="K455" s="2820"/>
      <c r="L455" s="2741"/>
      <c r="M455" s="2820">
        <f>'Part IV-Uses of Funds'!M57</f>
        <v>0</v>
      </c>
      <c r="N455" s="2820"/>
      <c r="O455" s="2713"/>
      <c r="P455" s="2820">
        <f>'Part IV-Uses of Funds'!P57</f>
        <v>18000</v>
      </c>
      <c r="Q455" s="2820"/>
      <c r="R455" s="2713"/>
      <c r="S455" s="2820">
        <f>'Part IV-Uses of Funds'!S57</f>
        <v>0</v>
      </c>
      <c r="T455" s="2820"/>
      <c r="U455" s="2713"/>
      <c r="V455" s="2847">
        <f>'Part IV-Uses of Funds'!V57</f>
        <v>0</v>
      </c>
      <c r="W455" s="2848"/>
      <c r="X455" s="2848"/>
    </row>
    <row r="456" spans="1:24">
      <c r="A456" s="2713"/>
      <c r="B456" s="2713" t="s">
        <v>762</v>
      </c>
      <c r="C456" s="2713"/>
      <c r="D456" s="2713"/>
      <c r="E456" s="2713"/>
      <c r="F456" s="2713"/>
      <c r="G456" s="2820">
        <f>'Part IV-Uses of Funds'!G58</f>
        <v>18000</v>
      </c>
      <c r="H456" s="2820"/>
      <c r="I456" s="2713"/>
      <c r="J456" s="2820">
        <f>'Part IV-Uses of Funds'!J58</f>
        <v>0</v>
      </c>
      <c r="K456" s="2820"/>
      <c r="L456" s="2741"/>
      <c r="M456" s="2820">
        <f>'Part IV-Uses of Funds'!M58</f>
        <v>0</v>
      </c>
      <c r="N456" s="2820"/>
      <c r="O456" s="2713"/>
      <c r="P456" s="2820">
        <f>'Part IV-Uses of Funds'!P58</f>
        <v>9000</v>
      </c>
      <c r="Q456" s="2820"/>
      <c r="R456" s="2713"/>
      <c r="S456" s="2820">
        <f>'Part IV-Uses of Funds'!S58</f>
        <v>9000</v>
      </c>
      <c r="T456" s="2820"/>
      <c r="U456" s="2713"/>
      <c r="V456" s="2847">
        <f>'Part IV-Uses of Funds'!V58</f>
        <v>0</v>
      </c>
      <c r="W456" s="2848"/>
      <c r="X456" s="2848"/>
    </row>
    <row r="457" spans="1:24">
      <c r="A457" s="2713"/>
      <c r="B457" s="2713" t="s">
        <v>2458</v>
      </c>
      <c r="C457" s="2713"/>
      <c r="D457" s="2713"/>
      <c r="E457" s="2713"/>
      <c r="F457" s="2713"/>
      <c r="G457" s="2820">
        <f>'Part IV-Uses of Funds'!G59</f>
        <v>20000</v>
      </c>
      <c r="H457" s="2820"/>
      <c r="I457" s="2713"/>
      <c r="J457" s="2820">
        <f>'Part IV-Uses of Funds'!J59</f>
        <v>0</v>
      </c>
      <c r="K457" s="2820"/>
      <c r="L457" s="2741"/>
      <c r="M457" s="2820">
        <f>'Part IV-Uses of Funds'!M59</f>
        <v>0</v>
      </c>
      <c r="N457" s="2820"/>
      <c r="O457" s="2713"/>
      <c r="P457" s="2820">
        <f>'Part IV-Uses of Funds'!P59</f>
        <v>10000</v>
      </c>
      <c r="Q457" s="2820"/>
      <c r="R457" s="2713"/>
      <c r="S457" s="2820">
        <f>'Part IV-Uses of Funds'!S59</f>
        <v>10000</v>
      </c>
      <c r="T457" s="2820"/>
      <c r="U457" s="2713"/>
      <c r="V457" s="2847">
        <f>'Part IV-Uses of Funds'!V59</f>
        <v>0</v>
      </c>
      <c r="W457" s="2848"/>
      <c r="X457" s="2848"/>
    </row>
    <row r="458" spans="1:24">
      <c r="A458" s="2713"/>
      <c r="B458" s="2713" t="s">
        <v>1335</v>
      </c>
      <c r="C458" s="2713"/>
      <c r="D458" s="2713"/>
      <c r="E458" s="2713"/>
      <c r="F458" s="2713"/>
      <c r="G458" s="2820">
        <f>'Part IV-Uses of Funds'!G60</f>
        <v>25000</v>
      </c>
      <c r="H458" s="2820"/>
      <c r="I458" s="2713"/>
      <c r="J458" s="2820">
        <f>'Part IV-Uses of Funds'!J60</f>
        <v>0</v>
      </c>
      <c r="K458" s="2820"/>
      <c r="L458" s="2741"/>
      <c r="M458" s="2820">
        <f>'Part IV-Uses of Funds'!M60</f>
        <v>0</v>
      </c>
      <c r="N458" s="2820"/>
      <c r="O458" s="2713"/>
      <c r="P458" s="2820">
        <f>'Part IV-Uses of Funds'!P60</f>
        <v>25000</v>
      </c>
      <c r="Q458" s="2820"/>
      <c r="R458" s="2713"/>
      <c r="S458" s="2820">
        <f>'Part IV-Uses of Funds'!S60</f>
        <v>0</v>
      </c>
      <c r="T458" s="2820"/>
      <c r="U458" s="2713"/>
      <c r="V458" s="2847">
        <f>'Part IV-Uses of Funds'!V60</f>
        <v>0</v>
      </c>
      <c r="W458" s="2848"/>
      <c r="X458" s="2848"/>
    </row>
    <row r="459" spans="1:24">
      <c r="A459" s="2713"/>
      <c r="B459" s="2858" t="s">
        <v>1207</v>
      </c>
      <c r="C459" s="2713"/>
      <c r="D459" s="2856"/>
      <c r="E459" s="2856"/>
      <c r="F459" s="2857"/>
      <c r="G459" s="2820">
        <f>'Part IV-Uses of Funds'!G61</f>
        <v>0</v>
      </c>
      <c r="H459" s="2820"/>
      <c r="I459" s="2719"/>
      <c r="J459" s="2820">
        <f>'Part IV-Uses of Funds'!J61</f>
        <v>0</v>
      </c>
      <c r="K459" s="2820"/>
      <c r="L459" s="2741"/>
      <c r="M459" s="2820">
        <f>'Part IV-Uses of Funds'!M61</f>
        <v>0</v>
      </c>
      <c r="N459" s="2820"/>
      <c r="O459" s="2713"/>
      <c r="P459" s="2820">
        <f>'Part IV-Uses of Funds'!P61</f>
        <v>0</v>
      </c>
      <c r="Q459" s="2820"/>
      <c r="R459" s="2713"/>
      <c r="S459" s="2820">
        <f>'Part IV-Uses of Funds'!S61</f>
        <v>0</v>
      </c>
      <c r="T459" s="2820"/>
      <c r="U459" s="2713"/>
      <c r="V459" s="2847">
        <f>'Part IV-Uses of Funds'!V61</f>
        <v>0</v>
      </c>
      <c r="W459" s="2848"/>
      <c r="X459" s="2848"/>
    </row>
    <row r="460" spans="1:24" ht="15.75">
      <c r="A460" s="2849" t="str">
        <f>IF(AND(G460&gt;0,OR(C460="",C460="&lt;Enter detailed description here; use Comments section if needed&gt;")),"X","")</f>
        <v/>
      </c>
      <c r="B460" s="2713" t="s">
        <v>780</v>
      </c>
      <c r="C460" s="2728" t="str">
        <f>'Part IV-Uses of Funds'!C62</f>
        <v>&lt;Enter detailed description here; use Comments section if needed&gt;</v>
      </c>
      <c r="D460" s="2728"/>
      <c r="E460" s="2728"/>
      <c r="F460" s="2728"/>
      <c r="G460" s="2820">
        <f>'Part IV-Uses of Funds'!G62</f>
        <v>0</v>
      </c>
      <c r="H460" s="2820"/>
      <c r="I460" s="2713"/>
      <c r="J460" s="2820">
        <f>'Part IV-Uses of Funds'!J62</f>
        <v>0</v>
      </c>
      <c r="K460" s="2820"/>
      <c r="L460" s="2741"/>
      <c r="M460" s="2820">
        <f>'Part IV-Uses of Funds'!M62</f>
        <v>0</v>
      </c>
      <c r="N460" s="2820"/>
      <c r="O460" s="2713"/>
      <c r="P460" s="2820">
        <f>'Part IV-Uses of Funds'!P62</f>
        <v>0</v>
      </c>
      <c r="Q460" s="2820"/>
      <c r="R460" s="2713"/>
      <c r="S460" s="2820">
        <f>'Part IV-Uses of Funds'!S62</f>
        <v>0</v>
      </c>
      <c r="T460" s="2820"/>
      <c r="U460" s="2714" t="str">
        <f>IF(AND(G460&gt;0,OR(C460="",C460="&lt;Enter detailed description here; use Comments section if needed&gt;")),"NO DESCRIPTION PROVIDED - please enter detailed description in Other box at left; use Comments section below if needed.","")</f>
        <v/>
      </c>
      <c r="V460" s="2847">
        <f>'Part IV-Uses of Funds'!V62</f>
        <v>0</v>
      </c>
      <c r="W460" s="2848"/>
      <c r="X460" s="2848"/>
    </row>
    <row r="461" spans="1:24" ht="15.75">
      <c r="A461" s="2849" t="str">
        <f>IF(AND(G461&gt;0,OR(C461="",C461="&lt;Enter detailed description here; use Comments section if needed&gt;")),"X","")</f>
        <v/>
      </c>
      <c r="B461" s="2713" t="s">
        <v>780</v>
      </c>
      <c r="C461" s="2728" t="str">
        <f>'Part IV-Uses of Funds'!C63</f>
        <v>&lt;Enter detailed description here; use Comments section if needed&gt;</v>
      </c>
      <c r="D461" s="2728"/>
      <c r="E461" s="2728"/>
      <c r="F461" s="2728"/>
      <c r="G461" s="2820">
        <f>'Part IV-Uses of Funds'!G63</f>
        <v>0</v>
      </c>
      <c r="H461" s="2820"/>
      <c r="I461" s="2713"/>
      <c r="J461" s="2820">
        <f>'Part IV-Uses of Funds'!J63</f>
        <v>0</v>
      </c>
      <c r="K461" s="2820"/>
      <c r="L461" s="2741"/>
      <c r="M461" s="2820">
        <f>'Part IV-Uses of Funds'!M63</f>
        <v>0</v>
      </c>
      <c r="N461" s="2820"/>
      <c r="O461" s="2713"/>
      <c r="P461" s="2820">
        <f>'Part IV-Uses of Funds'!P63</f>
        <v>0</v>
      </c>
      <c r="Q461" s="2820"/>
      <c r="R461" s="2713"/>
      <c r="S461" s="2820">
        <f>'Part IV-Uses of Funds'!S63</f>
        <v>0</v>
      </c>
      <c r="T461" s="2820"/>
      <c r="U461" s="2714" t="str">
        <f>IF(AND(G461&gt;0,OR(C461="",C461="&lt;Enter detailed description here; use Comments section if needed&gt;")),"NO DESCRIPTION PROVIDED - please enter detailed description in Other box at left; use Comments section below if needed.","")</f>
        <v/>
      </c>
      <c r="V461" s="2847">
        <f>'Part IV-Uses of Funds'!V63</f>
        <v>0</v>
      </c>
      <c r="W461" s="2848"/>
      <c r="X461" s="2848"/>
    </row>
    <row r="462" spans="1:24">
      <c r="A462" s="2713"/>
      <c r="B462" s="2713"/>
      <c r="C462" s="2713"/>
      <c r="D462" s="2713"/>
      <c r="E462" s="2713"/>
      <c r="F462" s="2850" t="s">
        <v>197</v>
      </c>
      <c r="G462" s="2820">
        <f>SUM(G451:H461)</f>
        <v>81000</v>
      </c>
      <c r="H462" s="2820"/>
      <c r="I462" s="2713"/>
      <c r="J462" s="2820">
        <f>SUM(J451:K461)</f>
        <v>0</v>
      </c>
      <c r="K462" s="2820"/>
      <c r="L462" s="2741"/>
      <c r="M462" s="2820">
        <f>SUM(M451:N461)</f>
        <v>0</v>
      </c>
      <c r="N462" s="2820"/>
      <c r="O462" s="2713"/>
      <c r="P462" s="2820">
        <f>SUM(P451:Q461)</f>
        <v>62000</v>
      </c>
      <c r="Q462" s="2820"/>
      <c r="R462" s="2713"/>
      <c r="S462" s="2820">
        <f>SUM(S451:T461)</f>
        <v>19000</v>
      </c>
      <c r="T462" s="2820"/>
      <c r="U462" s="2713"/>
      <c r="V462" s="2847">
        <f>SUM(V452:V461)</f>
        <v>0</v>
      </c>
      <c r="W462" s="2848"/>
      <c r="X462" s="2848"/>
    </row>
    <row r="463" spans="1:24">
      <c r="A463" s="2713"/>
      <c r="B463" s="2716" t="s">
        <v>497</v>
      </c>
      <c r="C463" s="2713"/>
      <c r="D463" s="2713"/>
      <c r="E463" s="2713"/>
      <c r="F463" s="2713"/>
      <c r="G463" s="2740"/>
      <c r="H463" s="2740"/>
      <c r="I463" s="2713"/>
      <c r="J463" s="2740"/>
      <c r="K463" s="2740"/>
      <c r="L463" s="2713"/>
      <c r="M463" s="2740"/>
      <c r="N463" s="2740"/>
      <c r="O463" s="2851" t="str">
        <f>B463</f>
        <v>PROFESSIONAL SERVICES</v>
      </c>
      <c r="P463" s="2740"/>
      <c r="Q463" s="2740"/>
      <c r="R463" s="2713"/>
      <c r="S463" s="2740"/>
      <c r="T463" s="2740"/>
      <c r="U463" s="2713"/>
      <c r="V463" s="2713"/>
      <c r="W463" s="2721" t="str">
        <f>B463</f>
        <v>PROFESSIONAL SERVICES</v>
      </c>
      <c r="X463" s="2721"/>
    </row>
    <row r="464" spans="1:24">
      <c r="A464" s="2713"/>
      <c r="B464" s="2713" t="s">
        <v>498</v>
      </c>
      <c r="C464" s="2713"/>
      <c r="D464" s="2713"/>
      <c r="E464" s="2713"/>
      <c r="F464" s="2713"/>
      <c r="G464" s="2820">
        <f>'Part IV-Uses of Funds'!G66</f>
        <v>94191</v>
      </c>
      <c r="H464" s="2820"/>
      <c r="I464" s="2713"/>
      <c r="J464" s="2820">
        <f>'Part IV-Uses of Funds'!J66</f>
        <v>0</v>
      </c>
      <c r="K464" s="2820"/>
      <c r="L464" s="2741"/>
      <c r="M464" s="2820">
        <f>'Part IV-Uses of Funds'!M66</f>
        <v>0</v>
      </c>
      <c r="N464" s="2820"/>
      <c r="O464" s="2713"/>
      <c r="P464" s="2820">
        <f>'Part IV-Uses of Funds'!P66</f>
        <v>94191</v>
      </c>
      <c r="Q464" s="2820"/>
      <c r="R464" s="2713"/>
      <c r="S464" s="2820">
        <f>'Part IV-Uses of Funds'!S66</f>
        <v>0</v>
      </c>
      <c r="T464" s="2820"/>
      <c r="U464" s="2713"/>
      <c r="V464" s="2847">
        <f>'Part IV-Uses of Funds'!V66</f>
        <v>0</v>
      </c>
      <c r="W464" s="2848">
        <f>'Part IV-Uses of Funds'!W66</f>
        <v>0</v>
      </c>
      <c r="X464" s="2848"/>
    </row>
    <row r="465" spans="1:24">
      <c r="A465" s="2713"/>
      <c r="B465" s="2713" t="s">
        <v>499</v>
      </c>
      <c r="C465" s="2713"/>
      <c r="D465" s="2713"/>
      <c r="E465" s="2713"/>
      <c r="F465" s="2713"/>
      <c r="G465" s="2820">
        <f>'Part IV-Uses of Funds'!G67</f>
        <v>23603</v>
      </c>
      <c r="H465" s="2820"/>
      <c r="I465" s="2713"/>
      <c r="J465" s="2820">
        <f>'Part IV-Uses of Funds'!J67</f>
        <v>0</v>
      </c>
      <c r="K465" s="2820"/>
      <c r="L465" s="2741"/>
      <c r="M465" s="2820">
        <f>'Part IV-Uses of Funds'!M67</f>
        <v>0</v>
      </c>
      <c r="N465" s="2820"/>
      <c r="O465" s="2713"/>
      <c r="P465" s="2820">
        <f>'Part IV-Uses of Funds'!P67</f>
        <v>23603</v>
      </c>
      <c r="Q465" s="2820"/>
      <c r="R465" s="2713"/>
      <c r="S465" s="2820">
        <f>'Part IV-Uses of Funds'!S67</f>
        <v>0</v>
      </c>
      <c r="T465" s="2820"/>
      <c r="U465" s="2713"/>
      <c r="V465" s="2847">
        <f>'Part IV-Uses of Funds'!V67</f>
        <v>0</v>
      </c>
      <c r="W465" s="2848"/>
      <c r="X465" s="2848"/>
    </row>
    <row r="466" spans="1:24">
      <c r="A466" s="2713"/>
      <c r="B466" s="2713" t="s">
        <v>1178</v>
      </c>
      <c r="C466" s="2713"/>
      <c r="D466" s="2713"/>
      <c r="E466" s="2713"/>
      <c r="F466" s="2713" t="s">
        <v>3028</v>
      </c>
      <c r="G466" s="2820">
        <f>'Part IV-Uses of Funds'!G68</f>
        <v>20000</v>
      </c>
      <c r="H466" s="2820"/>
      <c r="I466" s="2713"/>
      <c r="J466" s="2820">
        <f>'Part IV-Uses of Funds'!J68</f>
        <v>0</v>
      </c>
      <c r="K466" s="2820"/>
      <c r="L466" s="2741"/>
      <c r="M466" s="2820">
        <f>'Part IV-Uses of Funds'!M68</f>
        <v>0</v>
      </c>
      <c r="N466" s="2820"/>
      <c r="O466" s="2713"/>
      <c r="P466" s="2820">
        <f>'Part IV-Uses of Funds'!P68</f>
        <v>20000</v>
      </c>
      <c r="Q466" s="2820"/>
      <c r="R466" s="2713"/>
      <c r="S466" s="2820">
        <f>'Part IV-Uses of Funds'!S68</f>
        <v>0</v>
      </c>
      <c r="T466" s="2820"/>
      <c r="U466" s="2713"/>
      <c r="V466" s="2847">
        <f>'Part IV-Uses of Funds'!V68</f>
        <v>0</v>
      </c>
      <c r="W466" s="2848"/>
      <c r="X466" s="2848"/>
    </row>
    <row r="467" spans="1:24">
      <c r="A467" s="2713"/>
      <c r="B467" s="2713" t="s">
        <v>1179</v>
      </c>
      <c r="C467" s="2713"/>
      <c r="D467" s="2713"/>
      <c r="E467" s="2713"/>
      <c r="F467" s="2713"/>
      <c r="G467" s="2820">
        <f>'Part IV-Uses of Funds'!G69</f>
        <v>12000</v>
      </c>
      <c r="H467" s="2820"/>
      <c r="I467" s="2713"/>
      <c r="J467" s="2820">
        <f>'Part IV-Uses of Funds'!J69</f>
        <v>0</v>
      </c>
      <c r="K467" s="2820"/>
      <c r="L467" s="2741"/>
      <c r="M467" s="2820">
        <f>'Part IV-Uses of Funds'!M69</f>
        <v>0</v>
      </c>
      <c r="N467" s="2820"/>
      <c r="O467" s="2713"/>
      <c r="P467" s="2820">
        <f>'Part IV-Uses of Funds'!P69</f>
        <v>12000</v>
      </c>
      <c r="Q467" s="2820"/>
      <c r="R467" s="2713"/>
      <c r="S467" s="2820">
        <f>'Part IV-Uses of Funds'!S69</f>
        <v>0</v>
      </c>
      <c r="T467" s="2820"/>
      <c r="U467" s="2713"/>
      <c r="V467" s="2847">
        <f>'Part IV-Uses of Funds'!V69</f>
        <v>0</v>
      </c>
      <c r="W467" s="2848"/>
      <c r="X467" s="2848"/>
    </row>
    <row r="468" spans="1:24">
      <c r="A468" s="2713"/>
      <c r="B468" s="2713" t="s">
        <v>1180</v>
      </c>
      <c r="C468" s="2713"/>
      <c r="D468" s="2713"/>
      <c r="E468" s="2713"/>
      <c r="F468" s="2713"/>
      <c r="G468" s="2820">
        <f>'Part IV-Uses of Funds'!G70</f>
        <v>6000</v>
      </c>
      <c r="H468" s="2820"/>
      <c r="I468" s="2713"/>
      <c r="J468" s="2820">
        <f>'Part IV-Uses of Funds'!J70</f>
        <v>0</v>
      </c>
      <c r="K468" s="2820"/>
      <c r="L468" s="2741"/>
      <c r="M468" s="2820">
        <f>'Part IV-Uses of Funds'!M70</f>
        <v>0</v>
      </c>
      <c r="N468" s="2820"/>
      <c r="O468" s="2713"/>
      <c r="P468" s="2820">
        <f>'Part IV-Uses of Funds'!P70</f>
        <v>6000</v>
      </c>
      <c r="Q468" s="2820"/>
      <c r="R468" s="2713"/>
      <c r="S468" s="2820">
        <f>'Part IV-Uses of Funds'!S70</f>
        <v>0</v>
      </c>
      <c r="T468" s="2820"/>
      <c r="U468" s="2713"/>
      <c r="V468" s="2847">
        <f>'Part IV-Uses of Funds'!V70</f>
        <v>0</v>
      </c>
      <c r="W468" s="2848"/>
      <c r="X468" s="2848"/>
    </row>
    <row r="469" spans="1:24">
      <c r="A469" s="2713"/>
      <c r="B469" s="2713" t="s">
        <v>1181</v>
      </c>
      <c r="C469" s="2713"/>
      <c r="D469" s="2713"/>
      <c r="E469" s="2713"/>
      <c r="F469" s="2713"/>
      <c r="G469" s="2820">
        <f>'Part IV-Uses of Funds'!G71</f>
        <v>6000</v>
      </c>
      <c r="H469" s="2820"/>
      <c r="I469" s="2713"/>
      <c r="J469" s="2820">
        <f>'Part IV-Uses of Funds'!J71</f>
        <v>0</v>
      </c>
      <c r="K469" s="2820"/>
      <c r="L469" s="2741"/>
      <c r="M469" s="2820">
        <f>'Part IV-Uses of Funds'!M71</f>
        <v>0</v>
      </c>
      <c r="N469" s="2820"/>
      <c r="O469" s="2713"/>
      <c r="P469" s="2820">
        <f>'Part IV-Uses of Funds'!P71</f>
        <v>6000</v>
      </c>
      <c r="Q469" s="2820"/>
      <c r="R469" s="2713"/>
      <c r="S469" s="2820">
        <f>'Part IV-Uses of Funds'!S71</f>
        <v>0</v>
      </c>
      <c r="T469" s="2820"/>
      <c r="U469" s="2713"/>
      <c r="V469" s="2847">
        <f>'Part IV-Uses of Funds'!V71</f>
        <v>0</v>
      </c>
      <c r="W469" s="2848"/>
      <c r="X469" s="2848"/>
    </row>
    <row r="470" spans="1:24">
      <c r="A470" s="2713"/>
      <c r="B470" s="2713" t="s">
        <v>500</v>
      </c>
      <c r="C470" s="2713"/>
      <c r="D470" s="2713"/>
      <c r="E470" s="2713"/>
      <c r="F470" s="2713"/>
      <c r="G470" s="2820">
        <f>'Part IV-Uses of Funds'!G72</f>
        <v>25000</v>
      </c>
      <c r="H470" s="2820"/>
      <c r="I470" s="2713"/>
      <c r="J470" s="2820">
        <f>'Part IV-Uses of Funds'!J72</f>
        <v>0</v>
      </c>
      <c r="K470" s="2820"/>
      <c r="L470" s="2741"/>
      <c r="M470" s="2820">
        <f>'Part IV-Uses of Funds'!M72</f>
        <v>0</v>
      </c>
      <c r="N470" s="2820"/>
      <c r="O470" s="2713"/>
      <c r="P470" s="2820">
        <f>'Part IV-Uses of Funds'!P72</f>
        <v>25000</v>
      </c>
      <c r="Q470" s="2820"/>
      <c r="R470" s="2713"/>
      <c r="S470" s="2820">
        <f>'Part IV-Uses of Funds'!S72</f>
        <v>0</v>
      </c>
      <c r="T470" s="2820"/>
      <c r="U470" s="2713"/>
      <c r="V470" s="2847">
        <f>'Part IV-Uses of Funds'!V72</f>
        <v>0</v>
      </c>
      <c r="W470" s="2848"/>
      <c r="X470" s="2848"/>
    </row>
    <row r="471" spans="1:24">
      <c r="A471" s="2713"/>
      <c r="B471" s="2713" t="s">
        <v>501</v>
      </c>
      <c r="C471" s="2713"/>
      <c r="D471" s="2713"/>
      <c r="E471" s="2713"/>
      <c r="F471" s="2713"/>
      <c r="G471" s="2820">
        <f>'Part IV-Uses of Funds'!G73</f>
        <v>100000</v>
      </c>
      <c r="H471" s="2820"/>
      <c r="I471" s="2713"/>
      <c r="J471" s="2820">
        <f>'Part IV-Uses of Funds'!J73</f>
        <v>0</v>
      </c>
      <c r="K471" s="2820"/>
      <c r="L471" s="2741"/>
      <c r="M471" s="2820">
        <f>'Part IV-Uses of Funds'!M73</f>
        <v>0</v>
      </c>
      <c r="N471" s="2820"/>
      <c r="O471" s="2713"/>
      <c r="P471" s="2820">
        <f>'Part IV-Uses of Funds'!P73</f>
        <v>100000</v>
      </c>
      <c r="Q471" s="2820"/>
      <c r="R471" s="2713"/>
      <c r="S471" s="2820">
        <f>'Part IV-Uses of Funds'!S73</f>
        <v>0</v>
      </c>
      <c r="T471" s="2820"/>
      <c r="U471" s="2713"/>
      <c r="V471" s="2847">
        <f>'Part IV-Uses of Funds'!V73</f>
        <v>0</v>
      </c>
      <c r="W471" s="2848"/>
      <c r="X471" s="2848"/>
    </row>
    <row r="472" spans="1:24">
      <c r="A472" s="2713"/>
      <c r="B472" s="2713" t="s">
        <v>2149</v>
      </c>
      <c r="C472" s="2713"/>
      <c r="D472" s="2713"/>
      <c r="E472" s="2713"/>
      <c r="F472" s="2713"/>
      <c r="G472" s="2820">
        <f>'Part IV-Uses of Funds'!G74</f>
        <v>25000</v>
      </c>
      <c r="H472" s="2820"/>
      <c r="I472" s="2713"/>
      <c r="J472" s="2820">
        <f>'Part IV-Uses of Funds'!J74</f>
        <v>0</v>
      </c>
      <c r="K472" s="2820"/>
      <c r="L472" s="2741"/>
      <c r="M472" s="2820">
        <f>'Part IV-Uses of Funds'!M74</f>
        <v>0</v>
      </c>
      <c r="N472" s="2820"/>
      <c r="O472" s="2713"/>
      <c r="P472" s="2820">
        <f>'Part IV-Uses of Funds'!P74</f>
        <v>25000</v>
      </c>
      <c r="Q472" s="2820"/>
      <c r="R472" s="2713"/>
      <c r="S472" s="2820">
        <f>'Part IV-Uses of Funds'!S74</f>
        <v>0</v>
      </c>
      <c r="T472" s="2820"/>
      <c r="U472" s="2713"/>
      <c r="V472" s="2847">
        <f>'Part IV-Uses of Funds'!V74</f>
        <v>0</v>
      </c>
      <c r="W472" s="2848"/>
      <c r="X472" s="2848"/>
    </row>
    <row r="473" spans="1:24">
      <c r="A473" s="2713"/>
      <c r="B473" s="2713" t="s">
        <v>1336</v>
      </c>
      <c r="C473" s="2713"/>
      <c r="D473" s="2713"/>
      <c r="E473" s="2713"/>
      <c r="F473" s="2713"/>
      <c r="G473" s="2820">
        <f>'Part IV-Uses of Funds'!G75</f>
        <v>18000</v>
      </c>
      <c r="H473" s="2820"/>
      <c r="I473" s="2713"/>
      <c r="J473" s="2820">
        <f>'Part IV-Uses of Funds'!J75</f>
        <v>0</v>
      </c>
      <c r="K473" s="2820"/>
      <c r="L473" s="2741"/>
      <c r="M473" s="2820">
        <f>'Part IV-Uses of Funds'!M75</f>
        <v>0</v>
      </c>
      <c r="N473" s="2820"/>
      <c r="O473" s="2713"/>
      <c r="P473" s="2820">
        <f>'Part IV-Uses of Funds'!P75</f>
        <v>18000</v>
      </c>
      <c r="Q473" s="2820"/>
      <c r="R473" s="2713"/>
      <c r="S473" s="2820">
        <f>'Part IV-Uses of Funds'!S75</f>
        <v>0</v>
      </c>
      <c r="T473" s="2820"/>
      <c r="U473" s="2713"/>
      <c r="V473" s="2847">
        <f>'Part IV-Uses of Funds'!V75</f>
        <v>0</v>
      </c>
      <c r="W473" s="2848"/>
      <c r="X473" s="2848"/>
    </row>
    <row r="474" spans="1:24" ht="12.75" customHeight="1">
      <c r="A474" s="2849" t="str">
        <f>IF(AND(G474&gt;0,OR(C474="",C474="&lt;Enter detailed description here; use Comments section if needed&gt;")),"X","")</f>
        <v/>
      </c>
      <c r="B474" s="2713" t="s">
        <v>780</v>
      </c>
      <c r="C474" s="2728" t="str">
        <f>'Part IV-Uses of Funds'!C76</f>
        <v>&lt;Enter detailed description here; use Comments section if needed&gt;</v>
      </c>
      <c r="D474" s="2728"/>
      <c r="E474" s="2728"/>
      <c r="F474" s="2728"/>
      <c r="G474" s="2820">
        <f>'Part IV-Uses of Funds'!G76</f>
        <v>0</v>
      </c>
      <c r="H474" s="2820"/>
      <c r="I474" s="2713"/>
      <c r="J474" s="2820">
        <f>'Part IV-Uses of Funds'!J76</f>
        <v>0</v>
      </c>
      <c r="K474" s="2820"/>
      <c r="L474" s="2741"/>
      <c r="M474" s="2820">
        <f>'Part IV-Uses of Funds'!M76</f>
        <v>0</v>
      </c>
      <c r="N474" s="2820"/>
      <c r="O474" s="2713"/>
      <c r="P474" s="2820">
        <f>'Part IV-Uses of Funds'!P76</f>
        <v>0</v>
      </c>
      <c r="Q474" s="2820"/>
      <c r="R474" s="2713"/>
      <c r="S474" s="2820">
        <f>'Part IV-Uses of Funds'!S76</f>
        <v>0</v>
      </c>
      <c r="T474" s="2820"/>
      <c r="U474" s="2714" t="str">
        <f>IF(AND(G474&gt;0,OR(C474="",C474="&lt;Enter detailed description here; use Comments section if needed&gt;")),"NO DESCRIPTION PROVIDED - please enter detailed description in Other box at left; use Comments section below if needed.","")</f>
        <v/>
      </c>
      <c r="V474" s="2847">
        <f>'Part IV-Uses of Funds'!V76</f>
        <v>0</v>
      </c>
      <c r="W474" s="2848"/>
      <c r="X474" s="2848"/>
    </row>
    <row r="475" spans="1:24">
      <c r="A475" s="2713"/>
      <c r="B475" s="2713"/>
      <c r="C475" s="2713"/>
      <c r="D475" s="2713"/>
      <c r="E475" s="2713"/>
      <c r="F475" s="2850" t="s">
        <v>197</v>
      </c>
      <c r="G475" s="2820">
        <f>SUM(G464:H474)</f>
        <v>329794</v>
      </c>
      <c r="H475" s="2820"/>
      <c r="I475" s="2713"/>
      <c r="J475" s="2820">
        <f>SUM(J464:K474)</f>
        <v>0</v>
      </c>
      <c r="K475" s="2820"/>
      <c r="L475" s="2741"/>
      <c r="M475" s="2820">
        <f>SUM(M464:N474)</f>
        <v>0</v>
      </c>
      <c r="N475" s="2820"/>
      <c r="O475" s="2713"/>
      <c r="P475" s="2820">
        <f>SUM(P464:Q474)</f>
        <v>329794</v>
      </c>
      <c r="Q475" s="2820"/>
      <c r="R475" s="2713"/>
      <c r="S475" s="2820">
        <f>SUM(S464:T474)</f>
        <v>0</v>
      </c>
      <c r="T475" s="2820"/>
      <c r="U475" s="2713"/>
      <c r="V475" s="2847">
        <f>SUM(V464:V474)</f>
        <v>0</v>
      </c>
      <c r="W475" s="2848"/>
      <c r="X475" s="2848"/>
    </row>
    <row r="476" spans="1:24">
      <c r="A476" s="2713"/>
      <c r="B476" s="2716" t="s">
        <v>1328</v>
      </c>
      <c r="C476" s="2713"/>
      <c r="D476" s="2713"/>
      <c r="E476" s="2713"/>
      <c r="F476" s="2713"/>
      <c r="G476" s="2713"/>
      <c r="H476" s="2713"/>
      <c r="I476" s="2713"/>
      <c r="J476" s="2741"/>
      <c r="K476" s="2741"/>
      <c r="L476" s="2719"/>
      <c r="M476" s="2741"/>
      <c r="N476" s="2741"/>
      <c r="O476" s="2851" t="str">
        <f>B476</f>
        <v>LOCAL GOVERNMENT FEES</v>
      </c>
      <c r="P476" s="2741"/>
      <c r="Q476" s="2741"/>
      <c r="R476" s="2719"/>
      <c r="S476" s="2741"/>
      <c r="T476" s="2741"/>
      <c r="U476" s="2719"/>
      <c r="V476" s="2719"/>
      <c r="W476" s="2721" t="str">
        <f>B476</f>
        <v>LOCAL GOVERNMENT FEES</v>
      </c>
      <c r="X476" s="2730"/>
    </row>
    <row r="477" spans="1:24">
      <c r="A477" s="2713"/>
      <c r="B477" s="2713" t="s">
        <v>1329</v>
      </c>
      <c r="C477" s="2713"/>
      <c r="D477" s="2713"/>
      <c r="E477" s="2713"/>
      <c r="F477" s="2713"/>
      <c r="G477" s="2820">
        <f>'Part IV-Uses of Funds'!G79</f>
        <v>12739</v>
      </c>
      <c r="H477" s="2820"/>
      <c r="I477" s="2713"/>
      <c r="J477" s="2820">
        <f>'Part IV-Uses of Funds'!J79</f>
        <v>0</v>
      </c>
      <c r="K477" s="2820"/>
      <c r="L477" s="2741"/>
      <c r="M477" s="2820">
        <f>'Part IV-Uses of Funds'!M79</f>
        <v>0</v>
      </c>
      <c r="N477" s="2820"/>
      <c r="O477" s="2713"/>
      <c r="P477" s="2820">
        <f>'Part IV-Uses of Funds'!P79</f>
        <v>12739</v>
      </c>
      <c r="Q477" s="2820"/>
      <c r="R477" s="2713"/>
      <c r="S477" s="2820">
        <f>'Part IV-Uses of Funds'!S79</f>
        <v>0</v>
      </c>
      <c r="T477" s="2820"/>
      <c r="U477" s="2713"/>
      <c r="V477" s="2847">
        <f>'Part IV-Uses of Funds'!V79</f>
        <v>0</v>
      </c>
      <c r="W477" s="2848">
        <f>'Part IV-Uses of Funds'!W79</f>
        <v>0</v>
      </c>
      <c r="X477" s="2869"/>
    </row>
    <row r="478" spans="1:24">
      <c r="A478" s="2713"/>
      <c r="B478" s="2713" t="s">
        <v>1330</v>
      </c>
      <c r="C478" s="2713"/>
      <c r="D478" s="2713"/>
      <c r="E478" s="2713"/>
      <c r="F478" s="2713"/>
      <c r="G478" s="2820">
        <f>'Part IV-Uses of Funds'!G80</f>
        <v>0</v>
      </c>
      <c r="H478" s="2820"/>
      <c r="I478" s="2713"/>
      <c r="J478" s="2820">
        <f>'Part IV-Uses of Funds'!J80</f>
        <v>0</v>
      </c>
      <c r="K478" s="2820"/>
      <c r="L478" s="2741"/>
      <c r="M478" s="2820">
        <f>'Part IV-Uses of Funds'!M80</f>
        <v>0</v>
      </c>
      <c r="N478" s="2820"/>
      <c r="O478" s="2713"/>
      <c r="P478" s="2820">
        <f>'Part IV-Uses of Funds'!P80</f>
        <v>0</v>
      </c>
      <c r="Q478" s="2820"/>
      <c r="R478" s="2713"/>
      <c r="S478" s="2820">
        <f>'Part IV-Uses of Funds'!S80</f>
        <v>0</v>
      </c>
      <c r="T478" s="2820"/>
      <c r="U478" s="2713"/>
      <c r="V478" s="2847">
        <f>'Part IV-Uses of Funds'!V80</f>
        <v>0</v>
      </c>
      <c r="W478" s="2869"/>
      <c r="X478" s="2869"/>
    </row>
    <row r="479" spans="1:24">
      <c r="A479" s="2713"/>
      <c r="B479" s="2713" t="s">
        <v>1331</v>
      </c>
      <c r="C479" s="2713"/>
      <c r="D479" s="2870" t="s">
        <v>1471</v>
      </c>
      <c r="E479" s="2871">
        <f>'Part IV-Uses of Funds'!E81</f>
        <v>0</v>
      </c>
      <c r="F479" s="2713"/>
      <c r="G479" s="2820">
        <f>'Part IV-Uses of Funds'!G81</f>
        <v>0</v>
      </c>
      <c r="H479" s="2820"/>
      <c r="I479" s="2719"/>
      <c r="J479" s="2820">
        <f>'Part IV-Uses of Funds'!J81</f>
        <v>0</v>
      </c>
      <c r="K479" s="2820"/>
      <c r="L479" s="2741"/>
      <c r="M479" s="2820">
        <f>'Part IV-Uses of Funds'!M81</f>
        <v>0</v>
      </c>
      <c r="N479" s="2820"/>
      <c r="O479" s="2713"/>
      <c r="P479" s="2820">
        <f>'Part IV-Uses of Funds'!P81</f>
        <v>0</v>
      </c>
      <c r="Q479" s="2820"/>
      <c r="R479" s="2713"/>
      <c r="S479" s="2820">
        <f>'Part IV-Uses of Funds'!S81</f>
        <v>0</v>
      </c>
      <c r="T479" s="2820"/>
      <c r="U479" s="2713"/>
      <c r="V479" s="2847">
        <f>'Part IV-Uses of Funds'!V81</f>
        <v>0</v>
      </c>
      <c r="W479" s="2869"/>
      <c r="X479" s="2869"/>
    </row>
    <row r="480" spans="1:24">
      <c r="A480" s="2713"/>
      <c r="B480" s="2713" t="s">
        <v>1332</v>
      </c>
      <c r="C480" s="2713"/>
      <c r="D480" s="2870" t="s">
        <v>1471</v>
      </c>
      <c r="E480" s="2871">
        <f>'Part IV-Uses of Funds'!E82</f>
        <v>0</v>
      </c>
      <c r="F480" s="2713"/>
      <c r="G480" s="2820">
        <f>'Part IV-Uses of Funds'!G82</f>
        <v>0</v>
      </c>
      <c r="H480" s="2820"/>
      <c r="I480" s="2719"/>
      <c r="J480" s="2820">
        <f>'Part IV-Uses of Funds'!J82</f>
        <v>0</v>
      </c>
      <c r="K480" s="2820"/>
      <c r="L480" s="2741"/>
      <c r="M480" s="2820">
        <f>'Part IV-Uses of Funds'!M82</f>
        <v>0</v>
      </c>
      <c r="N480" s="2820"/>
      <c r="O480" s="2713"/>
      <c r="P480" s="2820">
        <f>'Part IV-Uses of Funds'!P82</f>
        <v>0</v>
      </c>
      <c r="Q480" s="2820"/>
      <c r="R480" s="2713"/>
      <c r="S480" s="2820">
        <f>'Part IV-Uses of Funds'!S82</f>
        <v>0</v>
      </c>
      <c r="T480" s="2820"/>
      <c r="U480" s="2713"/>
      <c r="V480" s="2847">
        <f>'Part IV-Uses of Funds'!V82</f>
        <v>0</v>
      </c>
      <c r="W480" s="2869"/>
      <c r="X480" s="2869"/>
    </row>
    <row r="481" spans="1:24">
      <c r="A481" s="2713"/>
      <c r="B481" s="2713"/>
      <c r="C481" s="2713"/>
      <c r="D481" s="2713"/>
      <c r="E481" s="2713"/>
      <c r="F481" s="2850" t="s">
        <v>197</v>
      </c>
      <c r="G481" s="2820">
        <f>SUM(G477:H480)</f>
        <v>12739</v>
      </c>
      <c r="H481" s="2820"/>
      <c r="I481" s="2713"/>
      <c r="J481" s="2820">
        <f>SUM(J477:K480)</f>
        <v>0</v>
      </c>
      <c r="K481" s="2820"/>
      <c r="L481" s="2741"/>
      <c r="M481" s="2820">
        <f>SUM(M477:N480)</f>
        <v>0</v>
      </c>
      <c r="N481" s="2820"/>
      <c r="O481" s="2713"/>
      <c r="P481" s="2820">
        <f>SUM(P477:Q480)</f>
        <v>12739</v>
      </c>
      <c r="Q481" s="2820"/>
      <c r="R481" s="2713"/>
      <c r="S481" s="2820">
        <f>SUM(S477:T480)</f>
        <v>0</v>
      </c>
      <c r="T481" s="2820"/>
      <c r="U481" s="2713"/>
      <c r="V481" s="2847">
        <f>SUM(V477:V480)</f>
        <v>0</v>
      </c>
      <c r="W481" s="2869"/>
      <c r="X481" s="2869"/>
    </row>
    <row r="482" spans="1:24">
      <c r="A482" s="2713"/>
      <c r="B482" s="2716" t="s">
        <v>763</v>
      </c>
      <c r="C482" s="2713"/>
      <c r="D482" s="2713"/>
      <c r="E482" s="2713"/>
      <c r="F482" s="2713"/>
      <c r="G482" s="2713"/>
      <c r="H482" s="2713"/>
      <c r="I482" s="2713"/>
      <c r="J482" s="2741"/>
      <c r="K482" s="2741"/>
      <c r="L482" s="2713"/>
      <c r="M482" s="2741"/>
      <c r="N482" s="2741"/>
      <c r="O482" s="2851" t="str">
        <f>B482</f>
        <v>PERMANENT FINANCING FEES</v>
      </c>
      <c r="P482" s="2741"/>
      <c r="Q482" s="2741"/>
      <c r="R482" s="2713"/>
      <c r="S482" s="2741"/>
      <c r="T482" s="2741"/>
      <c r="U482" s="2713"/>
      <c r="V482" s="2713"/>
      <c r="W482" s="2721" t="str">
        <f>B482</f>
        <v>PERMANENT FINANCING FEES</v>
      </c>
      <c r="X482" s="2721"/>
    </row>
    <row r="483" spans="1:24">
      <c r="A483" s="2713"/>
      <c r="B483" s="2713" t="s">
        <v>1333</v>
      </c>
      <c r="C483" s="2713"/>
      <c r="D483" s="2713"/>
      <c r="E483" s="2713"/>
      <c r="F483" s="2713"/>
      <c r="G483" s="2820">
        <f>'Part IV-Uses of Funds'!G85</f>
        <v>0</v>
      </c>
      <c r="H483" s="2820"/>
      <c r="I483" s="2713"/>
      <c r="J483" s="2872"/>
      <c r="K483" s="2872"/>
      <c r="L483" s="2741"/>
      <c r="M483" s="2872"/>
      <c r="N483" s="2872"/>
      <c r="O483" s="2713"/>
      <c r="P483" s="2872"/>
      <c r="Q483" s="2872"/>
      <c r="R483" s="2713"/>
      <c r="S483" s="2820">
        <f>'Part IV-Uses of Funds'!S85</f>
        <v>0</v>
      </c>
      <c r="T483" s="2820"/>
      <c r="U483" s="2713"/>
      <c r="V483" s="2847">
        <f>'Part IV-Uses of Funds'!V85</f>
        <v>0</v>
      </c>
      <c r="W483" s="2848">
        <f>'Part IV-Uses of Funds'!W85</f>
        <v>0</v>
      </c>
      <c r="X483" s="2869"/>
    </row>
    <row r="484" spans="1:24">
      <c r="A484" s="2713"/>
      <c r="B484" s="2713" t="s">
        <v>1334</v>
      </c>
      <c r="C484" s="2713"/>
      <c r="D484" s="2713"/>
      <c r="E484" s="2713"/>
      <c r="F484" s="2713"/>
      <c r="G484" s="2820">
        <f>'Part IV-Uses of Funds'!G86</f>
        <v>0</v>
      </c>
      <c r="H484" s="2820"/>
      <c r="I484" s="2713"/>
      <c r="J484" s="2872"/>
      <c r="K484" s="2872"/>
      <c r="L484" s="2741"/>
      <c r="M484" s="2872"/>
      <c r="N484" s="2872"/>
      <c r="O484" s="2713"/>
      <c r="P484" s="2872"/>
      <c r="Q484" s="2872"/>
      <c r="R484" s="2713"/>
      <c r="S484" s="2820">
        <f>'Part IV-Uses of Funds'!S86</f>
        <v>0</v>
      </c>
      <c r="T484" s="2820"/>
      <c r="U484" s="2713"/>
      <c r="V484" s="2847">
        <f>'Part IV-Uses of Funds'!V86</f>
        <v>0</v>
      </c>
      <c r="W484" s="2869"/>
      <c r="X484" s="2869"/>
    </row>
    <row r="485" spans="1:24">
      <c r="A485" s="2713"/>
      <c r="B485" s="2713" t="s">
        <v>1335</v>
      </c>
      <c r="C485" s="2713"/>
      <c r="D485" s="2713"/>
      <c r="E485" s="2713"/>
      <c r="F485" s="2713"/>
      <c r="G485" s="2820">
        <f>'Part IV-Uses of Funds'!G87</f>
        <v>0</v>
      </c>
      <c r="H485" s="2820"/>
      <c r="I485" s="2713"/>
      <c r="J485" s="2872"/>
      <c r="K485" s="2872"/>
      <c r="L485" s="2741"/>
      <c r="M485" s="2872"/>
      <c r="N485" s="2872"/>
      <c r="O485" s="2713"/>
      <c r="P485" s="2872"/>
      <c r="Q485" s="2872"/>
      <c r="R485" s="2713"/>
      <c r="S485" s="2820">
        <f>'Part IV-Uses of Funds'!S87</f>
        <v>0</v>
      </c>
      <c r="T485" s="2820"/>
      <c r="U485" s="2713"/>
      <c r="V485" s="2847">
        <f>'Part IV-Uses of Funds'!V87</f>
        <v>0</v>
      </c>
      <c r="W485" s="2869"/>
      <c r="X485" s="2869"/>
    </row>
    <row r="486" spans="1:24">
      <c r="A486" s="2713"/>
      <c r="B486" s="2713" t="s">
        <v>1337</v>
      </c>
      <c r="C486" s="2713"/>
      <c r="D486" s="2713"/>
      <c r="E486" s="2713"/>
      <c r="F486" s="2713"/>
      <c r="G486" s="2820">
        <f>'Part IV-Uses of Funds'!G88</f>
        <v>0</v>
      </c>
      <c r="H486" s="2820"/>
      <c r="I486" s="2713"/>
      <c r="J486" s="2872"/>
      <c r="K486" s="2872"/>
      <c r="L486" s="2741"/>
      <c r="M486" s="2872"/>
      <c r="N486" s="2872"/>
      <c r="O486" s="2713"/>
      <c r="P486" s="2872"/>
      <c r="Q486" s="2872"/>
      <c r="R486" s="2713"/>
      <c r="S486" s="2820">
        <f>'Part IV-Uses of Funds'!S88</f>
        <v>0</v>
      </c>
      <c r="T486" s="2820"/>
      <c r="U486" s="2713"/>
      <c r="V486" s="2847">
        <f>'Part IV-Uses of Funds'!V88</f>
        <v>0</v>
      </c>
      <c r="W486" s="2869"/>
      <c r="X486" s="2869"/>
    </row>
    <row r="487" spans="1:24">
      <c r="A487" s="2713"/>
      <c r="B487" s="2713" t="s">
        <v>2406</v>
      </c>
      <c r="C487" s="2713"/>
      <c r="D487" s="2713"/>
      <c r="E487" s="2713"/>
      <c r="F487" s="2713"/>
      <c r="G487" s="2820">
        <f>'Part IV-Uses of Funds'!G89</f>
        <v>0</v>
      </c>
      <c r="H487" s="2820"/>
      <c r="I487" s="2713"/>
      <c r="J487" s="2872"/>
      <c r="K487" s="2872"/>
      <c r="L487" s="2741"/>
      <c r="M487" s="2872"/>
      <c r="N487" s="2872"/>
      <c r="O487" s="2713"/>
      <c r="P487" s="2872"/>
      <c r="Q487" s="2872"/>
      <c r="R487" s="2713"/>
      <c r="S487" s="2820">
        <f>'Part IV-Uses of Funds'!S89</f>
        <v>0</v>
      </c>
      <c r="T487" s="2820"/>
      <c r="U487" s="2713"/>
      <c r="V487" s="2847">
        <f>'Part IV-Uses of Funds'!V89</f>
        <v>0</v>
      </c>
      <c r="W487" s="2869"/>
      <c r="X487" s="2869"/>
    </row>
    <row r="488" spans="1:24" ht="15.75">
      <c r="A488" s="2849" t="str">
        <f>IF(AND(G488&gt;0,OR(C488="",C488="&lt;Enter detailed description here; use Comments section if needed&gt;")),"X","")</f>
        <v/>
      </c>
      <c r="B488" s="2713" t="s">
        <v>780</v>
      </c>
      <c r="C488" s="2728" t="str">
        <f>'Part IV-Uses of Funds'!C90</f>
        <v>&lt;Enter detailed description here; use Comments section if needed&gt;</v>
      </c>
      <c r="D488" s="2728"/>
      <c r="E488" s="2728"/>
      <c r="F488" s="2728"/>
      <c r="G488" s="2820">
        <f>'Part IV-Uses of Funds'!G90</f>
        <v>0</v>
      </c>
      <c r="H488" s="2820"/>
      <c r="I488" s="2713"/>
      <c r="J488" s="2872"/>
      <c r="K488" s="2872"/>
      <c r="L488" s="2741"/>
      <c r="M488" s="2872"/>
      <c r="N488" s="2872"/>
      <c r="O488" s="2713"/>
      <c r="P488" s="2872"/>
      <c r="Q488" s="2872"/>
      <c r="R488" s="2713"/>
      <c r="S488" s="2820">
        <f>'Part IV-Uses of Funds'!S90</f>
        <v>0</v>
      </c>
      <c r="T488" s="2820"/>
      <c r="U488" s="2714" t="str">
        <f>IF(AND(G488&gt;0,OR(C488="",C488="&lt;Enter detailed description here; use Comments section if needed&gt;")),"NO DESCRIPTION PROVIDED - please enter detailed description in Other box at left; use Comments section below if needed.","")</f>
        <v/>
      </c>
      <c r="V488" s="2847">
        <f>'Part IV-Uses of Funds'!V90</f>
        <v>0</v>
      </c>
      <c r="W488" s="2869"/>
      <c r="X488" s="2869"/>
    </row>
    <row r="489" spans="1:24">
      <c r="A489" s="2713"/>
      <c r="B489" s="2713"/>
      <c r="C489" s="2713"/>
      <c r="D489" s="2713"/>
      <c r="E489" s="2713"/>
      <c r="F489" s="2850" t="s">
        <v>197</v>
      </c>
      <c r="G489" s="2820">
        <f>SUM(G483:H488)</f>
        <v>0</v>
      </c>
      <c r="H489" s="2820"/>
      <c r="I489" s="2713"/>
      <c r="J489" s="2872"/>
      <c r="K489" s="2872"/>
      <c r="L489" s="2741"/>
      <c r="M489" s="2872"/>
      <c r="N489" s="2872"/>
      <c r="O489" s="2713"/>
      <c r="P489" s="2872"/>
      <c r="Q489" s="2872"/>
      <c r="R489" s="2713"/>
      <c r="S489" s="2820">
        <f>SUM(S483:T488)</f>
        <v>0</v>
      </c>
      <c r="T489" s="2820"/>
      <c r="U489" s="2713"/>
      <c r="V489" s="2847">
        <f>SUM(V483:V488)</f>
        <v>0</v>
      </c>
      <c r="W489" s="2869"/>
      <c r="X489" s="2869"/>
    </row>
    <row r="490" spans="1:24">
      <c r="A490" s="2712"/>
      <c r="B490" s="2712"/>
      <c r="C490" s="2712"/>
      <c r="D490" s="2712"/>
      <c r="E490" s="2712"/>
      <c r="F490" s="2712"/>
      <c r="G490" s="2712"/>
      <c r="H490" s="2712"/>
      <c r="I490" s="2712"/>
      <c r="J490" s="2712"/>
      <c r="K490" s="2712"/>
      <c r="L490" s="2712"/>
      <c r="M490" s="2712"/>
      <c r="N490" s="2712"/>
      <c r="O490" s="2712"/>
      <c r="P490" s="2712"/>
      <c r="Q490" s="2712"/>
      <c r="R490" s="2712"/>
      <c r="S490" s="2712"/>
      <c r="T490" s="2712"/>
      <c r="U490" s="2713"/>
      <c r="V490" s="2713"/>
      <c r="W490" s="2721"/>
      <c r="X490" s="2721"/>
    </row>
    <row r="491" spans="1:24" ht="16.5">
      <c r="A491" s="2843" t="s">
        <v>646</v>
      </c>
      <c r="B491" s="2843" t="s">
        <v>4591</v>
      </c>
      <c r="C491" s="2713"/>
      <c r="D491" s="2713"/>
      <c r="E491" s="2713"/>
      <c r="F491" s="2713"/>
      <c r="G491" s="2713"/>
      <c r="H491" s="2713"/>
      <c r="I491" s="2713"/>
      <c r="J491" s="2844" t="s">
        <v>283</v>
      </c>
      <c r="K491" s="2844"/>
      <c r="L491" s="2740"/>
      <c r="M491" s="2845" t="s">
        <v>510</v>
      </c>
      <c r="N491" s="2845"/>
      <c r="O491" s="2713"/>
      <c r="P491" s="2844" t="s">
        <v>284</v>
      </c>
      <c r="Q491" s="2844"/>
      <c r="R491" s="2713"/>
      <c r="S491" s="2844" t="s">
        <v>285</v>
      </c>
      <c r="T491" s="2844"/>
      <c r="U491" s="2713"/>
      <c r="V491" s="2713"/>
      <c r="W491" s="2868" t="str">
        <f>B491</f>
        <v>DEVELOPMENT BUDGET  (cont'd)</v>
      </c>
      <c r="X491" s="2721"/>
    </row>
    <row r="492" spans="1:24">
      <c r="A492" s="2713"/>
      <c r="B492" s="2713"/>
      <c r="C492" s="2713"/>
      <c r="D492" s="2713"/>
      <c r="E492" s="2713"/>
      <c r="F492" s="2713"/>
      <c r="G492" s="2711" t="s">
        <v>103</v>
      </c>
      <c r="H492" s="2711"/>
      <c r="I492" s="2713"/>
      <c r="J492" s="2844"/>
      <c r="K492" s="2844"/>
      <c r="L492" s="2740"/>
      <c r="M492" s="2845"/>
      <c r="N492" s="2845"/>
      <c r="O492" s="2713"/>
      <c r="P492" s="2844"/>
      <c r="Q492" s="2844"/>
      <c r="R492" s="2713"/>
      <c r="S492" s="2844"/>
      <c r="T492" s="2844"/>
      <c r="U492" s="2713"/>
      <c r="V492" s="2713"/>
      <c r="W492" s="2763" t="s">
        <v>2825</v>
      </c>
      <c r="X492" s="2763"/>
    </row>
    <row r="493" spans="1:24">
      <c r="A493" s="2713"/>
      <c r="B493" s="2716" t="s">
        <v>764</v>
      </c>
      <c r="C493" s="2713"/>
      <c r="D493" s="2713"/>
      <c r="E493" s="2713"/>
      <c r="F493" s="2713"/>
      <c r="G493" s="2713"/>
      <c r="H493" s="2713"/>
      <c r="I493" s="2713"/>
      <c r="J493" s="2741"/>
      <c r="K493" s="2741"/>
      <c r="L493" s="2713"/>
      <c r="M493" s="2741"/>
      <c r="N493" s="2741"/>
      <c r="O493" s="2851" t="str">
        <f>B493</f>
        <v>DCA-RELATED COSTS</v>
      </c>
      <c r="P493" s="2741"/>
      <c r="Q493" s="2741"/>
      <c r="R493" s="2713"/>
      <c r="S493" s="2741"/>
      <c r="T493" s="2741"/>
      <c r="U493" s="2713"/>
      <c r="V493" s="2713"/>
      <c r="W493" s="2721" t="str">
        <f>B493</f>
        <v>DCA-RELATED COSTS</v>
      </c>
      <c r="X493" s="2721"/>
    </row>
    <row r="494" spans="1:24">
      <c r="A494" s="2713"/>
      <c r="B494" s="2713" t="str">
        <f>CONCATENATE("DCA HOME Loan Pre-Application Fee ($",'DCA Underwriting Assumptions'!$Q$62, " FP/JV, $",'DCA Underwriting Assumptions'!$Q$63, " NP)")</f>
        <v>DCA HOME Loan Pre-Application Fee ($1000 FP/JV, $500 NP)</v>
      </c>
      <c r="C494" s="2713"/>
      <c r="D494" s="2713"/>
      <c r="E494" s="2713"/>
      <c r="F494" s="2713"/>
      <c r="G494" s="2820">
        <f>'Part IV-Uses of Funds'!G96</f>
        <v>0</v>
      </c>
      <c r="H494" s="2820"/>
      <c r="I494" s="2713"/>
      <c r="J494" s="2741"/>
      <c r="K494" s="2741"/>
      <c r="L494" s="2741"/>
      <c r="M494" s="2741"/>
      <c r="N494" s="2741"/>
      <c r="O494" s="2713"/>
      <c r="P494" s="2741"/>
      <c r="Q494" s="2741"/>
      <c r="R494" s="2713"/>
      <c r="S494" s="2820">
        <f>'Part IV-Uses of Funds'!S96</f>
        <v>0</v>
      </c>
      <c r="T494" s="2820"/>
      <c r="U494" s="2713"/>
      <c r="V494" s="2847">
        <f>'Part IV-Uses of Funds'!V96</f>
        <v>0</v>
      </c>
      <c r="W494" s="2848">
        <f>'Part IV-Uses of Funds'!W96</f>
        <v>0</v>
      </c>
      <c r="X494" s="2869"/>
    </row>
    <row r="495" spans="1:24">
      <c r="A495" s="2713"/>
      <c r="B495" s="2713" t="str">
        <f>CONCATENATE("Tax Credit Application Fee ($",'DCA Underwriting Assumptions'!$Q$59, " ForProf/JntVent, $",'DCA Underwriting Assumptions'!$Q$60, " NonProf)")</f>
        <v>Tax Credit Application Fee ($6500 ForProf/JntVent, $5500 NonProf)</v>
      </c>
      <c r="C495" s="2713"/>
      <c r="D495" s="2713"/>
      <c r="E495" s="2713"/>
      <c r="F495" s="2713"/>
      <c r="G495" s="2820">
        <f>'Part IV-Uses of Funds'!G97</f>
        <v>6500</v>
      </c>
      <c r="H495" s="2820"/>
      <c r="I495" s="2713"/>
      <c r="J495" s="2741"/>
      <c r="K495" s="2741"/>
      <c r="L495" s="2873"/>
      <c r="M495" s="2741"/>
      <c r="N495" s="2741"/>
      <c r="O495" s="2713"/>
      <c r="P495" s="2741"/>
      <c r="Q495" s="2741"/>
      <c r="R495" s="2713"/>
      <c r="S495" s="2820">
        <f>'Part IV-Uses of Funds'!S97</f>
        <v>6500</v>
      </c>
      <c r="T495" s="2820"/>
      <c r="U495" s="2713"/>
      <c r="V495" s="2847">
        <f>'Part IV-Uses of Funds'!V97</f>
        <v>0</v>
      </c>
      <c r="W495" s="2869"/>
      <c r="X495" s="2869"/>
    </row>
    <row r="496" spans="1:24">
      <c r="A496" s="2713"/>
      <c r="B496" s="2713" t="s">
        <v>2847</v>
      </c>
      <c r="C496" s="2713"/>
      <c r="D496" s="2713"/>
      <c r="E496" s="2713"/>
      <c r="F496" s="2713"/>
      <c r="G496" s="2820">
        <f>'Part IV-Uses of Funds'!G98</f>
        <v>1500</v>
      </c>
      <c r="H496" s="2820"/>
      <c r="I496" s="2713"/>
      <c r="J496" s="2741"/>
      <c r="K496" s="2741"/>
      <c r="L496" s="2873"/>
      <c r="M496" s="2741"/>
      <c r="N496" s="2741"/>
      <c r="O496" s="2713"/>
      <c r="P496" s="2741"/>
      <c r="Q496" s="2741"/>
      <c r="R496" s="2713"/>
      <c r="S496" s="2820">
        <f>'Part IV-Uses of Funds'!S98</f>
        <v>1500</v>
      </c>
      <c r="T496" s="2820"/>
      <c r="U496" s="2713"/>
      <c r="V496" s="2847">
        <f>'Part IV-Uses of Funds'!V98</f>
        <v>0</v>
      </c>
      <c r="W496" s="2869"/>
      <c r="X496" s="2869"/>
    </row>
    <row r="497" spans="1:24">
      <c r="A497" s="2713"/>
      <c r="B497" s="2713" t="s">
        <v>542</v>
      </c>
      <c r="C497" s="2713"/>
      <c r="D497" s="2713"/>
      <c r="E497" s="2874">
        <f>'DCA Underwriting Assumptions'!$Q$74*J571</f>
        <v>28776.459701492535</v>
      </c>
      <c r="F497" s="2874"/>
      <c r="G497" s="2820">
        <f>'Part IV-Uses of Funds'!G99</f>
        <v>28776</v>
      </c>
      <c r="H497" s="2820"/>
      <c r="I497" s="2713"/>
      <c r="J497" s="2741"/>
      <c r="K497" s="2741"/>
      <c r="L497" s="2741"/>
      <c r="M497" s="2741"/>
      <c r="N497" s="2741"/>
      <c r="O497" s="2713"/>
      <c r="P497" s="2741"/>
      <c r="Q497" s="2741"/>
      <c r="R497" s="2713"/>
      <c r="S497" s="2820">
        <f>'Part IV-Uses of Funds'!S99</f>
        <v>28776</v>
      </c>
      <c r="T497" s="2820"/>
      <c r="U497" s="2713"/>
      <c r="V497" s="2847">
        <f>'Part IV-Uses of Funds'!V99</f>
        <v>0</v>
      </c>
      <c r="W497" s="2869"/>
      <c r="X497" s="2869"/>
    </row>
    <row r="498" spans="1:24">
      <c r="A498" s="2713"/>
      <c r="B498" s="2713" t="s">
        <v>792</v>
      </c>
      <c r="C498" s="2713"/>
      <c r="D498" s="2713"/>
      <c r="E498" s="2874">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33600</v>
      </c>
      <c r="F498" s="2874"/>
      <c r="G498" s="2820">
        <f>'Part IV-Uses of Funds'!G100</f>
        <v>16800</v>
      </c>
      <c r="H498" s="2820"/>
      <c r="I498" s="2713"/>
      <c r="J498" s="2719"/>
      <c r="K498" s="2719"/>
      <c r="L498" s="2719"/>
      <c r="M498" s="2719"/>
      <c r="N498" s="2719"/>
      <c r="O498" s="2719"/>
      <c r="P498" s="2719"/>
      <c r="Q498" s="2719"/>
      <c r="R498" s="2713"/>
      <c r="S498" s="2820">
        <f>'Part IV-Uses of Funds'!S100</f>
        <v>16800</v>
      </c>
      <c r="T498" s="2820"/>
      <c r="U498" s="2713"/>
      <c r="V498" s="2847">
        <f>'Part IV-Uses of Funds'!V100</f>
        <v>0</v>
      </c>
      <c r="W498" s="2869"/>
      <c r="X498" s="2869"/>
    </row>
    <row r="499" spans="1:24">
      <c r="A499" s="2713"/>
      <c r="B499" s="2713" t="str">
        <f>CONCATENATE("DCA HOME Front End Analysis Fee (when ID of Interest; $",'DCA Underwriting Assumptions'!$Q$76,")")</f>
        <v>DCA HOME Front End Analysis Fee (when ID of Interest; $2700)</v>
      </c>
      <c r="C499" s="2713"/>
      <c r="D499" s="2713"/>
      <c r="E499" s="2713"/>
      <c r="F499" s="2713"/>
      <c r="G499" s="2820">
        <f>'Part IV-Uses of Funds'!G101</f>
        <v>0</v>
      </c>
      <c r="H499" s="2820"/>
      <c r="I499" s="2713"/>
      <c r="J499" s="2719"/>
      <c r="K499" s="2719"/>
      <c r="L499" s="2719"/>
      <c r="M499" s="2719"/>
      <c r="N499" s="2719"/>
      <c r="O499" s="2719"/>
      <c r="P499" s="2719"/>
      <c r="Q499" s="2719"/>
      <c r="R499" s="2713"/>
      <c r="S499" s="2820">
        <f>'Part IV-Uses of Funds'!S101</f>
        <v>0</v>
      </c>
      <c r="T499" s="2820"/>
      <c r="U499" s="2713"/>
      <c r="V499" s="2847">
        <f>'Part IV-Uses of Funds'!V101</f>
        <v>0</v>
      </c>
      <c r="W499" s="2869"/>
      <c r="X499" s="2869"/>
    </row>
    <row r="500" spans="1:24">
      <c r="A500" s="2713"/>
      <c r="B500" s="2713" t="str">
        <f>CONCATENATE("DCA Final Inspection Fee (Tax Credit only - no HOME; $",'DCA Underwriting Assumptions'!$Q$97,")")</f>
        <v>DCA Final Inspection Fee (Tax Credit only - no HOME; $3000)</v>
      </c>
      <c r="C500" s="2713"/>
      <c r="D500" s="2713"/>
      <c r="E500" s="2713"/>
      <c r="F500" s="2713"/>
      <c r="G500" s="2820">
        <f>'Part IV-Uses of Funds'!G102</f>
        <v>3000</v>
      </c>
      <c r="H500" s="2820"/>
      <c r="I500" s="2713"/>
      <c r="J500" s="2719"/>
      <c r="K500" s="2719"/>
      <c r="L500" s="2719"/>
      <c r="M500" s="2719"/>
      <c r="N500" s="2719"/>
      <c r="O500" s="2719"/>
      <c r="P500" s="2719"/>
      <c r="Q500" s="2719"/>
      <c r="R500" s="2713"/>
      <c r="S500" s="2820">
        <f>'Part IV-Uses of Funds'!S102</f>
        <v>3000</v>
      </c>
      <c r="T500" s="2820"/>
      <c r="U500" s="2713"/>
      <c r="V500" s="2847">
        <f>'Part IV-Uses of Funds'!V102</f>
        <v>0</v>
      </c>
      <c r="W500" s="2869"/>
      <c r="X500" s="2869"/>
    </row>
    <row r="501" spans="1:24" ht="12.75" customHeight="1">
      <c r="A501" s="2849" t="str">
        <f>IF(AND(G501&gt;0,OR(C501="",C501="&lt;Enter detailed description here; use Comments section if needed&gt;")),"X","")</f>
        <v/>
      </c>
      <c r="B501" s="2713" t="s">
        <v>780</v>
      </c>
      <c r="C501" s="2728" t="str">
        <f>'Part IV-Uses of Funds'!C103</f>
        <v>&lt;Enter detailed description here; use Comments section if needed&gt;</v>
      </c>
      <c r="D501" s="2728"/>
      <c r="E501" s="2728"/>
      <c r="F501" s="2728"/>
      <c r="G501" s="2820">
        <f>'Part IV-Uses of Funds'!G103</f>
        <v>0</v>
      </c>
      <c r="H501" s="2820"/>
      <c r="I501" s="2713"/>
      <c r="J501" s="2719"/>
      <c r="K501" s="2719"/>
      <c r="L501" s="2719"/>
      <c r="M501" s="2719"/>
      <c r="N501" s="2719"/>
      <c r="O501" s="2719"/>
      <c r="P501" s="2719"/>
      <c r="Q501" s="2719"/>
      <c r="R501" s="2713"/>
      <c r="S501" s="2820">
        <f>'Part IV-Uses of Funds'!S103</f>
        <v>0</v>
      </c>
      <c r="T501" s="2820"/>
      <c r="U501" s="2714" t="str">
        <f>IF(AND(G501&gt;0,OR(C501="",C501="&lt;Enter detailed description here; use Comments section if needed&gt;")),"NO DESCRIPTION PROVIDED - please enter detailed description in Other box at left; use Comments section below if needed.","")</f>
        <v/>
      </c>
      <c r="V501" s="2847">
        <f>'Part IV-Uses of Funds'!V103</f>
        <v>0</v>
      </c>
      <c r="W501" s="2869"/>
      <c r="X501" s="2869"/>
    </row>
    <row r="502" spans="1:24" ht="12.75" customHeight="1">
      <c r="A502" s="2849" t="str">
        <f>IF(AND(G502&gt;0,OR(C502="",C502="&lt;Enter detailed description here; use Comments section if needed&gt;")),"X","")</f>
        <v/>
      </c>
      <c r="B502" s="2713" t="s">
        <v>780</v>
      </c>
      <c r="C502" s="2728" t="str">
        <f>'Part IV-Uses of Funds'!C104</f>
        <v>&lt;Enter detailed description here; use Comments section if needed&gt;</v>
      </c>
      <c r="D502" s="2728"/>
      <c r="E502" s="2728"/>
      <c r="F502" s="2728"/>
      <c r="G502" s="2820">
        <f>'Part IV-Uses of Funds'!G104</f>
        <v>0</v>
      </c>
      <c r="H502" s="2820"/>
      <c r="I502" s="2713"/>
      <c r="J502" s="2719"/>
      <c r="K502" s="2719"/>
      <c r="L502" s="2719"/>
      <c r="M502" s="2719"/>
      <c r="N502" s="2719"/>
      <c r="O502" s="2719"/>
      <c r="P502" s="2719"/>
      <c r="Q502" s="2719"/>
      <c r="R502" s="2713"/>
      <c r="S502" s="2820">
        <f>'Part IV-Uses of Funds'!S104</f>
        <v>0</v>
      </c>
      <c r="T502" s="2820"/>
      <c r="U502" s="2714" t="str">
        <f>IF(AND(G502&gt;0,OR(C502="",C502="&lt;Enter detailed description here; use Comments section if needed&gt;")),"NO DESCRIPTION PROVIDED - please enter detailed description in Other box at left; use Comments section below if needed.","")</f>
        <v/>
      </c>
      <c r="V502" s="2847">
        <f>'Part IV-Uses of Funds'!V104</f>
        <v>0</v>
      </c>
      <c r="W502" s="2869"/>
      <c r="X502" s="2869"/>
    </row>
    <row r="503" spans="1:24">
      <c r="A503" s="2713"/>
      <c r="B503" s="2713"/>
      <c r="C503" s="2713"/>
      <c r="D503" s="2713"/>
      <c r="E503" s="2713"/>
      <c r="F503" s="2850" t="s">
        <v>197</v>
      </c>
      <c r="G503" s="2820">
        <f>SUM(G494:H502)</f>
        <v>56576</v>
      </c>
      <c r="H503" s="2820"/>
      <c r="I503" s="2713"/>
      <c r="J503" s="2741"/>
      <c r="K503" s="2741"/>
      <c r="L503" s="2741"/>
      <c r="M503" s="2741"/>
      <c r="N503" s="2741"/>
      <c r="O503" s="2713"/>
      <c r="P503" s="2741"/>
      <c r="Q503" s="2741"/>
      <c r="R503" s="2713"/>
      <c r="S503" s="2820">
        <f>SUM(S494:T502)</f>
        <v>56576</v>
      </c>
      <c r="T503" s="2820"/>
      <c r="U503" s="2713"/>
      <c r="V503" s="2847">
        <f>SUM(V494:V502)</f>
        <v>0</v>
      </c>
      <c r="W503" s="2869"/>
      <c r="X503" s="2869"/>
    </row>
    <row r="504" spans="1:24">
      <c r="A504" s="2713"/>
      <c r="B504" s="2716" t="s">
        <v>2407</v>
      </c>
      <c r="C504" s="2713"/>
      <c r="D504" s="2713"/>
      <c r="E504" s="2713"/>
      <c r="F504" s="2713"/>
      <c r="G504" s="2713"/>
      <c r="H504" s="2713"/>
      <c r="I504" s="2713"/>
      <c r="J504" s="2741"/>
      <c r="K504" s="2741"/>
      <c r="L504" s="2713"/>
      <c r="M504" s="2741"/>
      <c r="N504" s="2741"/>
      <c r="O504" s="2851" t="str">
        <f>B504</f>
        <v>EQUITY COSTS</v>
      </c>
      <c r="P504" s="2741"/>
      <c r="Q504" s="2741"/>
      <c r="R504" s="2713"/>
      <c r="S504" s="2741"/>
      <c r="T504" s="2741"/>
      <c r="U504" s="2713"/>
      <c r="V504" s="2713"/>
      <c r="W504" s="2721" t="str">
        <f>B504</f>
        <v>EQUITY COSTS</v>
      </c>
      <c r="X504" s="2721"/>
    </row>
    <row r="505" spans="1:24">
      <c r="A505" s="2713"/>
      <c r="B505" s="2713" t="s">
        <v>291</v>
      </c>
      <c r="C505" s="2713"/>
      <c r="D505" s="2713"/>
      <c r="E505" s="2713"/>
      <c r="F505" s="2713"/>
      <c r="G505" s="2820">
        <f>'Part IV-Uses of Funds'!G107</f>
        <v>2500</v>
      </c>
      <c r="H505" s="2820"/>
      <c r="I505" s="2713"/>
      <c r="J505" s="2872"/>
      <c r="K505" s="2872"/>
      <c r="L505" s="2741"/>
      <c r="M505" s="2872"/>
      <c r="N505" s="2872"/>
      <c r="O505" s="2713"/>
      <c r="P505" s="2872"/>
      <c r="Q505" s="2872"/>
      <c r="R505" s="2713"/>
      <c r="S505" s="2820">
        <f>'Part IV-Uses of Funds'!S107</f>
        <v>2500</v>
      </c>
      <c r="T505" s="2820"/>
      <c r="U505" s="2713"/>
      <c r="V505" s="2847">
        <f>'Part IV-Uses of Funds'!V107</f>
        <v>0</v>
      </c>
      <c r="W505" s="2848">
        <f>'Part IV-Uses of Funds'!W107</f>
        <v>0</v>
      </c>
      <c r="X505" s="2869"/>
    </row>
    <row r="506" spans="1:24">
      <c r="A506" s="2713"/>
      <c r="B506" s="2713" t="s">
        <v>293</v>
      </c>
      <c r="C506" s="2713"/>
      <c r="D506" s="2713"/>
      <c r="E506" s="2713"/>
      <c r="F506" s="2713"/>
      <c r="G506" s="2820">
        <f>'Part IV-Uses of Funds'!G108</f>
        <v>2500</v>
      </c>
      <c r="H506" s="2820"/>
      <c r="I506" s="2713"/>
      <c r="J506" s="2872"/>
      <c r="K506" s="2872"/>
      <c r="L506" s="2741"/>
      <c r="M506" s="2872"/>
      <c r="N506" s="2872"/>
      <c r="O506" s="2713"/>
      <c r="P506" s="2872"/>
      <c r="Q506" s="2872"/>
      <c r="R506" s="2713"/>
      <c r="S506" s="2820">
        <f>'Part IV-Uses of Funds'!S108</f>
        <v>2500</v>
      </c>
      <c r="T506" s="2820"/>
      <c r="U506" s="2713"/>
      <c r="V506" s="2847">
        <f>'Part IV-Uses of Funds'!V108</f>
        <v>0</v>
      </c>
      <c r="W506" s="2869"/>
      <c r="X506" s="2869"/>
    </row>
    <row r="507" spans="1:24">
      <c r="A507" s="2713"/>
      <c r="B507" s="2713" t="s">
        <v>2499</v>
      </c>
      <c r="C507" s="2713"/>
      <c r="D507" s="2713"/>
      <c r="E507" s="2713"/>
      <c r="F507" s="2713"/>
      <c r="G507" s="2820">
        <f>'Part IV-Uses of Funds'!G109</f>
        <v>50000</v>
      </c>
      <c r="H507" s="2820"/>
      <c r="I507" s="2713"/>
      <c r="J507" s="2872"/>
      <c r="K507" s="2872"/>
      <c r="L507" s="2741"/>
      <c r="M507" s="2872"/>
      <c r="N507" s="2872"/>
      <c r="O507" s="2713"/>
      <c r="P507" s="2872"/>
      <c r="Q507" s="2872"/>
      <c r="R507" s="2713"/>
      <c r="S507" s="2820">
        <f>'Part IV-Uses of Funds'!S109</f>
        <v>50000</v>
      </c>
      <c r="T507" s="2820"/>
      <c r="U507" s="2713"/>
      <c r="V507" s="2847">
        <f>'Part IV-Uses of Funds'!V109</f>
        <v>0</v>
      </c>
      <c r="W507" s="2869"/>
      <c r="X507" s="2869"/>
    </row>
    <row r="508" spans="1:24" ht="12.75" customHeight="1">
      <c r="A508" s="2849" t="str">
        <f>IF(AND(G508&gt;0,OR(C508="",C508="&lt;Enter detailed description here; use Comments section if needed&gt;")),"X","")</f>
        <v/>
      </c>
      <c r="B508" s="2713" t="s">
        <v>780</v>
      </c>
      <c r="C508" s="2728" t="str">
        <f>'Part IV-Uses of Funds'!C110</f>
        <v>prepaid asset management fee due to USDA 515 loan</v>
      </c>
      <c r="D508" s="2728"/>
      <c r="E508" s="2728"/>
      <c r="F508" s="2728"/>
      <c r="G508" s="2820">
        <f>'Part IV-Uses of Funds'!G110</f>
        <v>45000</v>
      </c>
      <c r="H508" s="2820"/>
      <c r="I508" s="2713"/>
      <c r="J508" s="2872"/>
      <c r="K508" s="2872"/>
      <c r="L508" s="2741"/>
      <c r="M508" s="2872"/>
      <c r="N508" s="2872"/>
      <c r="O508" s="2713"/>
      <c r="P508" s="2872"/>
      <c r="Q508" s="2872"/>
      <c r="R508" s="2713"/>
      <c r="S508" s="2820">
        <f>'Part IV-Uses of Funds'!S110</f>
        <v>45000</v>
      </c>
      <c r="T508" s="2820"/>
      <c r="U508" s="2714" t="str">
        <f>IF(AND(G508&gt;0,OR(C508="",C508="&lt;Enter detailed description here; use Comments section if needed&gt;")),"NO DESCRIPTION PROVIDED - please enter detailed description in Other box at left; use Comments section below if needed.","")</f>
        <v/>
      </c>
      <c r="V508" s="2847">
        <f>'Part IV-Uses of Funds'!V110</f>
        <v>0</v>
      </c>
      <c r="W508" s="2869"/>
      <c r="X508" s="2869"/>
    </row>
    <row r="509" spans="1:24">
      <c r="A509" s="2713"/>
      <c r="B509" s="2713"/>
      <c r="C509" s="2713"/>
      <c r="D509" s="2713"/>
      <c r="E509" s="2713"/>
      <c r="F509" s="2850" t="s">
        <v>197</v>
      </c>
      <c r="G509" s="2820">
        <f>SUM(G505:H508)</f>
        <v>100000</v>
      </c>
      <c r="H509" s="2820"/>
      <c r="I509" s="2713"/>
      <c r="J509" s="2872"/>
      <c r="K509" s="2872"/>
      <c r="L509" s="2741"/>
      <c r="M509" s="2872"/>
      <c r="N509" s="2872"/>
      <c r="O509" s="2713"/>
      <c r="P509" s="2872"/>
      <c r="Q509" s="2872"/>
      <c r="R509" s="2713"/>
      <c r="S509" s="2820">
        <f>SUM(S505:T508)</f>
        <v>100000</v>
      </c>
      <c r="T509" s="2820"/>
      <c r="U509" s="2713"/>
      <c r="V509" s="2847">
        <f>SUM(V505:V508)</f>
        <v>0</v>
      </c>
      <c r="W509" s="2869"/>
      <c r="X509" s="2869"/>
    </row>
    <row r="510" spans="1:24">
      <c r="A510" s="2713"/>
      <c r="B510" s="2716" t="s">
        <v>294</v>
      </c>
      <c r="C510" s="2713"/>
      <c r="D510" s="2713"/>
      <c r="E510" s="2713"/>
      <c r="F510" s="2713"/>
      <c r="G510" s="2713"/>
      <c r="H510" s="2713"/>
      <c r="I510" s="2713"/>
      <c r="J510" s="2741"/>
      <c r="K510" s="2740"/>
      <c r="L510" s="2713"/>
      <c r="M510" s="2741"/>
      <c r="N510" s="2740"/>
      <c r="O510" s="2851" t="str">
        <f>B510</f>
        <v>DEVELOPER'S FEE</v>
      </c>
      <c r="P510" s="2741"/>
      <c r="Q510" s="2740"/>
      <c r="R510" s="2713"/>
      <c r="S510" s="2741"/>
      <c r="T510" s="2740"/>
      <c r="U510" s="2713"/>
      <c r="V510" s="2713"/>
      <c r="W510" s="2721" t="str">
        <f>B510</f>
        <v>DEVELOPER'S FEE</v>
      </c>
      <c r="X510" s="2721"/>
    </row>
    <row r="511" spans="1:24">
      <c r="A511" s="2713"/>
      <c r="B511" s="2713" t="s">
        <v>1952</v>
      </c>
      <c r="C511" s="2713"/>
      <c r="D511" s="2713"/>
      <c r="E511" s="2713"/>
      <c r="F511" s="2828">
        <f>G511/G514</f>
        <v>0.20000051281196596</v>
      </c>
      <c r="G511" s="2820">
        <f>'Part IV-Uses of Funds'!G113</f>
        <v>156003</v>
      </c>
      <c r="H511" s="2820"/>
      <c r="I511" s="2713"/>
      <c r="J511" s="2820">
        <f>'Part IV-Uses of Funds'!J113</f>
        <v>0</v>
      </c>
      <c r="K511" s="2820"/>
      <c r="L511" s="2851"/>
      <c r="M511" s="2820">
        <f>'Part IV-Uses of Funds'!M113</f>
        <v>39883</v>
      </c>
      <c r="N511" s="2820"/>
      <c r="O511" s="2713"/>
      <c r="P511" s="2820">
        <f>'Part IV-Uses of Funds'!P113</f>
        <v>116120</v>
      </c>
      <c r="Q511" s="2820"/>
      <c r="R511" s="2713"/>
      <c r="S511" s="2820">
        <f>'Part IV-Uses of Funds'!S113</f>
        <v>0</v>
      </c>
      <c r="T511" s="2820"/>
      <c r="U511" s="2713"/>
      <c r="V511" s="2847">
        <f>'Part IV-Uses of Funds'!V113</f>
        <v>0</v>
      </c>
      <c r="W511" s="2848">
        <f>'Part IV-Uses of Funds'!W113</f>
        <v>0</v>
      </c>
      <c r="X511" s="2869"/>
    </row>
    <row r="512" spans="1:24">
      <c r="A512" s="2713"/>
      <c r="B512" s="2713" t="s">
        <v>1953</v>
      </c>
      <c r="C512" s="2713"/>
      <c r="D512" s="2713"/>
      <c r="E512" s="2713"/>
      <c r="F512" s="2828">
        <f>G512/G514</f>
        <v>0</v>
      </c>
      <c r="G512" s="2820">
        <f>'Part IV-Uses of Funds'!G114</f>
        <v>0</v>
      </c>
      <c r="H512" s="2820"/>
      <c r="I512" s="2713"/>
      <c r="J512" s="2820">
        <f>'Part IV-Uses of Funds'!J114</f>
        <v>0</v>
      </c>
      <c r="K512" s="2820"/>
      <c r="L512" s="2741"/>
      <c r="M512" s="2820">
        <f>'Part IV-Uses of Funds'!M114</f>
        <v>0</v>
      </c>
      <c r="N512" s="2820"/>
      <c r="O512" s="2713"/>
      <c r="P512" s="2820">
        <f>'Part IV-Uses of Funds'!P114</f>
        <v>0</v>
      </c>
      <c r="Q512" s="2820"/>
      <c r="R512" s="2713"/>
      <c r="S512" s="2820">
        <f>'Part IV-Uses of Funds'!S114</f>
        <v>0</v>
      </c>
      <c r="T512" s="2820"/>
      <c r="U512" s="2713"/>
      <c r="V512" s="2847">
        <f>'Part IV-Uses of Funds'!V114</f>
        <v>0</v>
      </c>
      <c r="W512" s="2869"/>
      <c r="X512" s="2869"/>
    </row>
    <row r="513" spans="1:24">
      <c r="A513" s="2713"/>
      <c r="B513" s="2713" t="s">
        <v>1945</v>
      </c>
      <c r="C513" s="2713"/>
      <c r="D513" s="2713"/>
      <c r="E513" s="2713"/>
      <c r="F513" s="2828">
        <f>G513/G514</f>
        <v>0.79999948718803404</v>
      </c>
      <c r="G513" s="2820">
        <f>'Part IV-Uses of Funds'!G115</f>
        <v>624010</v>
      </c>
      <c r="H513" s="2820"/>
      <c r="I513" s="2713"/>
      <c r="J513" s="2820">
        <f>'Part IV-Uses of Funds'!J115</f>
        <v>0</v>
      </c>
      <c r="K513" s="2820"/>
      <c r="L513" s="2741"/>
      <c r="M513" s="2820">
        <f>'Part IV-Uses of Funds'!M115</f>
        <v>159530</v>
      </c>
      <c r="N513" s="2820"/>
      <c r="O513" s="2713"/>
      <c r="P513" s="2820">
        <f>'Part IV-Uses of Funds'!P115</f>
        <v>464480</v>
      </c>
      <c r="Q513" s="2820"/>
      <c r="R513" s="2713"/>
      <c r="S513" s="2820">
        <f>'Part IV-Uses of Funds'!S115</f>
        <v>0</v>
      </c>
      <c r="T513" s="2820"/>
      <c r="U513" s="2713"/>
      <c r="V513" s="2847">
        <f>'Part IV-Uses of Funds'!V115</f>
        <v>0</v>
      </c>
      <c r="W513" s="2869"/>
      <c r="X513" s="2869"/>
    </row>
    <row r="514" spans="1:24">
      <c r="A514" s="2713"/>
      <c r="B514" s="2713"/>
      <c r="C514" s="2714" t="str">
        <f>IF(G514&lt;='DCA Underwriting Assumptions'!$Q$83,"","Developer Fee exceeds DCA Program Maximum !!!")</f>
        <v/>
      </c>
      <c r="D514" s="2713"/>
      <c r="E514" s="2713"/>
      <c r="F514" s="2850" t="s">
        <v>197</v>
      </c>
      <c r="G514" s="2820">
        <f>SUM(G511:H513)</f>
        <v>780013</v>
      </c>
      <c r="H514" s="2820"/>
      <c r="I514" s="2713"/>
      <c r="J514" s="2820">
        <f>SUM(J511:K513)</f>
        <v>0</v>
      </c>
      <c r="K514" s="2820"/>
      <c r="L514" s="2741"/>
      <c r="M514" s="2820">
        <f>SUM(M511:N513)</f>
        <v>199413</v>
      </c>
      <c r="N514" s="2820"/>
      <c r="O514" s="2713"/>
      <c r="P514" s="2820">
        <f>SUM(P511:Q513)</f>
        <v>580600</v>
      </c>
      <c r="Q514" s="2820"/>
      <c r="R514" s="2713"/>
      <c r="S514" s="2820">
        <f>SUM(S511:T513)</f>
        <v>0</v>
      </c>
      <c r="T514" s="2820"/>
      <c r="U514" s="2713"/>
      <c r="V514" s="2847">
        <f>SUM(V511:V513)</f>
        <v>0</v>
      </c>
      <c r="W514" s="2869"/>
      <c r="X514" s="2869"/>
    </row>
    <row r="515" spans="1:24">
      <c r="A515" s="2713"/>
      <c r="B515" s="2716" t="s">
        <v>1373</v>
      </c>
      <c r="C515" s="2713"/>
      <c r="D515" s="2713"/>
      <c r="E515" s="2713"/>
      <c r="F515" s="2713"/>
      <c r="G515" s="2713"/>
      <c r="H515" s="2713"/>
      <c r="I515" s="2713"/>
      <c r="J515" s="2740"/>
      <c r="K515" s="2740"/>
      <c r="L515" s="2713"/>
      <c r="M515" s="2740"/>
      <c r="N515" s="2740"/>
      <c r="O515" s="2851" t="str">
        <f>B515</f>
        <v>START-UP AND RESERVES</v>
      </c>
      <c r="P515" s="2740"/>
      <c r="Q515" s="2740"/>
      <c r="R515" s="2713"/>
      <c r="S515" s="2740"/>
      <c r="T515" s="2740"/>
      <c r="U515" s="2713"/>
      <c r="V515" s="2713"/>
      <c r="W515" s="2721" t="str">
        <f>B515</f>
        <v>START-UP AND RESERVES</v>
      </c>
      <c r="X515" s="2721"/>
    </row>
    <row r="516" spans="1:24">
      <c r="A516" s="2713"/>
      <c r="B516" s="2713" t="s">
        <v>262</v>
      </c>
      <c r="C516" s="2713"/>
      <c r="D516" s="2713"/>
      <c r="E516" s="2713"/>
      <c r="F516" s="2713"/>
      <c r="G516" s="2820">
        <f>'Part IV-Uses of Funds'!G118</f>
        <v>10666</v>
      </c>
      <c r="H516" s="2820"/>
      <c r="I516" s="2713"/>
      <c r="J516" s="2873"/>
      <c r="K516" s="2873"/>
      <c r="L516" s="2873"/>
      <c r="M516" s="2873"/>
      <c r="N516" s="2873"/>
      <c r="O516" s="2713"/>
      <c r="P516" s="2873"/>
      <c r="Q516" s="2873"/>
      <c r="R516" s="2713"/>
      <c r="S516" s="2820">
        <f>'Part IV-Uses of Funds'!S118</f>
        <v>10666</v>
      </c>
      <c r="T516" s="2820"/>
      <c r="U516" s="2713"/>
      <c r="V516" s="2847">
        <f>'Part IV-Uses of Funds'!V118</f>
        <v>0</v>
      </c>
      <c r="W516" s="2848">
        <f>'Part IV-Uses of Funds'!W118</f>
        <v>0</v>
      </c>
      <c r="X516" s="2869"/>
    </row>
    <row r="517" spans="1:24">
      <c r="A517" s="2713"/>
      <c r="B517" s="2713" t="s">
        <v>1611</v>
      </c>
      <c r="C517" s="2713"/>
      <c r="D517" s="2713"/>
      <c r="E517" s="2713"/>
      <c r="F517" s="2847">
        <f>+'Part VI-Revenues &amp; Expenses'!$P$178*('DCA Underwriting Assumptions'!$Q$96/12)</f>
        <v>36763.5</v>
      </c>
      <c r="G517" s="2820">
        <f>'Part IV-Uses of Funds'!G119</f>
        <v>36764</v>
      </c>
      <c r="H517" s="2820"/>
      <c r="I517" s="2713"/>
      <c r="J517" s="2872"/>
      <c r="K517" s="2872"/>
      <c r="L517" s="2741"/>
      <c r="M517" s="2872"/>
      <c r="N517" s="2872"/>
      <c r="O517" s="2713"/>
      <c r="P517" s="2872"/>
      <c r="Q517" s="2872"/>
      <c r="R517" s="2713"/>
      <c r="S517" s="2820">
        <f>'Part IV-Uses of Funds'!S119</f>
        <v>36764</v>
      </c>
      <c r="T517" s="2820"/>
      <c r="U517" s="2713"/>
      <c r="V517" s="2847">
        <f>'Part IV-Uses of Funds'!V119</f>
        <v>0</v>
      </c>
      <c r="W517" s="2869"/>
      <c r="X517" s="2869"/>
    </row>
    <row r="518" spans="1:24">
      <c r="A518" s="2713"/>
      <c r="B518" s="2713" t="s">
        <v>713</v>
      </c>
      <c r="C518" s="2713"/>
      <c r="D518" s="2713"/>
      <c r="E518" s="2713"/>
      <c r="F518" s="2875">
        <f>'Part VI-Revenues &amp; Expenses'!$P$178*('DCA Underwriting Assumptions'!$Q$95/12)+('Part VII-Pro Forma'!$B$23+'Part VII-Pro Forma'!$B$24+'Part VII-Pro Forma'!$B$25+'Part VII-Pro Forma'!$B$26)*'DCA Underwriting Assumptions'!$Q$94/(-12)</f>
        <v>92454.5</v>
      </c>
      <c r="G518" s="2820">
        <f>'Part IV-Uses of Funds'!G120</f>
        <v>92455</v>
      </c>
      <c r="H518" s="2820"/>
      <c r="I518" s="2713"/>
      <c r="J518" s="2873"/>
      <c r="K518" s="2873"/>
      <c r="L518" s="2873"/>
      <c r="M518" s="2873"/>
      <c r="N518" s="2873"/>
      <c r="O518" s="2713"/>
      <c r="P518" s="2873"/>
      <c r="Q518" s="2873"/>
      <c r="R518" s="2713"/>
      <c r="S518" s="2820">
        <f>'Part IV-Uses of Funds'!S120</f>
        <v>92455</v>
      </c>
      <c r="T518" s="2820"/>
      <c r="U518" s="2713"/>
      <c r="V518" s="2847">
        <f>'Part IV-Uses of Funds'!V120</f>
        <v>0</v>
      </c>
      <c r="W518" s="2869"/>
      <c r="X518" s="2869"/>
    </row>
    <row r="519" spans="1:24">
      <c r="A519" s="2713"/>
      <c r="B519" s="2713" t="s">
        <v>1303</v>
      </c>
      <c r="C519" s="2713"/>
      <c r="D519" s="2713"/>
      <c r="E519" s="2713"/>
      <c r="F519" s="2713"/>
      <c r="G519" s="2820">
        <f>'Part IV-Uses of Funds'!G121</f>
        <v>79000</v>
      </c>
      <c r="H519" s="2820"/>
      <c r="I519" s="2713"/>
      <c r="J519" s="2873"/>
      <c r="K519" s="2873"/>
      <c r="L519" s="2873"/>
      <c r="M519" s="2873"/>
      <c r="N519" s="2873"/>
      <c r="O519" s="2713"/>
      <c r="P519" s="2873"/>
      <c r="Q519" s="2873"/>
      <c r="R519" s="2713"/>
      <c r="S519" s="2820">
        <f>'Part IV-Uses of Funds'!S121</f>
        <v>79000</v>
      </c>
      <c r="T519" s="2820"/>
      <c r="U519" s="2713"/>
      <c r="V519" s="2847">
        <f>'Part IV-Uses of Funds'!V121</f>
        <v>0</v>
      </c>
      <c r="W519" s="2869"/>
      <c r="X519" s="2869"/>
    </row>
    <row r="520" spans="1:24">
      <c r="A520" s="2713"/>
      <c r="B520" s="2713" t="s">
        <v>1304</v>
      </c>
      <c r="C520" s="2713"/>
      <c r="D520" s="2713"/>
      <c r="E520" s="2876" t="s">
        <v>4361</v>
      </c>
      <c r="F520" s="2877">
        <f>G520/'Part VI-Revenues &amp; Expenses'!$M$62</f>
        <v>952.38095238095241</v>
      </c>
      <c r="G520" s="2820">
        <f>'Part IV-Uses of Funds'!G122</f>
        <v>40000</v>
      </c>
      <c r="H520" s="2820"/>
      <c r="I520" s="2713"/>
      <c r="J520" s="2820">
        <f>'Part IV-Uses of Funds'!J122</f>
        <v>0</v>
      </c>
      <c r="K520" s="2820"/>
      <c r="L520" s="2741"/>
      <c r="M520" s="2820">
        <f>'Part IV-Uses of Funds'!M122</f>
        <v>0</v>
      </c>
      <c r="N520" s="2820"/>
      <c r="O520" s="2713"/>
      <c r="P520" s="2820">
        <f>'Part IV-Uses of Funds'!P122</f>
        <v>40000</v>
      </c>
      <c r="Q520" s="2820"/>
      <c r="R520" s="2713"/>
      <c r="S520" s="2820">
        <f>'Part IV-Uses of Funds'!S122</f>
        <v>0</v>
      </c>
      <c r="T520" s="2820"/>
      <c r="U520" s="2713"/>
      <c r="V520" s="2847">
        <f>'Part IV-Uses of Funds'!V122</f>
        <v>0</v>
      </c>
      <c r="W520" s="2869"/>
      <c r="X520" s="2869"/>
    </row>
    <row r="521" spans="1:24" ht="12.75" customHeight="1">
      <c r="A521" s="2849" t="str">
        <f>IF(AND(G521&gt;0,OR(C521="",C521="&lt;Enter detailed description here; use Comments section if needed&gt;")),"X","")</f>
        <v/>
      </c>
      <c r="B521" s="2713" t="s">
        <v>780</v>
      </c>
      <c r="C521" s="2728" t="str">
        <f>'Part IV-Uses of Funds'!C123</f>
        <v>T&amp;I and Securtiy Deposit acquisition</v>
      </c>
      <c r="D521" s="2728"/>
      <c r="E521" s="2728"/>
      <c r="F521" s="2728"/>
      <c r="G521" s="2820">
        <f>'Part IV-Uses of Funds'!G123</f>
        <v>16629</v>
      </c>
      <c r="H521" s="2820"/>
      <c r="I521" s="2713"/>
      <c r="J521" s="2820">
        <f>'Part IV-Uses of Funds'!J123</f>
        <v>0</v>
      </c>
      <c r="K521" s="2820"/>
      <c r="L521" s="2741"/>
      <c r="M521" s="2820">
        <f>'Part IV-Uses of Funds'!M123</f>
        <v>0</v>
      </c>
      <c r="N521" s="2820"/>
      <c r="O521" s="2713"/>
      <c r="P521" s="2820">
        <f>'Part IV-Uses of Funds'!P123</f>
        <v>0</v>
      </c>
      <c r="Q521" s="2820"/>
      <c r="R521" s="2713"/>
      <c r="S521" s="2820">
        <f>'Part IV-Uses of Funds'!S123</f>
        <v>16629</v>
      </c>
      <c r="T521" s="2820"/>
      <c r="U521" s="2714" t="str">
        <f>IF(AND(G521&gt;0,OR(C521="",C521="&lt;Enter detailed description here; use Comments section if needed&gt;")),"NO DESCRIPTION PROVIDED - please enter detailed description in Other box at left; use Comments section below if needed.","")</f>
        <v/>
      </c>
      <c r="V521" s="2847">
        <f>'Part IV-Uses of Funds'!V123</f>
        <v>0</v>
      </c>
      <c r="W521" s="2869"/>
      <c r="X521" s="2869"/>
    </row>
    <row r="522" spans="1:24">
      <c r="A522" s="2713"/>
      <c r="B522" s="2878"/>
      <c r="C522" s="2713"/>
      <c r="D522" s="2713"/>
      <c r="E522" s="2713"/>
      <c r="F522" s="2850" t="s">
        <v>197</v>
      </c>
      <c r="G522" s="2820">
        <f>SUM(G516:H521)</f>
        <v>275514</v>
      </c>
      <c r="H522" s="2820"/>
      <c r="I522" s="2713"/>
      <c r="J522" s="2820">
        <f>SUM(J520:K521)</f>
        <v>0</v>
      </c>
      <c r="K522" s="2820"/>
      <c r="L522" s="2741"/>
      <c r="M522" s="2820">
        <f>SUM(M520:N521)</f>
        <v>0</v>
      </c>
      <c r="N522" s="2820"/>
      <c r="O522" s="2713"/>
      <c r="P522" s="2820">
        <f>SUM(P520:Q521)</f>
        <v>40000</v>
      </c>
      <c r="Q522" s="2820"/>
      <c r="R522" s="2713"/>
      <c r="S522" s="2820">
        <f>SUM(S516:T521)</f>
        <v>235514</v>
      </c>
      <c r="T522" s="2820"/>
      <c r="U522" s="2713"/>
      <c r="V522" s="2847">
        <f>SUM(V516:V521)</f>
        <v>0</v>
      </c>
      <c r="W522" s="2869"/>
      <c r="X522" s="2869"/>
    </row>
    <row r="523" spans="1:24">
      <c r="A523" s="2713"/>
      <c r="B523" s="2716" t="s">
        <v>640</v>
      </c>
      <c r="C523" s="2721"/>
      <c r="D523" s="2713"/>
      <c r="E523" s="2713"/>
      <c r="F523" s="2713"/>
      <c r="G523" s="2713"/>
      <c r="H523" s="2879"/>
      <c r="I523" s="2879"/>
      <c r="J523" s="2740"/>
      <c r="K523" s="2740"/>
      <c r="L523" s="2713"/>
      <c r="M523" s="2740"/>
      <c r="N523" s="2740"/>
      <c r="O523" s="2851" t="str">
        <f>B523</f>
        <v>OTHER COSTS</v>
      </c>
      <c r="P523" s="2740"/>
      <c r="Q523" s="2740"/>
      <c r="R523" s="2713"/>
      <c r="S523" s="2740"/>
      <c r="T523" s="2740"/>
      <c r="U523" s="2713"/>
      <c r="V523" s="2713"/>
      <c r="W523" s="2721" t="str">
        <f>B523</f>
        <v>OTHER COSTS</v>
      </c>
      <c r="X523" s="2721"/>
    </row>
    <row r="524" spans="1:24">
      <c r="A524" s="2713"/>
      <c r="B524" s="2713" t="s">
        <v>641</v>
      </c>
      <c r="C524" s="2721"/>
      <c r="D524" s="2713"/>
      <c r="E524" s="2713"/>
      <c r="F524" s="2713"/>
      <c r="G524" s="2820">
        <f>'Part IV-Uses of Funds'!G126</f>
        <v>121800</v>
      </c>
      <c r="H524" s="2820"/>
      <c r="I524" s="2713"/>
      <c r="J524" s="2820">
        <f>'Part IV-Uses of Funds'!J126</f>
        <v>0</v>
      </c>
      <c r="K524" s="2820"/>
      <c r="L524" s="2851"/>
      <c r="M524" s="2820">
        <f>'Part IV-Uses of Funds'!M126</f>
        <v>0</v>
      </c>
      <c r="N524" s="2820"/>
      <c r="O524" s="2713"/>
      <c r="P524" s="2820">
        <f>'Part IV-Uses of Funds'!P126</f>
        <v>121800</v>
      </c>
      <c r="Q524" s="2820"/>
      <c r="R524" s="2713"/>
      <c r="S524" s="2820">
        <f>'Part IV-Uses of Funds'!S126</f>
        <v>0</v>
      </c>
      <c r="T524" s="2820"/>
      <c r="U524" s="2713"/>
      <c r="V524" s="2847">
        <f>'Part IV-Uses of Funds'!V126</f>
        <v>0</v>
      </c>
      <c r="W524" s="2848">
        <f>'Part IV-Uses of Funds'!W126</f>
        <v>0</v>
      </c>
      <c r="X524" s="2869"/>
    </row>
    <row r="525" spans="1:24" ht="12.75" customHeight="1">
      <c r="A525" s="2849" t="str">
        <f>IF(AND(G525&gt;0,OR(C525="",C525="&lt;Enter detailed description here; use Comments section if needed&gt;")),"X","")</f>
        <v/>
      </c>
      <c r="B525" s="2713" t="s">
        <v>780</v>
      </c>
      <c r="C525" s="2728" t="str">
        <f>'Part IV-Uses of Funds'!C127</f>
        <v>&lt;Enter detailed description here; use Comments section if needed&gt;</v>
      </c>
      <c r="D525" s="2728"/>
      <c r="E525" s="2728"/>
      <c r="F525" s="2728"/>
      <c r="G525" s="2820">
        <f>'Part IV-Uses of Funds'!G127</f>
        <v>0</v>
      </c>
      <c r="H525" s="2820"/>
      <c r="I525" s="2713"/>
      <c r="J525" s="2820">
        <f>'Part IV-Uses of Funds'!J127</f>
        <v>0</v>
      </c>
      <c r="K525" s="2820"/>
      <c r="L525" s="2741"/>
      <c r="M525" s="2820">
        <f>'Part IV-Uses of Funds'!M127</f>
        <v>0</v>
      </c>
      <c r="N525" s="2820"/>
      <c r="O525" s="2713"/>
      <c r="P525" s="2820">
        <f>'Part IV-Uses of Funds'!P127</f>
        <v>0</v>
      </c>
      <c r="Q525" s="2820"/>
      <c r="R525" s="2713"/>
      <c r="S525" s="2820">
        <f>'Part IV-Uses of Funds'!S127</f>
        <v>0</v>
      </c>
      <c r="T525" s="2820"/>
      <c r="U525" s="2714" t="str">
        <f>IF(AND(G525&gt;0,OR(C525="",C525="&lt;Enter detailed description here; use Comments section if needed&gt;")),"NO DESCRIPTION PROVIDED - please enter detailed description in Other box at left; use Comments section below if needed.","")</f>
        <v/>
      </c>
      <c r="V525" s="2847">
        <f>'Part IV-Uses of Funds'!V127</f>
        <v>0</v>
      </c>
      <c r="W525" s="2869"/>
      <c r="X525" s="2869"/>
    </row>
    <row r="526" spans="1:24">
      <c r="A526" s="2713"/>
      <c r="B526" s="2713"/>
      <c r="C526" s="2721"/>
      <c r="D526" s="2713"/>
      <c r="E526" s="2713"/>
      <c r="F526" s="2850" t="s">
        <v>197</v>
      </c>
      <c r="G526" s="2820">
        <f>SUM(G524:H525)</f>
        <v>121800</v>
      </c>
      <c r="H526" s="2820"/>
      <c r="I526" s="2713"/>
      <c r="J526" s="2820">
        <f>SUM(J524:K525)</f>
        <v>0</v>
      </c>
      <c r="K526" s="2820"/>
      <c r="L526" s="2741"/>
      <c r="M526" s="2820">
        <f>SUM(M524:N525)</f>
        <v>0</v>
      </c>
      <c r="N526" s="2820"/>
      <c r="O526" s="2713"/>
      <c r="P526" s="2820">
        <f>SUM(P524:Q525)</f>
        <v>121800</v>
      </c>
      <c r="Q526" s="2820"/>
      <c r="R526" s="2713"/>
      <c r="S526" s="2820">
        <f>SUM(S524:T525)</f>
        <v>0</v>
      </c>
      <c r="T526" s="2820"/>
      <c r="U526" s="2713"/>
      <c r="V526" s="2847">
        <f>SUM(V524:V525)</f>
        <v>0</v>
      </c>
      <c r="W526" s="2869"/>
      <c r="X526" s="2869"/>
    </row>
    <row r="527" spans="1:24">
      <c r="A527" s="2713"/>
      <c r="B527" s="2713"/>
      <c r="C527" s="2721"/>
      <c r="D527" s="2713"/>
      <c r="E527" s="2713"/>
      <c r="F527" s="2713"/>
      <c r="G527" s="2713"/>
      <c r="H527" s="2879"/>
      <c r="I527" s="2879"/>
      <c r="J527" s="2713"/>
      <c r="K527" s="2713"/>
      <c r="L527" s="2713"/>
      <c r="M527" s="2713"/>
      <c r="N527" s="2713"/>
      <c r="O527" s="2713"/>
      <c r="P527" s="2713"/>
      <c r="Q527" s="2713"/>
      <c r="R527" s="2713"/>
      <c r="S527" s="2713"/>
      <c r="T527" s="2713"/>
      <c r="U527" s="2713"/>
      <c r="V527" s="2713"/>
      <c r="W527" s="2869"/>
      <c r="X527" s="2869"/>
    </row>
    <row r="528" spans="1:24">
      <c r="A528" s="2713"/>
      <c r="B528" s="2714" t="s">
        <v>4592</v>
      </c>
      <c r="C528" s="2713"/>
      <c r="D528" s="2713"/>
      <c r="E528" s="2713"/>
      <c r="F528" s="2713"/>
      <c r="G528" s="2880">
        <f>G415+G421+G425+G431+G436+G439+G445+G462+G475+G481+G489+G503+G509+G514+G522+G526</f>
        <v>6245106</v>
      </c>
      <c r="H528" s="2880"/>
      <c r="I528" s="2713"/>
      <c r="J528" s="2880">
        <f>J415+J421+J425+J431+J436+J439+J445+J462+J475+J481+J489+J503+J509+J514+J522+J526</f>
        <v>0</v>
      </c>
      <c r="K528" s="2880"/>
      <c r="L528" s="2713"/>
      <c r="M528" s="2880">
        <f>M415+M421+M425+M431+M436+M439+M445+M462+M475+M481+M489+M503+M509+M514+M522+M526</f>
        <v>1528833</v>
      </c>
      <c r="N528" s="2880"/>
      <c r="O528" s="2713"/>
      <c r="P528" s="2880">
        <f>P415+P421+P425+P431+P436+P439+P445+P462+P475+P481+P489+P503+P509+P514+P522+P526</f>
        <v>4190183</v>
      </c>
      <c r="Q528" s="2880"/>
      <c r="R528" s="2713"/>
      <c r="S528" s="2880">
        <f>S415+S421+S425+S431+S436+S439+S445+S462+S475+S481+S489+S503+S509+S514+S522+S526</f>
        <v>526090</v>
      </c>
      <c r="T528" s="2880"/>
      <c r="U528" s="2713"/>
      <c r="V528" s="2847">
        <f>V415+V421+V425+V431+V436+V439+V445+V462+V475+V481+V489+V503+V509+V514+V522+V526</f>
        <v>0</v>
      </c>
      <c r="W528" s="2869"/>
      <c r="X528" s="2869"/>
    </row>
    <row r="529" spans="1:24">
      <c r="A529" s="2713"/>
      <c r="B529" s="2713"/>
      <c r="C529" s="2721"/>
      <c r="D529" s="2713"/>
      <c r="E529" s="2713"/>
      <c r="F529" s="2713"/>
      <c r="G529" s="2713"/>
      <c r="H529" s="2879"/>
      <c r="I529" s="2879"/>
      <c r="J529" s="2713"/>
      <c r="K529" s="2713"/>
      <c r="L529" s="2713"/>
      <c r="M529" s="2713"/>
      <c r="N529" s="2713"/>
      <c r="O529" s="2713"/>
      <c r="P529" s="2713"/>
      <c r="Q529" s="2713"/>
      <c r="R529" s="2713"/>
      <c r="S529" s="2713"/>
      <c r="T529" s="2713"/>
      <c r="U529" s="2713"/>
      <c r="V529" s="2713"/>
      <c r="W529" s="2721"/>
      <c r="X529" s="2721"/>
    </row>
    <row r="530" spans="1:24">
      <c r="A530" s="2713"/>
      <c r="B530" s="2881" t="s">
        <v>4593</v>
      </c>
      <c r="C530" s="2860"/>
      <c r="D530" s="2882">
        <f>G528/'Part VI-Revenues &amp; Expenses'!$M$62</f>
        <v>148693</v>
      </c>
      <c r="E530" s="2882"/>
      <c r="F530" s="2871" t="s">
        <v>3034</v>
      </c>
      <c r="G530" s="2882">
        <f>G528/'Part VI-Revenues &amp; Expenses'!$M$120</f>
        <v>171.7056446069671</v>
      </c>
      <c r="H530" s="2882"/>
      <c r="I530" s="2883"/>
      <c r="J530" s="2713"/>
      <c r="K530" s="2713"/>
      <c r="L530" s="2713"/>
      <c r="M530" s="2713"/>
      <c r="N530" s="2713"/>
      <c r="O530" s="2713"/>
      <c r="P530" s="2713"/>
      <c r="Q530" s="2713"/>
      <c r="R530" s="2713"/>
      <c r="S530" s="2713"/>
      <c r="T530" s="2713"/>
      <c r="U530" s="2713"/>
      <c r="V530" s="2713"/>
      <c r="W530" s="2721"/>
      <c r="X530" s="2721"/>
    </row>
    <row r="531" spans="1:24">
      <c r="A531" s="2713"/>
      <c r="B531" s="2713"/>
      <c r="C531" s="2713"/>
      <c r="D531" s="2713"/>
      <c r="E531" s="2713"/>
      <c r="F531" s="2713"/>
      <c r="G531" s="2713"/>
      <c r="H531" s="2713"/>
      <c r="I531" s="2883"/>
      <c r="J531" s="2713"/>
      <c r="K531" s="2713"/>
      <c r="L531" s="2883"/>
      <c r="M531" s="2713"/>
      <c r="N531" s="2713"/>
      <c r="O531" s="2713"/>
      <c r="P531" s="2713"/>
      <c r="Q531" s="2713"/>
      <c r="R531" s="2713"/>
      <c r="S531" s="2713"/>
      <c r="T531" s="2713"/>
      <c r="U531" s="2713"/>
      <c r="V531" s="2713"/>
      <c r="W531" s="2721"/>
      <c r="X531" s="2721"/>
    </row>
    <row r="532" spans="1:24">
      <c r="A532" s="2713"/>
      <c r="B532" s="2713"/>
      <c r="C532" s="2713"/>
      <c r="D532" s="2721"/>
      <c r="E532" s="2721"/>
      <c r="F532" s="2713"/>
      <c r="G532" s="2713"/>
      <c r="H532" s="2713"/>
      <c r="I532" s="2879"/>
      <c r="J532" s="2879"/>
      <c r="K532" s="2884"/>
      <c r="L532" s="2721"/>
      <c r="M532" s="2713"/>
      <c r="N532" s="2713"/>
      <c r="O532" s="2713"/>
      <c r="P532" s="2713"/>
      <c r="Q532" s="2713"/>
      <c r="R532" s="2713"/>
      <c r="S532" s="2713"/>
      <c r="T532" s="2713"/>
      <c r="U532" s="2713"/>
      <c r="V532" s="2713"/>
      <c r="W532" s="2721"/>
      <c r="X532" s="2721"/>
    </row>
    <row r="533" spans="1:24" ht="16.5">
      <c r="A533" s="2843" t="s">
        <v>779</v>
      </c>
      <c r="B533" s="2885" t="s">
        <v>1497</v>
      </c>
      <c r="C533" s="2712"/>
      <c r="D533" s="2741"/>
      <c r="E533" s="2741"/>
      <c r="F533" s="2741"/>
      <c r="G533" s="2713"/>
      <c r="H533" s="2713"/>
      <c r="I533" s="2886"/>
      <c r="J533" s="2844" t="s">
        <v>283</v>
      </c>
      <c r="K533" s="2844"/>
      <c r="L533" s="2713"/>
      <c r="M533" s="2844" t="s">
        <v>102</v>
      </c>
      <c r="N533" s="2844"/>
      <c r="O533" s="2713"/>
      <c r="P533" s="2844" t="s">
        <v>284</v>
      </c>
      <c r="Q533" s="2844"/>
      <c r="R533" s="2713"/>
      <c r="S533" s="2713"/>
      <c r="T533" s="2713"/>
      <c r="U533" s="2713"/>
      <c r="V533" s="2713"/>
      <c r="W533" s="2868" t="str">
        <f>B533</f>
        <v>TAX CREDIT CALCULATION - BASIS METHOD</v>
      </c>
      <c r="X533" s="2721"/>
    </row>
    <row r="534" spans="1:24">
      <c r="A534" s="2713"/>
      <c r="B534" s="2714" t="s">
        <v>2144</v>
      </c>
      <c r="C534" s="2713"/>
      <c r="D534" s="2741"/>
      <c r="E534" s="2741"/>
      <c r="F534" s="2713"/>
      <c r="G534" s="2713"/>
      <c r="H534" s="2713"/>
      <c r="I534" s="2886"/>
      <c r="J534" s="2844"/>
      <c r="K534" s="2844"/>
      <c r="L534" s="2712"/>
      <c r="M534" s="2844"/>
      <c r="N534" s="2844"/>
      <c r="O534" s="2713"/>
      <c r="P534" s="2844"/>
      <c r="Q534" s="2844"/>
      <c r="R534" s="2713"/>
      <c r="S534" s="2713"/>
      <c r="T534" s="2713"/>
      <c r="U534" s="2713"/>
      <c r="V534" s="2713"/>
      <c r="W534" s="2721" t="str">
        <f>B534</f>
        <v>Subtractions From Eligible Basis</v>
      </c>
      <c r="X534" s="2763"/>
    </row>
    <row r="535" spans="1:24">
      <c r="A535" s="2713"/>
      <c r="B535" s="2713"/>
      <c r="C535" s="2713"/>
      <c r="D535" s="2721"/>
      <c r="E535" s="2721"/>
      <c r="F535" s="2713"/>
      <c r="G535" s="2713"/>
      <c r="H535" s="2713"/>
      <c r="I535" s="2879"/>
      <c r="J535" s="2879"/>
      <c r="K535" s="2884"/>
      <c r="L535" s="2721"/>
      <c r="M535" s="2713"/>
      <c r="N535" s="2713"/>
      <c r="O535" s="2713"/>
      <c r="P535" s="2713"/>
      <c r="Q535" s="2713"/>
      <c r="R535" s="2713"/>
      <c r="S535" s="2713"/>
      <c r="T535" s="2713"/>
      <c r="U535" s="2713"/>
      <c r="V535" s="2713"/>
      <c r="W535" s="2721"/>
      <c r="X535" s="2721"/>
    </row>
    <row r="536" spans="1:24">
      <c r="A536" s="2713"/>
      <c r="B536" s="2721" t="s">
        <v>146</v>
      </c>
      <c r="C536" s="2713"/>
      <c r="D536" s="2713"/>
      <c r="E536" s="2713"/>
      <c r="F536" s="2713"/>
      <c r="G536" s="2713"/>
      <c r="H536" s="2713"/>
      <c r="I536" s="2886"/>
      <c r="J536" s="2820">
        <f>'Part IV-Uses of Funds'!J138</f>
        <v>0</v>
      </c>
      <c r="K536" s="2820"/>
      <c r="L536" s="2713"/>
      <c r="M536" s="2713"/>
      <c r="N536" s="2713"/>
      <c r="O536" s="2713"/>
      <c r="P536" s="2820">
        <f>'Part IV-Uses of Funds'!P138</f>
        <v>0</v>
      </c>
      <c r="Q536" s="2820"/>
      <c r="R536" s="2713"/>
      <c r="S536" s="2713"/>
      <c r="T536" s="2713"/>
      <c r="U536" s="2713"/>
      <c r="V536" s="2847">
        <f>'Part IV-Uses of Funds'!V138</f>
        <v>0</v>
      </c>
      <c r="W536" s="2848">
        <f>'Part IV-Uses of Funds'!W138</f>
        <v>0</v>
      </c>
      <c r="X536" s="2869"/>
    </row>
    <row r="537" spans="1:24">
      <c r="A537" s="2713"/>
      <c r="B537" s="2713" t="s">
        <v>2252</v>
      </c>
      <c r="C537" s="2713"/>
      <c r="D537" s="2713"/>
      <c r="E537" s="2713"/>
      <c r="F537" s="2713"/>
      <c r="G537" s="2713"/>
      <c r="H537" s="2713"/>
      <c r="I537" s="2886"/>
      <c r="J537" s="2820">
        <f>'Part IV-Uses of Funds'!J139</f>
        <v>0</v>
      </c>
      <c r="K537" s="2820"/>
      <c r="L537" s="2713"/>
      <c r="M537" s="2713"/>
      <c r="N537" s="2713"/>
      <c r="O537" s="2713"/>
      <c r="P537" s="2820">
        <f>'Part IV-Uses of Funds'!P139</f>
        <v>0</v>
      </c>
      <c r="Q537" s="2820"/>
      <c r="R537" s="2713"/>
      <c r="S537" s="2713"/>
      <c r="T537" s="2713"/>
      <c r="U537" s="2713"/>
      <c r="V537" s="2847">
        <f>'Part IV-Uses of Funds'!V139</f>
        <v>0</v>
      </c>
      <c r="W537" s="2869"/>
      <c r="X537" s="2869"/>
    </row>
    <row r="538" spans="1:24">
      <c r="A538" s="2713"/>
      <c r="B538" s="2713" t="s">
        <v>1955</v>
      </c>
      <c r="C538" s="2713"/>
      <c r="D538" s="2713"/>
      <c r="E538" s="2713"/>
      <c r="F538" s="2713"/>
      <c r="G538" s="2713"/>
      <c r="H538" s="2713"/>
      <c r="I538" s="2886"/>
      <c r="J538" s="2820">
        <f>'Part IV-Uses of Funds'!J140</f>
        <v>0</v>
      </c>
      <c r="K538" s="2820"/>
      <c r="L538" s="2713"/>
      <c r="M538" s="2713"/>
      <c r="N538" s="2713"/>
      <c r="O538" s="2713"/>
      <c r="P538" s="2820">
        <f>'Part IV-Uses of Funds'!P140</f>
        <v>0</v>
      </c>
      <c r="Q538" s="2820"/>
      <c r="R538" s="2713"/>
      <c r="S538" s="2713"/>
      <c r="T538" s="2713"/>
      <c r="U538" s="2713"/>
      <c r="V538" s="2847">
        <f>'Part IV-Uses of Funds'!V140</f>
        <v>0</v>
      </c>
      <c r="W538" s="2869"/>
      <c r="X538" s="2869"/>
    </row>
    <row r="539" spans="1:24">
      <c r="A539" s="2713"/>
      <c r="B539" s="2713" t="s">
        <v>1956</v>
      </c>
      <c r="C539" s="2713"/>
      <c r="D539" s="2713"/>
      <c r="E539" s="2713"/>
      <c r="F539" s="2713"/>
      <c r="G539" s="2713"/>
      <c r="H539" s="2713"/>
      <c r="I539" s="2886"/>
      <c r="J539" s="2820">
        <f>'Part IV-Uses of Funds'!J141</f>
        <v>0</v>
      </c>
      <c r="K539" s="2820"/>
      <c r="L539" s="2713"/>
      <c r="M539" s="2713"/>
      <c r="N539" s="2713"/>
      <c r="O539" s="2713"/>
      <c r="P539" s="2820">
        <f>'Part IV-Uses of Funds'!P141</f>
        <v>0</v>
      </c>
      <c r="Q539" s="2820"/>
      <c r="R539" s="2713"/>
      <c r="S539" s="2713"/>
      <c r="T539" s="2713"/>
      <c r="U539" s="2713"/>
      <c r="V539" s="2847">
        <f>'Part IV-Uses of Funds'!V141</f>
        <v>0</v>
      </c>
      <c r="W539" s="2869"/>
      <c r="X539" s="2869"/>
    </row>
    <row r="540" spans="1:24">
      <c r="A540" s="2713"/>
      <c r="B540" s="2713" t="s">
        <v>265</v>
      </c>
      <c r="C540" s="2713"/>
      <c r="D540" s="2713"/>
      <c r="E540" s="2713"/>
      <c r="F540" s="2713"/>
      <c r="G540" s="2713"/>
      <c r="H540" s="2713"/>
      <c r="I540" s="2886"/>
      <c r="J540" s="2820">
        <f>'Part IV-Uses of Funds'!J142</f>
        <v>0</v>
      </c>
      <c r="K540" s="2820"/>
      <c r="L540" s="2713"/>
      <c r="M540" s="2713"/>
      <c r="N540" s="2713"/>
      <c r="O540" s="2713"/>
      <c r="P540" s="2820">
        <f>'Part IV-Uses of Funds'!P142</f>
        <v>0</v>
      </c>
      <c r="Q540" s="2820"/>
      <c r="R540" s="2713"/>
      <c r="S540" s="2713"/>
      <c r="T540" s="2713"/>
      <c r="U540" s="2713"/>
      <c r="V540" s="2847">
        <f>'Part IV-Uses of Funds'!V142</f>
        <v>0</v>
      </c>
      <c r="W540" s="2869"/>
      <c r="X540" s="2869"/>
    </row>
    <row r="541" spans="1:24">
      <c r="A541" s="2713"/>
      <c r="B541" s="2713" t="s">
        <v>1678</v>
      </c>
      <c r="C541" s="2728" t="str">
        <f>'Part IV-Uses of Funds'!C143</f>
        <v>&lt;Enter detailed description here; use Comments section if needed&gt;</v>
      </c>
      <c r="D541" s="2728"/>
      <c r="E541" s="2728"/>
      <c r="F541" s="2728"/>
      <c r="G541" s="2728"/>
      <c r="H541" s="2728"/>
      <c r="I541" s="2728"/>
      <c r="J541" s="2820">
        <f>'Part IV-Uses of Funds'!J143</f>
        <v>0</v>
      </c>
      <c r="K541" s="2820"/>
      <c r="L541" s="2713"/>
      <c r="M541" s="2713"/>
      <c r="N541" s="2713"/>
      <c r="O541" s="2713"/>
      <c r="P541" s="2820">
        <f>'Part IV-Uses of Funds'!P143</f>
        <v>0</v>
      </c>
      <c r="Q541" s="2820"/>
      <c r="R541" s="2713"/>
      <c r="S541" s="2713"/>
      <c r="T541" s="2713"/>
      <c r="U541" s="2713"/>
      <c r="V541" s="2847">
        <f>'Part IV-Uses of Funds'!V143</f>
        <v>0</v>
      </c>
      <c r="W541" s="2869"/>
      <c r="X541" s="2869"/>
    </row>
    <row r="542" spans="1:24">
      <c r="A542" s="2713"/>
      <c r="B542" s="2716" t="s">
        <v>1957</v>
      </c>
      <c r="C542" s="2739"/>
      <c r="D542" s="2713"/>
      <c r="E542" s="2713"/>
      <c r="F542" s="2713"/>
      <c r="G542" s="2713"/>
      <c r="H542" s="2713"/>
      <c r="I542" s="2713"/>
      <c r="J542" s="2839">
        <f>SUM(J536:K541)</f>
        <v>0</v>
      </c>
      <c r="K542" s="2839"/>
      <c r="L542" s="2713"/>
      <c r="M542" s="2713"/>
      <c r="N542" s="2713"/>
      <c r="O542" s="2713"/>
      <c r="P542" s="2839">
        <f>SUM(P536:Q541)</f>
        <v>0</v>
      </c>
      <c r="Q542" s="2839"/>
      <c r="R542" s="2713"/>
      <c r="S542" s="2713"/>
      <c r="T542" s="2713"/>
      <c r="U542" s="2713"/>
      <c r="V542" s="2847">
        <f>SUM(V536:V541)</f>
        <v>0</v>
      </c>
      <c r="W542" s="2869"/>
      <c r="X542" s="2869"/>
    </row>
    <row r="543" spans="1:24">
      <c r="A543" s="2713"/>
      <c r="B543" s="2713"/>
      <c r="C543" s="2713"/>
      <c r="D543" s="2713"/>
      <c r="E543" s="2713"/>
      <c r="F543" s="2713"/>
      <c r="G543" s="2713"/>
      <c r="H543" s="2713"/>
      <c r="I543" s="2713"/>
      <c r="J543" s="2713"/>
      <c r="K543" s="2713"/>
      <c r="L543" s="2713"/>
      <c r="M543" s="2713"/>
      <c r="N543" s="2713"/>
      <c r="O543" s="2713"/>
      <c r="P543" s="2713"/>
      <c r="Q543" s="2713"/>
      <c r="R543" s="2713"/>
      <c r="S543" s="2713"/>
      <c r="T543" s="2713"/>
      <c r="U543" s="2713"/>
      <c r="V543" s="2713"/>
      <c r="W543" s="2721"/>
      <c r="X543" s="2721"/>
    </row>
    <row r="544" spans="1:24">
      <c r="A544" s="2713"/>
      <c r="B544" s="2716" t="s">
        <v>2449</v>
      </c>
      <c r="C544" s="2713"/>
      <c r="D544" s="2713"/>
      <c r="E544" s="2713"/>
      <c r="F544" s="2713"/>
      <c r="G544" s="2713"/>
      <c r="H544" s="2713"/>
      <c r="I544" s="2713"/>
      <c r="J544" s="2713"/>
      <c r="K544" s="2713"/>
      <c r="L544" s="2713"/>
      <c r="M544" s="2713"/>
      <c r="N544" s="2713"/>
      <c r="O544" s="2713"/>
      <c r="P544" s="2713"/>
      <c r="Q544" s="2713"/>
      <c r="R544" s="2713"/>
      <c r="S544" s="2713"/>
      <c r="T544" s="2713"/>
      <c r="U544" s="2713"/>
      <c r="V544" s="2713"/>
      <c r="W544" s="2721" t="str">
        <f>B544</f>
        <v>Eligible Basis Calculation</v>
      </c>
      <c r="X544" s="2721"/>
    </row>
    <row r="545" spans="1:24">
      <c r="A545" s="2713"/>
      <c r="B545" s="2713" t="s">
        <v>1877</v>
      </c>
      <c r="C545" s="2713"/>
      <c r="D545" s="2713"/>
      <c r="E545" s="2713"/>
      <c r="F545" s="2713"/>
      <c r="G545" s="2713"/>
      <c r="H545" s="2713"/>
      <c r="I545" s="2713"/>
      <c r="J545" s="2887">
        <f>J528</f>
        <v>0</v>
      </c>
      <c r="K545" s="2887"/>
      <c r="L545" s="2713"/>
      <c r="M545" s="2887">
        <f>M528</f>
        <v>1528833</v>
      </c>
      <c r="N545" s="2887"/>
      <c r="O545" s="2713"/>
      <c r="P545" s="2887">
        <f>P528</f>
        <v>4190183</v>
      </c>
      <c r="Q545" s="2887"/>
      <c r="R545" s="2713"/>
      <c r="S545" s="2713"/>
      <c r="T545" s="2713"/>
      <c r="U545" s="2713"/>
      <c r="V545" s="2847"/>
      <c r="W545" s="2848">
        <f>'Part IV-Uses of Funds'!W147</f>
        <v>0</v>
      </c>
      <c r="X545" s="2869"/>
    </row>
    <row r="546" spans="1:24">
      <c r="A546" s="2713"/>
      <c r="B546" s="2713" t="s">
        <v>2326</v>
      </c>
      <c r="C546" s="2713"/>
      <c r="D546" s="2713"/>
      <c r="E546" s="2713"/>
      <c r="F546" s="2713"/>
      <c r="G546" s="2713"/>
      <c r="H546" s="2713"/>
      <c r="I546" s="2713"/>
      <c r="J546" s="2887">
        <f>J542</f>
        <v>0</v>
      </c>
      <c r="K546" s="2887"/>
      <c r="L546" s="2713"/>
      <c r="M546" s="2887"/>
      <c r="N546" s="2887"/>
      <c r="O546" s="2713"/>
      <c r="P546" s="2887">
        <f>P542</f>
        <v>0</v>
      </c>
      <c r="Q546" s="2887"/>
      <c r="R546" s="2713"/>
      <c r="S546" s="2713"/>
      <c r="T546" s="2713"/>
      <c r="U546" s="2713"/>
      <c r="V546" s="2847"/>
      <c r="W546" s="2869"/>
      <c r="X546" s="2869"/>
    </row>
    <row r="547" spans="1:24">
      <c r="A547" s="2713"/>
      <c r="B547" s="2713" t="s">
        <v>2327</v>
      </c>
      <c r="C547" s="2713"/>
      <c r="D547" s="2713"/>
      <c r="E547" s="2713"/>
      <c r="F547" s="2713"/>
      <c r="G547" s="2713"/>
      <c r="H547" s="2713"/>
      <c r="I547" s="2713"/>
      <c r="J547" s="2887">
        <f>J545-J546</f>
        <v>0</v>
      </c>
      <c r="K547" s="2887"/>
      <c r="L547" s="2713"/>
      <c r="M547" s="2887">
        <f>M545</f>
        <v>1528833</v>
      </c>
      <c r="N547" s="2887"/>
      <c r="O547" s="2713"/>
      <c r="P547" s="2887">
        <f>P545-P546</f>
        <v>4190183</v>
      </c>
      <c r="Q547" s="2887"/>
      <c r="R547" s="2713"/>
      <c r="S547" s="2713"/>
      <c r="T547" s="2713"/>
      <c r="U547" s="2713"/>
      <c r="V547" s="2847"/>
      <c r="W547" s="2869"/>
      <c r="X547" s="2869"/>
    </row>
    <row r="548" spans="1:24">
      <c r="A548" s="2713"/>
      <c r="B548" s="2713" t="s">
        <v>1560</v>
      </c>
      <c r="C548" s="2713"/>
      <c r="D548" s="2713"/>
      <c r="E548" s="2713"/>
      <c r="F548" s="2713"/>
      <c r="G548" s="2717" t="s">
        <v>1798</v>
      </c>
      <c r="H548" s="2727" t="str">
        <f>'Part IV-Uses of Funds'!H150</f>
        <v>State Boost</v>
      </c>
      <c r="I548" s="2727"/>
      <c r="J548" s="2888">
        <f>'Part IV-Uses of Funds'!J150</f>
        <v>0</v>
      </c>
      <c r="K548" s="2888"/>
      <c r="L548" s="2713"/>
      <c r="M548" s="2888"/>
      <c r="N548" s="2888"/>
      <c r="O548" s="2713"/>
      <c r="P548" s="2888">
        <f>'Part IV-Uses of Funds'!P150</f>
        <v>1.1000000000000001</v>
      </c>
      <c r="Q548" s="2888"/>
      <c r="R548" s="2713"/>
      <c r="S548" s="2713"/>
      <c r="T548" s="2713"/>
      <c r="U548" s="2713"/>
      <c r="V548" s="2847"/>
      <c r="W548" s="2869"/>
      <c r="X548" s="2869"/>
    </row>
    <row r="549" spans="1:24">
      <c r="A549" s="2713"/>
      <c r="B549" s="2713" t="s">
        <v>2154</v>
      </c>
      <c r="C549" s="2713"/>
      <c r="D549" s="2713"/>
      <c r="E549" s="2713"/>
      <c r="F549" s="2713"/>
      <c r="G549" s="2713"/>
      <c r="H549" s="2713"/>
      <c r="I549" s="2713"/>
      <c r="J549" s="2887">
        <f>J547*J548</f>
        <v>0</v>
      </c>
      <c r="K549" s="2887"/>
      <c r="L549" s="2713"/>
      <c r="M549" s="2887">
        <f>+M547</f>
        <v>1528833</v>
      </c>
      <c r="N549" s="2887"/>
      <c r="O549" s="2713"/>
      <c r="P549" s="2887">
        <f>P547*P548</f>
        <v>4609201.3000000007</v>
      </c>
      <c r="Q549" s="2887"/>
      <c r="R549" s="2713"/>
      <c r="S549" s="2713"/>
      <c r="T549" s="2713"/>
      <c r="U549" s="2713"/>
      <c r="V549" s="2847"/>
      <c r="W549" s="2869"/>
      <c r="X549" s="2869"/>
    </row>
    <row r="550" spans="1:24">
      <c r="A550" s="2713"/>
      <c r="B550" s="2713" t="s">
        <v>2668</v>
      </c>
      <c r="C550" s="2713"/>
      <c r="D550" s="2713"/>
      <c r="E550" s="2713"/>
      <c r="F550" s="2713"/>
      <c r="G550" s="2713"/>
      <c r="H550" s="2713"/>
      <c r="I550" s="2713"/>
      <c r="J550" s="2889">
        <f>MIN('Part VI-Revenues &amp; Expenses'!$M$58/'Part VI-Revenues &amp; Expenses'!$M$60,'Part VI-Revenues &amp; Expenses'!$M$116/'Part VI-Revenues &amp; Expenses'!$M$118)</f>
        <v>1</v>
      </c>
      <c r="K550" s="2889"/>
      <c r="L550" s="2713"/>
      <c r="M550" s="2889">
        <f>MIN('Part VI-Revenues &amp; Expenses'!$M$58/'Part VI-Revenues &amp; Expenses'!$M$60,'Part VI-Revenues &amp; Expenses'!$M$116/'Part VI-Revenues &amp; Expenses'!$M$118)</f>
        <v>1</v>
      </c>
      <c r="N550" s="2889"/>
      <c r="O550" s="2713"/>
      <c r="P550" s="2889">
        <f>MIN('Part VI-Revenues &amp; Expenses'!$M$58/'Part VI-Revenues &amp; Expenses'!$M$60,'Part VI-Revenues &amp; Expenses'!$M$116/'Part VI-Revenues &amp; Expenses'!$M$118)</f>
        <v>1</v>
      </c>
      <c r="Q550" s="2889"/>
      <c r="R550" s="2713"/>
      <c r="S550" s="2713"/>
      <c r="T550" s="2713"/>
      <c r="U550" s="2713"/>
      <c r="V550" s="2847"/>
      <c r="W550" s="2869"/>
      <c r="X550" s="2869"/>
    </row>
    <row r="551" spans="1:24">
      <c r="A551" s="2713"/>
      <c r="B551" s="2713" t="s">
        <v>2145</v>
      </c>
      <c r="C551" s="2713"/>
      <c r="D551" s="2713"/>
      <c r="E551" s="2713"/>
      <c r="F551" s="2713"/>
      <c r="G551" s="2713"/>
      <c r="H551" s="2713"/>
      <c r="I551" s="2713"/>
      <c r="J551" s="2887">
        <f>J549*J550</f>
        <v>0</v>
      </c>
      <c r="K551" s="2887"/>
      <c r="L551" s="2713"/>
      <c r="M551" s="2887">
        <f>M549*M550</f>
        <v>1528833</v>
      </c>
      <c r="N551" s="2887"/>
      <c r="O551" s="2713"/>
      <c r="P551" s="2887">
        <f>P549*P550</f>
        <v>4609201.3000000007</v>
      </c>
      <c r="Q551" s="2887"/>
      <c r="R551" s="2713"/>
      <c r="S551" s="2713"/>
      <c r="T551" s="2713"/>
      <c r="U551" s="2713"/>
      <c r="V551" s="2847"/>
      <c r="W551" s="2869"/>
      <c r="X551" s="2869"/>
    </row>
    <row r="552" spans="1:24">
      <c r="A552" s="2713"/>
      <c r="B552" s="2713" t="s">
        <v>2146</v>
      </c>
      <c r="C552" s="2713"/>
      <c r="D552" s="2713"/>
      <c r="E552" s="2713"/>
      <c r="F552" s="2713"/>
      <c r="G552" s="2713"/>
      <c r="H552" s="2713"/>
      <c r="I552" s="2713"/>
      <c r="J552" s="2888">
        <f>'Part IV-Uses of Funds'!J154</f>
        <v>0</v>
      </c>
      <c r="K552" s="2888"/>
      <c r="L552" s="2713"/>
      <c r="M552" s="2888">
        <f>'Part IV-Uses of Funds'!M154</f>
        <v>3.1899999999999998E-2</v>
      </c>
      <c r="N552" s="2888"/>
      <c r="O552" s="2713"/>
      <c r="P552" s="2888">
        <f>'Part IV-Uses of Funds'!P154</f>
        <v>7.4399999999999994E-2</v>
      </c>
      <c r="Q552" s="2888"/>
      <c r="R552" s="2713"/>
      <c r="S552" s="2713"/>
      <c r="T552" s="2713"/>
      <c r="U552" s="2713"/>
      <c r="V552" s="2847"/>
      <c r="W552" s="2869"/>
      <c r="X552" s="2869"/>
    </row>
    <row r="553" spans="1:24">
      <c r="A553" s="2713"/>
      <c r="B553" s="2713" t="s">
        <v>2669</v>
      </c>
      <c r="C553" s="2713"/>
      <c r="D553" s="2713"/>
      <c r="E553" s="2713"/>
      <c r="F553" s="2713"/>
      <c r="G553" s="2713"/>
      <c r="H553" s="2713"/>
      <c r="I553" s="2713"/>
      <c r="J553" s="2887">
        <f>J551*J552</f>
        <v>0</v>
      </c>
      <c r="K553" s="2887"/>
      <c r="L553" s="2713"/>
      <c r="M553" s="2887">
        <f>M551*M552</f>
        <v>48769.772699999994</v>
      </c>
      <c r="N553" s="2887"/>
      <c r="O553" s="2713"/>
      <c r="P553" s="2887">
        <f>P551*P552</f>
        <v>342924.57672000001</v>
      </c>
      <c r="Q553" s="2887"/>
      <c r="R553" s="2713"/>
      <c r="S553" s="2713"/>
      <c r="T553" s="2713"/>
      <c r="U553" s="2713"/>
      <c r="V553" s="2847"/>
      <c r="W553" s="2869"/>
      <c r="X553" s="2869"/>
    </row>
    <row r="554" spans="1:24">
      <c r="A554" s="2713"/>
      <c r="B554" s="2716" t="s">
        <v>1495</v>
      </c>
      <c r="C554" s="2713"/>
      <c r="D554" s="2713"/>
      <c r="E554" s="2713"/>
      <c r="F554" s="2713"/>
      <c r="G554" s="2713"/>
      <c r="H554" s="2713"/>
      <c r="I554" s="2713"/>
      <c r="J554" s="2839">
        <f>J553+M553+P553</f>
        <v>391694.34941999998</v>
      </c>
      <c r="K554" s="2839"/>
      <c r="L554" s="2839"/>
      <c r="M554" s="2839"/>
      <c r="N554" s="2839"/>
      <c r="O554" s="2839"/>
      <c r="P554" s="2839"/>
      <c r="Q554" s="2839"/>
      <c r="R554" s="2713"/>
      <c r="S554" s="2713"/>
      <c r="T554" s="2713"/>
      <c r="U554" s="2713"/>
      <c r="V554" s="2847"/>
      <c r="W554" s="2869"/>
      <c r="X554" s="2869"/>
    </row>
    <row r="555" spans="1:24">
      <c r="A555" s="2713"/>
      <c r="B555" s="2890"/>
      <c r="C555" s="2713"/>
      <c r="D555" s="2713"/>
      <c r="E555" s="2713"/>
      <c r="F555" s="2713"/>
      <c r="G555" s="2713"/>
      <c r="H555" s="2713"/>
      <c r="I555" s="2713"/>
      <c r="J555" s="2713"/>
      <c r="K555" s="2713"/>
      <c r="L555" s="2840"/>
      <c r="M555" s="2840"/>
      <c r="N555" s="2840"/>
      <c r="O555" s="2840"/>
      <c r="P555" s="2713"/>
      <c r="Q555" s="2713"/>
      <c r="R555" s="2713"/>
      <c r="S555" s="2713"/>
      <c r="T555" s="2713"/>
      <c r="U555" s="2713"/>
      <c r="V555" s="2713"/>
      <c r="W555" s="2721"/>
      <c r="X555" s="2721"/>
    </row>
    <row r="556" spans="1:24" ht="16.5">
      <c r="A556" s="2846" t="s">
        <v>781</v>
      </c>
      <c r="B556" s="2846" t="s">
        <v>1498</v>
      </c>
      <c r="C556" s="2713"/>
      <c r="D556" s="2713"/>
      <c r="E556" s="2713"/>
      <c r="F556" s="2713"/>
      <c r="G556" s="2713"/>
      <c r="H556" s="2879"/>
      <c r="I556" s="2879"/>
      <c r="J556" s="2713"/>
      <c r="K556" s="2713"/>
      <c r="L556" s="2713"/>
      <c r="M556" s="2891"/>
      <c r="N556" s="2713"/>
      <c r="O556" s="2713"/>
      <c r="P556" s="2713"/>
      <c r="Q556" s="2713"/>
      <c r="R556" s="2713"/>
      <c r="S556" s="2713"/>
      <c r="T556" s="2713"/>
      <c r="U556" s="2713"/>
      <c r="V556" s="2713"/>
      <c r="W556" s="2721"/>
      <c r="X556" s="2721"/>
    </row>
    <row r="557" spans="1:24" ht="16.5">
      <c r="A557" s="2713"/>
      <c r="B557" s="2716" t="s">
        <v>179</v>
      </c>
      <c r="C557" s="2713"/>
      <c r="D557" s="2713"/>
      <c r="E557" s="2713"/>
      <c r="F557" s="2713"/>
      <c r="G557" s="2713"/>
      <c r="H557" s="2789"/>
      <c r="I557" s="2713"/>
      <c r="J557" s="2713"/>
      <c r="K557" s="2713"/>
      <c r="L557" s="2713"/>
      <c r="M557" s="2891"/>
      <c r="N557" s="2713"/>
      <c r="O557" s="2713"/>
      <c r="P557" s="2713"/>
      <c r="Q557" s="2713"/>
      <c r="R557" s="2713"/>
      <c r="S557" s="2713"/>
      <c r="T557" s="2713"/>
      <c r="U557" s="2713"/>
      <c r="V557" s="2713"/>
      <c r="W557" s="2868" t="str">
        <f>B556</f>
        <v>TAX CREDIT CALCULATION - GAP METHOD</v>
      </c>
      <c r="X557" s="2721"/>
    </row>
    <row r="558" spans="1:24" ht="13.5">
      <c r="A558" s="2713"/>
      <c r="B558" s="2715" t="s">
        <v>4594</v>
      </c>
      <c r="C558" s="2713"/>
      <c r="D558" s="2713"/>
      <c r="E558" s="2713"/>
      <c r="F558" s="2713"/>
      <c r="G558" s="2892" t="str">
        <f>IF(J559&gt;J558,"TDC exceeds QAP PUCL!","")</f>
        <v/>
      </c>
      <c r="H558" s="2892"/>
      <c r="I558" s="2892"/>
      <c r="J558" s="2822">
        <f>'Part VIII-Threshold Criteria'!$P$60</f>
        <v>7317720</v>
      </c>
      <c r="K558" s="2822"/>
      <c r="L558" s="2822"/>
      <c r="M558" s="2893" t="s">
        <v>2933</v>
      </c>
      <c r="N558" s="2893"/>
      <c r="O558" s="2893"/>
      <c r="P558" s="2893"/>
      <c r="Q558" s="2893"/>
      <c r="R558" s="2893"/>
      <c r="S558" s="2894" t="s">
        <v>2894</v>
      </c>
      <c r="T558" s="2894"/>
      <c r="U558" s="2713"/>
      <c r="V558" s="2847"/>
      <c r="W558" s="2848">
        <f>'Part IV-Uses of Funds'!W160</f>
        <v>0</v>
      </c>
      <c r="X558" s="2869"/>
    </row>
    <row r="559" spans="1:24">
      <c r="A559" s="2713"/>
      <c r="B559" s="2713" t="s">
        <v>4595</v>
      </c>
      <c r="C559" s="2713"/>
      <c r="D559" s="2713"/>
      <c r="E559" s="2713"/>
      <c r="F559" s="2713"/>
      <c r="G559" s="2713"/>
      <c r="H559" s="2713"/>
      <c r="I559" s="2713"/>
      <c r="J559" s="2887">
        <f>'Part IV-Uses of Funds'!J161</f>
        <v>6245106</v>
      </c>
      <c r="K559" s="2887"/>
      <c r="L559" s="2887"/>
      <c r="M559" s="2893"/>
      <c r="N559" s="2893"/>
      <c r="O559" s="2893"/>
      <c r="P559" s="2893"/>
      <c r="Q559" s="2893"/>
      <c r="R559" s="2893"/>
      <c r="S559" s="2894"/>
      <c r="T559" s="2894"/>
      <c r="U559" s="2713"/>
      <c r="V559" s="2847"/>
      <c r="W559" s="2869"/>
      <c r="X559" s="2869"/>
    </row>
    <row r="560" spans="1:24">
      <c r="A560" s="2713"/>
      <c r="B560" s="2713" t="s">
        <v>275</v>
      </c>
      <c r="C560" s="2713"/>
      <c r="D560" s="2713"/>
      <c r="E560" s="2713"/>
      <c r="F560" s="2713"/>
      <c r="G560" s="2713"/>
      <c r="H560" s="2713"/>
      <c r="I560" s="2713"/>
      <c r="J560" s="2887">
        <f>'Part III-Sources of Funds'!$I$53-'Part III-Sources of Funds'!$I$40-'Part III-Sources of Funds'!$I$41-'Part III-Sources of Funds'!$I$44-'Part III-Sources of Funds'!$I$45</f>
        <v>1425049</v>
      </c>
      <c r="K560" s="2887"/>
      <c r="L560" s="2887"/>
      <c r="M560" s="2893"/>
      <c r="N560" s="2893"/>
      <c r="O560" s="2893"/>
      <c r="P560" s="2893"/>
      <c r="Q560" s="2893"/>
      <c r="R560" s="2893"/>
      <c r="S560" s="2894"/>
      <c r="T560" s="2894"/>
      <c r="U560" s="2713"/>
      <c r="V560" s="2847"/>
      <c r="W560" s="2869"/>
      <c r="X560" s="2869"/>
    </row>
    <row r="561" spans="1:24" ht="13.5">
      <c r="A561" s="2713"/>
      <c r="B561" s="2713" t="s">
        <v>2338</v>
      </c>
      <c r="C561" s="2713"/>
      <c r="D561" s="2713"/>
      <c r="E561" s="2713"/>
      <c r="F561" s="2713"/>
      <c r="G561" s="2713"/>
      <c r="H561" s="2713"/>
      <c r="I561" s="2713"/>
      <c r="J561" s="2887">
        <f>+J559-J560</f>
        <v>4820057</v>
      </c>
      <c r="K561" s="2887"/>
      <c r="L561" s="2887"/>
      <c r="M561" s="2895" t="s">
        <v>2934</v>
      </c>
      <c r="N561" s="2895"/>
      <c r="O561" s="2896">
        <f>'Part IV-Uses of Funds'!O163</f>
        <v>0</v>
      </c>
      <c r="P561" s="2896"/>
      <c r="Q561" s="2896"/>
      <c r="R561" s="2896"/>
      <c r="S561" s="2897" t="s">
        <v>1741</v>
      </c>
      <c r="T561" s="2898" t="str">
        <f>'Part IV-Uses of Funds'!T163</f>
        <v>No</v>
      </c>
      <c r="U561" s="2713"/>
      <c r="V561" s="2847"/>
      <c r="W561" s="2869"/>
      <c r="X561" s="2869"/>
    </row>
    <row r="562" spans="1:24" ht="13.5">
      <c r="A562" s="2713"/>
      <c r="B562" s="2713" t="s">
        <v>1350</v>
      </c>
      <c r="C562" s="2713"/>
      <c r="D562" s="2713"/>
      <c r="E562" s="2713"/>
      <c r="F562" s="2713"/>
      <c r="G562" s="2713"/>
      <c r="H562" s="2713"/>
      <c r="I562" s="2713"/>
      <c r="J562" s="2727" t="str">
        <f>"/ 10"</f>
        <v>/ 10</v>
      </c>
      <c r="K562" s="2727"/>
      <c r="L562" s="2727"/>
      <c r="M562" s="2713"/>
      <c r="N562" s="2899"/>
      <c r="O562" s="2899"/>
      <c r="P562" s="2899"/>
      <c r="Q562" s="2899"/>
      <c r="R562" s="2899"/>
      <c r="S562" s="2713"/>
      <c r="T562" s="2713"/>
      <c r="U562" s="2713"/>
      <c r="V562" s="2713"/>
      <c r="W562" s="2869"/>
      <c r="X562" s="2869"/>
    </row>
    <row r="563" spans="1:24">
      <c r="A563" s="2713"/>
      <c r="B563" s="2713" t="s">
        <v>1351</v>
      </c>
      <c r="C563" s="2713"/>
      <c r="D563" s="2713"/>
      <c r="E563" s="2713"/>
      <c r="F563" s="2713"/>
      <c r="G563" s="2713"/>
      <c r="H563" s="2713"/>
      <c r="I563" s="2713"/>
      <c r="J563" s="2887">
        <f>J561/10</f>
        <v>482005.7</v>
      </c>
      <c r="K563" s="2887"/>
      <c r="L563" s="2887"/>
      <c r="M563" s="2719"/>
      <c r="N563" s="2727" t="s">
        <v>1352</v>
      </c>
      <c r="O563" s="2727"/>
      <c r="P563" s="2713"/>
      <c r="Q563" s="2727" t="s">
        <v>1886</v>
      </c>
      <c r="R563" s="2727"/>
      <c r="S563" s="2713"/>
      <c r="T563" s="2713"/>
      <c r="U563" s="2713"/>
      <c r="V563" s="2847"/>
      <c r="W563" s="2869"/>
      <c r="X563" s="2869"/>
    </row>
    <row r="564" spans="1:24">
      <c r="A564" s="2713"/>
      <c r="B564" s="2713" t="s">
        <v>4596</v>
      </c>
      <c r="C564" s="2713"/>
      <c r="D564" s="2713"/>
      <c r="E564" s="2713"/>
      <c r="F564" s="2713"/>
      <c r="G564" s="2713"/>
      <c r="H564" s="2713"/>
      <c r="I564" s="2713"/>
      <c r="J564" s="2900">
        <f>N564+Q564</f>
        <v>1.34</v>
      </c>
      <c r="K564" s="2900"/>
      <c r="L564" s="2900"/>
      <c r="M564" s="2717" t="s">
        <v>1353</v>
      </c>
      <c r="N564" s="2901">
        <f>'Part IV-Uses of Funds'!N166</f>
        <v>0.92</v>
      </c>
      <c r="O564" s="2901"/>
      <c r="P564" s="2717" t="s">
        <v>642</v>
      </c>
      <c r="Q564" s="2901">
        <f>'Part IV-Uses of Funds'!Q166</f>
        <v>0.42</v>
      </c>
      <c r="R564" s="2901"/>
      <c r="S564" s="2713"/>
      <c r="T564" s="2713"/>
      <c r="U564" s="2713"/>
      <c r="V564" s="2847"/>
      <c r="W564" s="2869"/>
      <c r="X564" s="2869"/>
    </row>
    <row r="565" spans="1:24">
      <c r="A565" s="2713"/>
      <c r="B565" s="2716" t="s">
        <v>1496</v>
      </c>
      <c r="C565" s="2713"/>
      <c r="D565" s="2713"/>
      <c r="E565" s="2713"/>
      <c r="F565" s="2713"/>
      <c r="G565" s="2713"/>
      <c r="H565" s="2713"/>
      <c r="I565" s="2713"/>
      <c r="J565" s="2839">
        <f>IF(J564=0,"",J563/J564)</f>
        <v>359705.74626865669</v>
      </c>
      <c r="K565" s="2839"/>
      <c r="L565" s="2839"/>
      <c r="M565" s="2719"/>
      <c r="N565" s="2713"/>
      <c r="O565" s="2713"/>
      <c r="P565" s="2713"/>
      <c r="Q565" s="2713"/>
      <c r="R565" s="2713"/>
      <c r="S565" s="2713"/>
      <c r="T565" s="2713"/>
      <c r="U565" s="2713"/>
      <c r="V565" s="2847"/>
      <c r="W565" s="2869"/>
      <c r="X565" s="2869"/>
    </row>
    <row r="566" spans="1:24">
      <c r="A566" s="2713"/>
      <c r="B566" s="2713"/>
      <c r="C566" s="2713"/>
      <c r="D566" s="2713"/>
      <c r="E566" s="2713"/>
      <c r="F566" s="2713"/>
      <c r="G566" s="2713"/>
      <c r="H566" s="2713"/>
      <c r="I566" s="2713"/>
      <c r="J566" s="2902"/>
      <c r="K566" s="2902"/>
      <c r="L566" s="2902"/>
      <c r="M566" s="2719"/>
      <c r="N566" s="2717"/>
      <c r="O566" s="2717"/>
      <c r="P566" s="2713"/>
      <c r="Q566" s="2713"/>
      <c r="R566" s="2713"/>
      <c r="S566" s="2713"/>
      <c r="T566" s="2713"/>
      <c r="U566" s="2713"/>
      <c r="V566" s="2713"/>
      <c r="W566" s="2869"/>
      <c r="X566" s="2869"/>
    </row>
    <row r="567" spans="1:24">
      <c r="A567" s="2713"/>
      <c r="B567" s="2716" t="s">
        <v>4597</v>
      </c>
      <c r="C567" s="2713"/>
      <c r="D567" s="2713"/>
      <c r="E567" s="2713"/>
      <c r="F567" s="2713"/>
      <c r="G567" s="2713"/>
      <c r="H567" s="2713"/>
      <c r="I567" s="2713"/>
      <c r="J567" s="2839">
        <f>IF('Part I-Project Information'!$I$166 = "Yes",+MIN(J554,J565,'Part I-Project Information'!$O$166,'DCA Underwriting Assumptions'!$R$7),+MIN(J554,J565,'DCA Underwriting Assumptions'!$R$6))</f>
        <v>359705.74626865669</v>
      </c>
      <c r="K567" s="2839"/>
      <c r="L567" s="2839"/>
      <c r="M567" s="2719"/>
      <c r="N567" s="2717"/>
      <c r="O567" s="2717"/>
      <c r="P567" s="2713"/>
      <c r="Q567" s="2713"/>
      <c r="R567" s="2713"/>
      <c r="S567" s="2713"/>
      <c r="T567" s="2713"/>
      <c r="U567" s="2713"/>
      <c r="V567" s="2847"/>
      <c r="W567" s="2869"/>
      <c r="X567" s="2869"/>
    </row>
    <row r="568" spans="1:24">
      <c r="A568" s="2713"/>
      <c r="B568" s="2713"/>
      <c r="C568" s="2713"/>
      <c r="D568" s="2713"/>
      <c r="E568" s="2713"/>
      <c r="F568" s="2713"/>
      <c r="G568" s="2713"/>
      <c r="H568" s="2713"/>
      <c r="I568" s="2713"/>
      <c r="J568" s="2902"/>
      <c r="K568" s="2902"/>
      <c r="L568" s="2902"/>
      <c r="M568" s="2719"/>
      <c r="N568" s="2717"/>
      <c r="O568" s="2717"/>
      <c r="P568" s="2713"/>
      <c r="Q568" s="2713"/>
      <c r="R568" s="2713"/>
      <c r="S568" s="2713"/>
      <c r="T568" s="2713"/>
      <c r="U568" s="2713"/>
      <c r="V568" s="2713"/>
      <c r="W568" s="2869"/>
      <c r="X568" s="2869"/>
    </row>
    <row r="569" spans="1:24">
      <c r="A569" s="2713"/>
      <c r="B569" s="2716" t="s">
        <v>4598</v>
      </c>
      <c r="C569" s="2713"/>
      <c r="D569" s="2713"/>
      <c r="E569" s="2713"/>
      <c r="F569" s="2713"/>
      <c r="G569" s="2713"/>
      <c r="H569" s="2713"/>
      <c r="I569" s="2713"/>
      <c r="J569" s="2839">
        <f>'Part IV-Uses of Funds'!J171</f>
        <v>359706</v>
      </c>
      <c r="K569" s="2839"/>
      <c r="L569" s="2839"/>
      <c r="M569" s="2714" t="str">
        <f>IF(J567=0,"",IF(J569&gt;J567,"ALLOCATION CANNOT EXCEED MAXIMUM - REVISE REQUEST!",""))</f>
        <v>ALLOCATION CANNOT EXCEED MAXIMUM - REVISE REQUEST!</v>
      </c>
      <c r="N569" s="2717"/>
      <c r="O569" s="2717"/>
      <c r="P569" s="2713"/>
      <c r="Q569" s="2713"/>
      <c r="R569" s="2713"/>
      <c r="S569" s="2713"/>
      <c r="T569" s="2713"/>
      <c r="U569" s="2713"/>
      <c r="V569" s="2847"/>
      <c r="W569" s="2869"/>
      <c r="X569" s="2869"/>
    </row>
    <row r="570" spans="1:24">
      <c r="A570" s="2713"/>
      <c r="B570" s="2713"/>
      <c r="C570" s="2713"/>
      <c r="D570" s="2713"/>
      <c r="E570" s="2713"/>
      <c r="F570" s="2713"/>
      <c r="G570" s="2713"/>
      <c r="H570" s="2713"/>
      <c r="I570" s="2713"/>
      <c r="J570" s="2902"/>
      <c r="K570" s="2902"/>
      <c r="L570" s="2902"/>
      <c r="M570" s="2719"/>
      <c r="N570" s="2717"/>
      <c r="O570" s="2717"/>
      <c r="P570" s="2713"/>
      <c r="Q570" s="2713"/>
      <c r="R570" s="2713"/>
      <c r="S570" s="2713"/>
      <c r="T570" s="2713"/>
      <c r="U570" s="2713"/>
      <c r="V570" s="2713"/>
      <c r="W570" s="2869"/>
      <c r="X570" s="2869"/>
    </row>
    <row r="571" spans="1:24" ht="16.5">
      <c r="A571" s="2846" t="s">
        <v>1879</v>
      </c>
      <c r="B571" s="2846" t="s">
        <v>4599</v>
      </c>
      <c r="C571" s="2713"/>
      <c r="D571" s="2719"/>
      <c r="E571" s="2719"/>
      <c r="F571" s="2721"/>
      <c r="G571" s="2713"/>
      <c r="H571" s="2713"/>
      <c r="I571" s="2713"/>
      <c r="J571" s="2839">
        <f>IF(J569="",0,+MIN(J567,J569))</f>
        <v>359705.74626865669</v>
      </c>
      <c r="K571" s="2839"/>
      <c r="L571" s="2839"/>
      <c r="M571" s="2713"/>
      <c r="N571" s="2761"/>
      <c r="O571" s="2761"/>
      <c r="P571" s="2761"/>
      <c r="Q571" s="2761"/>
      <c r="R571" s="2761"/>
      <c r="S571" s="2761"/>
      <c r="T571" s="2761"/>
      <c r="U571" s="2713"/>
      <c r="V571" s="2847"/>
      <c r="W571" s="2869"/>
      <c r="X571" s="2869"/>
    </row>
    <row r="572" spans="1:24">
      <c r="A572" s="2719"/>
      <c r="B572" s="2719"/>
      <c r="C572" s="2719"/>
      <c r="D572" s="2719"/>
      <c r="E572" s="2719"/>
      <c r="F572" s="2719"/>
      <c r="G572" s="2719"/>
      <c r="H572" s="2719"/>
      <c r="I572" s="2719"/>
      <c r="J572" s="2719"/>
      <c r="K572" s="2719"/>
      <c r="L572" s="2719"/>
      <c r="M572" s="2719"/>
      <c r="N572" s="2719"/>
      <c r="O572" s="2719"/>
      <c r="P572" s="2719"/>
      <c r="Q572" s="2719"/>
      <c r="R572" s="2719"/>
      <c r="S572" s="2719"/>
      <c r="T572" s="2719"/>
      <c r="U572" s="2719"/>
      <c r="V572" s="2719"/>
      <c r="W572" s="2719"/>
      <c r="X572" s="2719"/>
    </row>
    <row r="573" spans="1:24">
      <c r="A573" s="2719"/>
      <c r="B573" s="2719"/>
      <c r="C573" s="2719"/>
      <c r="D573" s="2719"/>
      <c r="E573" s="2719"/>
      <c r="F573" s="2719"/>
      <c r="G573" s="2719"/>
      <c r="H573" s="2719"/>
      <c r="I573" s="2719"/>
      <c r="J573" s="2719"/>
      <c r="K573" s="2719"/>
      <c r="L573" s="2719"/>
      <c r="M573" s="2719"/>
      <c r="N573" s="2719"/>
      <c r="O573" s="2719"/>
      <c r="P573" s="2719"/>
      <c r="Q573" s="2719"/>
      <c r="R573" s="2719"/>
      <c r="S573" s="2719"/>
      <c r="T573" s="2719"/>
      <c r="U573" s="2719"/>
      <c r="V573" s="2719"/>
      <c r="W573" s="2719"/>
      <c r="X573" s="2719"/>
    </row>
    <row r="574" spans="1:24">
      <c r="A574" s="2716" t="s">
        <v>1881</v>
      </c>
      <c r="B574" s="2759" t="s">
        <v>598</v>
      </c>
      <c r="C574" s="2719"/>
      <c r="D574" s="2719"/>
      <c r="E574" s="2719"/>
      <c r="F574" s="2719"/>
      <c r="G574" s="2719"/>
      <c r="H574" s="2719"/>
      <c r="I574" s="2719"/>
      <c r="J574" s="2719"/>
      <c r="K574" s="2716" t="s">
        <v>553</v>
      </c>
      <c r="L574" s="2716" t="s">
        <v>81</v>
      </c>
      <c r="M574" s="2719"/>
      <c r="N574" s="2719"/>
      <c r="O574" s="2719"/>
      <c r="P574" s="2719"/>
      <c r="Q574" s="2719"/>
      <c r="R574" s="2719"/>
      <c r="S574" s="2719"/>
      <c r="T574" s="2719"/>
      <c r="U574" s="2719"/>
      <c r="V574" s="2719"/>
      <c r="W574" s="2719"/>
      <c r="X574" s="2719"/>
    </row>
    <row r="575" spans="1:24" ht="15.75">
      <c r="A575" s="2903" t="str">
        <f>'Part IV-Uses of Funds'!A177</f>
        <v xml:space="preserve">   Reserves transferred at acquisition are shown as both a source of funds on tab III and a use of funds under START-UP AND RESERVES.
    Asset Management Fee is prepaid because USDA 515 proejcts are limited on the cash flow due to their regulations.
    USDA 515 credit compliance monitering fee $400/unit.
   Construction Hard Cost estimated by McLain &amp; Brown Construction based on previous experience with similiar projects and estimator reference books and software.  
    Please see TAB 43 of application binder for backup documentation on hard cost and building permit fees.
   The $50,000 budgeted syndicator legal fees is based on previously closed deals with Raymond James Tax Credit Funds.
    A 110 % state designated basis boost is requested with a narrative included in TAB 00.
    Equity pricing reflects equity coming in during construction in lieu of a construction loan.
</v>
      </c>
      <c r="B575" s="2903"/>
      <c r="C575" s="2903"/>
      <c r="D575" s="2903"/>
      <c r="E575" s="2903"/>
      <c r="F575" s="2903"/>
      <c r="G575" s="2903"/>
      <c r="H575" s="2903"/>
      <c r="I575" s="2903"/>
      <c r="J575" s="2903"/>
      <c r="K575" s="2903">
        <f>'Part IV-Uses of Funds'!K177</f>
        <v>0</v>
      </c>
      <c r="L575" s="2903"/>
      <c r="M575" s="2903"/>
      <c r="N575" s="2903"/>
      <c r="O575" s="2903"/>
      <c r="P575" s="2903"/>
      <c r="Q575" s="2903"/>
      <c r="R575" s="2903"/>
      <c r="S575" s="2903"/>
      <c r="T575" s="2903"/>
      <c r="U575" s="2719"/>
      <c r="V575" s="2719"/>
      <c r="W575" s="2904" t="s">
        <v>2853</v>
      </c>
      <c r="X575" s="2904"/>
    </row>
    <row r="578" spans="1:13">
      <c r="A578" s="2905" t="str">
        <f>'Part V-Utility Allowances'!A1</f>
        <v>PART FIVE - UTILITY ALLOWANCES  -  2015-026 Arbor Trace Apartments Phase II, Lake Park, Lowndes County</v>
      </c>
      <c r="B578" s="2905"/>
      <c r="C578" s="2905"/>
      <c r="D578" s="2905"/>
      <c r="E578" s="2905"/>
      <c r="F578" s="2905"/>
      <c r="G578" s="2905"/>
      <c r="H578" s="2905"/>
      <c r="I578" s="2905"/>
      <c r="J578" s="2905"/>
      <c r="K578" s="2905"/>
      <c r="L578" s="2905"/>
      <c r="M578" s="2905"/>
    </row>
    <row r="580" spans="1:13">
      <c r="F580" s="524" t="s">
        <v>538</v>
      </c>
      <c r="I580" s="2906" t="str">
        <f>VLOOKUP('Part I-Project Information'!$J$29,'DCA Underwriting Assumptions'!$G$127:$H$286,2)</f>
        <v>South</v>
      </c>
    </row>
    <row r="582" spans="1:13">
      <c r="A582" s="2907" t="s">
        <v>646</v>
      </c>
      <c r="B582" s="2907" t="s">
        <v>2333</v>
      </c>
      <c r="F582" s="926" t="s">
        <v>2644</v>
      </c>
      <c r="I582" s="2817" t="str">
        <f>'Part V-Utility Allowances'!I5</f>
        <v>USDA Approved Utility Allowance</v>
      </c>
      <c r="J582" s="2817"/>
      <c r="K582" s="2817"/>
      <c r="L582" s="2817"/>
      <c r="M582" s="2817"/>
    </row>
    <row r="583" spans="1:13">
      <c r="A583" s="2907"/>
      <c r="F583" s="926" t="s">
        <v>666</v>
      </c>
      <c r="I583" s="2908">
        <f>'Part V-Utility Allowances'!I6</f>
        <v>42005</v>
      </c>
      <c r="J583" s="2908"/>
      <c r="K583" s="2909" t="s">
        <v>563</v>
      </c>
      <c r="L583" s="2817" t="str">
        <f>'Part V-Utility Allowances'!L6</f>
        <v>MF</v>
      </c>
      <c r="M583" s="2817"/>
    </row>
    <row r="584" spans="1:13">
      <c r="A584" s="2907"/>
    </row>
    <row r="585" spans="1:13">
      <c r="A585" s="2907"/>
      <c r="B585" s="2907"/>
      <c r="C585" s="2907"/>
      <c r="D585" s="2907"/>
      <c r="E585" s="2907"/>
      <c r="F585" s="2910" t="s">
        <v>639</v>
      </c>
      <c r="G585" s="2910"/>
      <c r="H585" s="2907"/>
      <c r="I585" s="2910" t="s">
        <v>206</v>
      </c>
      <c r="J585" s="2910"/>
      <c r="K585" s="2910"/>
      <c r="L585" s="2910"/>
      <c r="M585" s="2910"/>
    </row>
    <row r="586" spans="1:13">
      <c r="A586" s="2907"/>
      <c r="B586" s="2907" t="s">
        <v>839</v>
      </c>
      <c r="C586" s="2907"/>
      <c r="D586" s="2907" t="s">
        <v>1676</v>
      </c>
      <c r="E586" s="2907"/>
      <c r="F586" s="2911" t="s">
        <v>672</v>
      </c>
      <c r="G586" s="2911" t="s">
        <v>1942</v>
      </c>
      <c r="H586" s="2907"/>
      <c r="I586" s="2911" t="s">
        <v>591</v>
      </c>
      <c r="J586" s="2911">
        <v>1</v>
      </c>
      <c r="K586" s="2911">
        <v>2</v>
      </c>
      <c r="L586" s="2911">
        <v>3</v>
      </c>
      <c r="M586" s="2911">
        <v>4</v>
      </c>
    </row>
    <row r="587" spans="1:13">
      <c r="B587" s="926" t="s">
        <v>1944</v>
      </c>
      <c r="D587" s="2817" t="str">
        <f>'Part V-Utility Allowances'!D10</f>
        <v>Electric Heat Pump</v>
      </c>
      <c r="E587" s="2817"/>
      <c r="F587" s="2912" t="str">
        <f>'Part V-Utility Allowances'!F10</f>
        <v>X</v>
      </c>
      <c r="G587" s="2912">
        <f>'Part V-Utility Allowances'!G10</f>
        <v>0</v>
      </c>
      <c r="I587" s="2909">
        <f>'Part V-Utility Allowances'!I10</f>
        <v>0</v>
      </c>
      <c r="J587" s="2909">
        <f>'Part V-Utility Allowances'!J10</f>
        <v>77</v>
      </c>
      <c r="K587" s="2909">
        <f>'Part V-Utility Allowances'!K10</f>
        <v>89</v>
      </c>
      <c r="L587" s="2909">
        <f>'Part V-Utility Allowances'!L10</f>
        <v>128</v>
      </c>
      <c r="M587" s="2909">
        <f>'Part V-Utility Allowances'!M10</f>
        <v>0</v>
      </c>
    </row>
    <row r="588" spans="1:13">
      <c r="B588" s="926" t="s">
        <v>486</v>
      </c>
      <c r="D588" s="926" t="s">
        <v>1672</v>
      </c>
      <c r="F588" s="2912" t="str">
        <f>'Part V-Utility Allowances'!F11</f>
        <v>X</v>
      </c>
      <c r="G588" s="2912">
        <f>'Part V-Utility Allowances'!G11</f>
        <v>0</v>
      </c>
      <c r="I588" s="2909">
        <f>'Part V-Utility Allowances'!I11</f>
        <v>0</v>
      </c>
      <c r="J588" s="2909">
        <f>'Part V-Utility Allowances'!J11</f>
        <v>0</v>
      </c>
      <c r="K588" s="2909">
        <f>'Part V-Utility Allowances'!K11</f>
        <v>0</v>
      </c>
      <c r="L588" s="2909">
        <f>'Part V-Utility Allowances'!L11</f>
        <v>0</v>
      </c>
      <c r="M588" s="2909">
        <f>'Part V-Utility Allowances'!M11</f>
        <v>0</v>
      </c>
    </row>
    <row r="589" spans="1:13">
      <c r="B589" s="926" t="s">
        <v>1673</v>
      </c>
      <c r="D589" s="2817" t="str">
        <f>'Part V-Utility Allowances'!D12</f>
        <v>Electric</v>
      </c>
      <c r="E589" s="2817"/>
      <c r="F589" s="2912" t="str">
        <f>'Part V-Utility Allowances'!F12</f>
        <v>X</v>
      </c>
      <c r="G589" s="2912">
        <f>'Part V-Utility Allowances'!G12</f>
        <v>0</v>
      </c>
      <c r="I589" s="2909">
        <f>'Part V-Utility Allowances'!I12</f>
        <v>0</v>
      </c>
      <c r="J589" s="2909">
        <f>'Part V-Utility Allowances'!J12</f>
        <v>0</v>
      </c>
      <c r="K589" s="2909">
        <f>'Part V-Utility Allowances'!K12</f>
        <v>0</v>
      </c>
      <c r="L589" s="2909">
        <f>'Part V-Utility Allowances'!L12</f>
        <v>0</v>
      </c>
      <c r="M589" s="2909">
        <f>'Part V-Utility Allowances'!M12</f>
        <v>0</v>
      </c>
    </row>
    <row r="590" spans="1:13">
      <c r="B590" s="926" t="s">
        <v>1674</v>
      </c>
      <c r="D590" s="2817" t="str">
        <f>'Part V-Utility Allowances'!D13</f>
        <v>Electric</v>
      </c>
      <c r="E590" s="2817"/>
      <c r="F590" s="2912" t="str">
        <f>'Part V-Utility Allowances'!F13</f>
        <v>X</v>
      </c>
      <c r="G590" s="2912">
        <f>'Part V-Utility Allowances'!G13</f>
        <v>0</v>
      </c>
      <c r="I590" s="2909">
        <f>'Part V-Utility Allowances'!I13</f>
        <v>0</v>
      </c>
      <c r="J590" s="2909">
        <f>'Part V-Utility Allowances'!J13</f>
        <v>0</v>
      </c>
      <c r="K590" s="2909">
        <f>'Part V-Utility Allowances'!K13</f>
        <v>0</v>
      </c>
      <c r="L590" s="2909">
        <f>'Part V-Utility Allowances'!L13</f>
        <v>0</v>
      </c>
      <c r="M590" s="2909">
        <f>'Part V-Utility Allowances'!M13</f>
        <v>0</v>
      </c>
    </row>
    <row r="591" spans="1:13">
      <c r="B591" s="926" t="s">
        <v>1675</v>
      </c>
      <c r="D591" s="926" t="s">
        <v>1672</v>
      </c>
      <c r="F591" s="2912" t="str">
        <f>'Part V-Utility Allowances'!F14</f>
        <v>X</v>
      </c>
      <c r="G591" s="2912">
        <f>'Part V-Utility Allowances'!G14</f>
        <v>0</v>
      </c>
      <c r="I591" s="2909">
        <f>'Part V-Utility Allowances'!I14</f>
        <v>0</v>
      </c>
      <c r="J591" s="2909">
        <f>'Part V-Utility Allowances'!J14</f>
        <v>0</v>
      </c>
      <c r="K591" s="2909">
        <f>'Part V-Utility Allowances'!K14</f>
        <v>0</v>
      </c>
      <c r="L591" s="2909">
        <f>'Part V-Utility Allowances'!L14</f>
        <v>0</v>
      </c>
      <c r="M591" s="2909">
        <f>'Part V-Utility Allowances'!M14</f>
        <v>0</v>
      </c>
    </row>
    <row r="592" spans="1:13">
      <c r="B592" s="926" t="s">
        <v>1435</v>
      </c>
      <c r="D592" s="926" t="s">
        <v>4372</v>
      </c>
      <c r="E592" s="2909" t="str">
        <f>'Part V-Utility Allowances'!E15</f>
        <v>Yes</v>
      </c>
      <c r="F592" s="2912" t="str">
        <f>'Part V-Utility Allowances'!F15</f>
        <v>X</v>
      </c>
      <c r="G592" s="2912">
        <f>'Part V-Utility Allowances'!G15</f>
        <v>0</v>
      </c>
      <c r="I592" s="2909">
        <f>'Part V-Utility Allowances'!I15</f>
        <v>0</v>
      </c>
      <c r="J592" s="2909">
        <f>'Part V-Utility Allowances'!J15</f>
        <v>39</v>
      </c>
      <c r="K592" s="2909">
        <f>'Part V-Utility Allowances'!K15</f>
        <v>40</v>
      </c>
      <c r="L592" s="2909">
        <f>'Part V-Utility Allowances'!L15</f>
        <v>40</v>
      </c>
      <c r="M592" s="2909">
        <f>'Part V-Utility Allowances'!M15</f>
        <v>0</v>
      </c>
    </row>
    <row r="593" spans="1:13">
      <c r="B593" s="926" t="s">
        <v>1943</v>
      </c>
      <c r="F593" s="2912">
        <f>'Part V-Utility Allowances'!F16</f>
        <v>0</v>
      </c>
      <c r="G593" s="2912" t="str">
        <f>'Part V-Utility Allowances'!G16</f>
        <v>X</v>
      </c>
      <c r="I593" s="2909">
        <f>'Part V-Utility Allowances'!I16</f>
        <v>0</v>
      </c>
      <c r="J593" s="2909">
        <f>'Part V-Utility Allowances'!J16</f>
        <v>0</v>
      </c>
      <c r="K593" s="2909">
        <f>'Part V-Utility Allowances'!K16</f>
        <v>0</v>
      </c>
      <c r="L593" s="2909">
        <f>'Part V-Utility Allowances'!L16</f>
        <v>0</v>
      </c>
      <c r="M593" s="2909">
        <f>'Part V-Utility Allowances'!M16</f>
        <v>0</v>
      </c>
    </row>
    <row r="594" spans="1:13">
      <c r="B594" s="2907" t="s">
        <v>1069</v>
      </c>
      <c r="F594" s="2909"/>
      <c r="G594" s="2909"/>
      <c r="I594" s="2911">
        <f>'Part V-Utility Allowances'!I17</f>
        <v>0</v>
      </c>
      <c r="J594" s="2911">
        <f>'Part V-Utility Allowances'!J17</f>
        <v>116</v>
      </c>
      <c r="K594" s="2911">
        <f>'Part V-Utility Allowances'!K17</f>
        <v>129</v>
      </c>
      <c r="L594" s="2911">
        <f>'Part V-Utility Allowances'!L17</f>
        <v>168</v>
      </c>
      <c r="M594" s="2911">
        <f>'Part V-Utility Allowances'!M17</f>
        <v>0</v>
      </c>
    </row>
    <row r="595" spans="1:13">
      <c r="B595" s="505" t="s">
        <v>4373</v>
      </c>
      <c r="F595" s="2909"/>
      <c r="G595" s="2909"/>
      <c r="I595" s="2911"/>
      <c r="J595" s="2911"/>
      <c r="K595" s="2911"/>
      <c r="L595" s="2911"/>
      <c r="M595" s="2911"/>
    </row>
    <row r="597" spans="1:13">
      <c r="A597" s="2907" t="s">
        <v>779</v>
      </c>
      <c r="B597" s="2907" t="s">
        <v>2334</v>
      </c>
      <c r="F597" s="926" t="s">
        <v>2644</v>
      </c>
      <c r="I597" s="2817">
        <f>'Part V-Utility Allowances'!I20</f>
        <v>0</v>
      </c>
      <c r="J597" s="2817"/>
      <c r="K597" s="2817"/>
      <c r="L597" s="2817"/>
      <c r="M597" s="2817"/>
    </row>
    <row r="598" spans="1:13">
      <c r="A598" s="2907"/>
      <c r="B598" s="2907"/>
      <c r="F598" s="926" t="s">
        <v>666</v>
      </c>
      <c r="I598" s="2908">
        <f>'Part V-Utility Allowances'!I21</f>
        <v>0</v>
      </c>
      <c r="J598" s="2908"/>
      <c r="K598" s="2909" t="s">
        <v>563</v>
      </c>
      <c r="L598" s="2817">
        <f>'Part V-Utility Allowances'!L21</f>
        <v>0</v>
      </c>
      <c r="M598" s="2817"/>
    </row>
    <row r="599" spans="1:13">
      <c r="A599" s="2907"/>
    </row>
    <row r="600" spans="1:13">
      <c r="A600" s="2907"/>
      <c r="B600" s="2907"/>
      <c r="C600" s="2907"/>
      <c r="D600" s="2907"/>
      <c r="E600" s="2907"/>
      <c r="F600" s="2910" t="s">
        <v>639</v>
      </c>
      <c r="G600" s="2910"/>
      <c r="H600" s="2907"/>
      <c r="I600" s="2910" t="s">
        <v>206</v>
      </c>
      <c r="J600" s="2910"/>
      <c r="K600" s="2910"/>
      <c r="L600" s="2910"/>
      <c r="M600" s="2910"/>
    </row>
    <row r="601" spans="1:13">
      <c r="A601" s="2907"/>
      <c r="B601" s="2907" t="s">
        <v>839</v>
      </c>
      <c r="C601" s="2907"/>
      <c r="D601" s="2907" t="s">
        <v>1676</v>
      </c>
      <c r="E601" s="2907"/>
      <c r="F601" s="2911" t="s">
        <v>672</v>
      </c>
      <c r="G601" s="2911" t="s">
        <v>1942</v>
      </c>
      <c r="H601" s="2907"/>
      <c r="I601" s="2911" t="s">
        <v>591</v>
      </c>
      <c r="J601" s="2911">
        <v>1</v>
      </c>
      <c r="K601" s="2911">
        <v>2</v>
      </c>
      <c r="L601" s="2911">
        <v>3</v>
      </c>
      <c r="M601" s="2911">
        <v>4</v>
      </c>
    </row>
    <row r="602" spans="1:13">
      <c r="B602" s="926" t="s">
        <v>1944</v>
      </c>
      <c r="D602" s="2817" t="str">
        <f>'Part V-Utility Allowances'!D25</f>
        <v>&lt;&lt;Select Fuel &gt;&gt;</v>
      </c>
      <c r="E602" s="2817"/>
      <c r="F602" s="2912">
        <f>'Part V-Utility Allowances'!F25</f>
        <v>0</v>
      </c>
      <c r="G602" s="2912">
        <f>'Part V-Utility Allowances'!G25</f>
        <v>0</v>
      </c>
      <c r="I602" s="2909">
        <f>'Part V-Utility Allowances'!I25</f>
        <v>0</v>
      </c>
      <c r="J602" s="2909">
        <f>'Part V-Utility Allowances'!J25</f>
        <v>0</v>
      </c>
      <c r="K602" s="2909">
        <f>'Part V-Utility Allowances'!K25</f>
        <v>0</v>
      </c>
      <c r="L602" s="2909">
        <f>'Part V-Utility Allowances'!L25</f>
        <v>0</v>
      </c>
      <c r="M602" s="2909">
        <f>'Part V-Utility Allowances'!M25</f>
        <v>0</v>
      </c>
    </row>
    <row r="603" spans="1:13">
      <c r="B603" s="926" t="s">
        <v>486</v>
      </c>
      <c r="D603" s="926" t="s">
        <v>1672</v>
      </c>
      <c r="F603" s="2912">
        <f>'Part V-Utility Allowances'!F26</f>
        <v>0</v>
      </c>
      <c r="G603" s="2912">
        <f>'Part V-Utility Allowances'!G26</f>
        <v>0</v>
      </c>
      <c r="I603" s="2909">
        <f>'Part V-Utility Allowances'!I26</f>
        <v>0</v>
      </c>
      <c r="J603" s="2909">
        <f>'Part V-Utility Allowances'!J26</f>
        <v>0</v>
      </c>
      <c r="K603" s="2909">
        <f>'Part V-Utility Allowances'!K26</f>
        <v>0</v>
      </c>
      <c r="L603" s="2909">
        <f>'Part V-Utility Allowances'!L26</f>
        <v>0</v>
      </c>
      <c r="M603" s="2909">
        <f>'Part V-Utility Allowances'!M26</f>
        <v>0</v>
      </c>
    </row>
    <row r="604" spans="1:13">
      <c r="B604" s="926" t="s">
        <v>1673</v>
      </c>
      <c r="D604" s="2817" t="str">
        <f>'Part V-Utility Allowances'!D27</f>
        <v>&lt;&lt;Select Fuel &gt;&gt;</v>
      </c>
      <c r="E604" s="2817"/>
      <c r="F604" s="2912">
        <f>'Part V-Utility Allowances'!F27</f>
        <v>0</v>
      </c>
      <c r="G604" s="2912">
        <f>'Part V-Utility Allowances'!G27</f>
        <v>0</v>
      </c>
      <c r="I604" s="2909">
        <f>'Part V-Utility Allowances'!I27</f>
        <v>0</v>
      </c>
      <c r="J604" s="2909">
        <f>'Part V-Utility Allowances'!J27</f>
        <v>0</v>
      </c>
      <c r="K604" s="2909">
        <f>'Part V-Utility Allowances'!K27</f>
        <v>0</v>
      </c>
      <c r="L604" s="2909">
        <f>'Part V-Utility Allowances'!L27</f>
        <v>0</v>
      </c>
      <c r="M604" s="2909">
        <f>'Part V-Utility Allowances'!M27</f>
        <v>0</v>
      </c>
    </row>
    <row r="605" spans="1:13">
      <c r="B605" s="926" t="s">
        <v>1674</v>
      </c>
      <c r="D605" s="2817" t="str">
        <f>'Part V-Utility Allowances'!D28</f>
        <v>&lt;&lt;Select Fuel &gt;&gt;</v>
      </c>
      <c r="E605" s="2817"/>
      <c r="F605" s="2912">
        <f>'Part V-Utility Allowances'!F28</f>
        <v>0</v>
      </c>
      <c r="G605" s="2912">
        <f>'Part V-Utility Allowances'!G28</f>
        <v>0</v>
      </c>
      <c r="I605" s="2909">
        <f>'Part V-Utility Allowances'!I28</f>
        <v>0</v>
      </c>
      <c r="J605" s="2909">
        <f>'Part V-Utility Allowances'!J28</f>
        <v>0</v>
      </c>
      <c r="K605" s="2909">
        <f>'Part V-Utility Allowances'!K28</f>
        <v>0</v>
      </c>
      <c r="L605" s="2909">
        <f>'Part V-Utility Allowances'!L28</f>
        <v>0</v>
      </c>
      <c r="M605" s="2909">
        <f>'Part V-Utility Allowances'!M28</f>
        <v>0</v>
      </c>
    </row>
    <row r="606" spans="1:13">
      <c r="B606" s="926" t="s">
        <v>1675</v>
      </c>
      <c r="D606" s="926" t="s">
        <v>1672</v>
      </c>
      <c r="F606" s="2912">
        <f>'Part V-Utility Allowances'!F29</f>
        <v>0</v>
      </c>
      <c r="G606" s="2912">
        <f>'Part V-Utility Allowances'!G29</f>
        <v>0</v>
      </c>
      <c r="I606" s="2909">
        <f>'Part V-Utility Allowances'!I29</f>
        <v>0</v>
      </c>
      <c r="J606" s="2909">
        <f>'Part V-Utility Allowances'!J29</f>
        <v>0</v>
      </c>
      <c r="K606" s="2909">
        <f>'Part V-Utility Allowances'!K29</f>
        <v>0</v>
      </c>
      <c r="L606" s="2909">
        <f>'Part V-Utility Allowances'!L29</f>
        <v>0</v>
      </c>
      <c r="M606" s="2909">
        <f>'Part V-Utility Allowances'!M29</f>
        <v>0</v>
      </c>
    </row>
    <row r="607" spans="1:13">
      <c r="B607" s="926" t="s">
        <v>1435</v>
      </c>
      <c r="D607" s="926" t="s">
        <v>4372</v>
      </c>
      <c r="E607" s="2909" t="str">
        <f>'Part V-Utility Allowances'!E30</f>
        <v>&lt;Select&gt;</v>
      </c>
      <c r="F607" s="2912">
        <f>'Part V-Utility Allowances'!F30</f>
        <v>0</v>
      </c>
      <c r="G607" s="2912">
        <f>'Part V-Utility Allowances'!G30</f>
        <v>0</v>
      </c>
      <c r="I607" s="2909">
        <f>'Part V-Utility Allowances'!I30</f>
        <v>0</v>
      </c>
      <c r="J607" s="2909">
        <f>'Part V-Utility Allowances'!J30</f>
        <v>0</v>
      </c>
      <c r="K607" s="2909">
        <f>'Part V-Utility Allowances'!K30</f>
        <v>0</v>
      </c>
      <c r="L607" s="2909">
        <f>'Part V-Utility Allowances'!L30</f>
        <v>0</v>
      </c>
      <c r="M607" s="2909">
        <f>'Part V-Utility Allowances'!M30</f>
        <v>0</v>
      </c>
    </row>
    <row r="608" spans="1:13">
      <c r="B608" s="926" t="s">
        <v>1943</v>
      </c>
      <c r="F608" s="2912">
        <f>'Part V-Utility Allowances'!F31</f>
        <v>0</v>
      </c>
      <c r="G608" s="2912">
        <f>'Part V-Utility Allowances'!G31</f>
        <v>0</v>
      </c>
      <c r="I608" s="2909">
        <f>'Part V-Utility Allowances'!I31</f>
        <v>0</v>
      </c>
      <c r="J608" s="2909">
        <f>'Part V-Utility Allowances'!J31</f>
        <v>0</v>
      </c>
      <c r="K608" s="2909">
        <f>'Part V-Utility Allowances'!K31</f>
        <v>0</v>
      </c>
      <c r="L608" s="2909">
        <f>'Part V-Utility Allowances'!L31</f>
        <v>0</v>
      </c>
      <c r="M608" s="2909">
        <f>'Part V-Utility Allowances'!M31</f>
        <v>0</v>
      </c>
    </row>
    <row r="609" spans="1:266">
      <c r="B609" s="2907" t="s">
        <v>1069</v>
      </c>
      <c r="F609" s="2909"/>
      <c r="G609" s="2909"/>
      <c r="I609" s="2911">
        <f>'Part V-Utility Allowances'!I32</f>
        <v>0</v>
      </c>
      <c r="J609" s="2911">
        <f>'Part V-Utility Allowances'!J32</f>
        <v>0</v>
      </c>
      <c r="K609" s="2911">
        <f>'Part V-Utility Allowances'!K32</f>
        <v>0</v>
      </c>
      <c r="L609" s="2911">
        <f>'Part V-Utility Allowances'!L32</f>
        <v>0</v>
      </c>
      <c r="M609" s="2911">
        <f>'Part V-Utility Allowances'!M32</f>
        <v>0</v>
      </c>
    </row>
    <row r="610" spans="1:266">
      <c r="B610" s="505" t="s">
        <v>4373</v>
      </c>
      <c r="F610" s="2909"/>
      <c r="G610" s="2909"/>
      <c r="I610" s="2911"/>
      <c r="J610" s="2911"/>
      <c r="K610" s="2911"/>
      <c r="L610" s="2911"/>
      <c r="M610" s="2911"/>
    </row>
    <row r="612" spans="1:266">
      <c r="B612" s="2913" t="s">
        <v>1895</v>
      </c>
    </row>
    <row r="614" spans="1:266">
      <c r="A614" s="2907"/>
      <c r="B614" s="2907" t="s">
        <v>598</v>
      </c>
    </row>
    <row r="615" spans="1:266">
      <c r="B615" s="2914" t="str">
        <f>'Part V-Utility Allowances'!B38</f>
        <v>Utility allowance schedules are included in Tab 1.  The RD utility allowance includes all electric as one estimate as entered in the schedule above.</v>
      </c>
      <c r="C615" s="2914"/>
      <c r="D615" s="2914"/>
      <c r="E615" s="2914"/>
      <c r="F615" s="2914"/>
      <c r="G615" s="2914"/>
      <c r="H615" s="2914"/>
      <c r="I615" s="2914"/>
      <c r="J615" s="2914"/>
      <c r="K615" s="2914"/>
      <c r="L615" s="2914"/>
      <c r="M615" s="2914"/>
    </row>
    <row r="617" spans="1:266">
      <c r="A617" s="2907"/>
      <c r="B617" s="2907" t="s">
        <v>1937</v>
      </c>
    </row>
    <row r="618" spans="1:266">
      <c r="B618" s="2914">
        <f>'Part V-Utility Allowances'!B41</f>
        <v>0</v>
      </c>
      <c r="C618" s="2914"/>
      <c r="D618" s="2914"/>
      <c r="E618" s="2914"/>
      <c r="F618" s="2914"/>
      <c r="G618" s="2914"/>
      <c r="H618" s="2914"/>
      <c r="I618" s="2914"/>
      <c r="J618" s="2914"/>
      <c r="K618" s="2914"/>
      <c r="L618" s="2914"/>
      <c r="M618" s="2914"/>
    </row>
    <row r="621" spans="1:266" s="521" customFormat="1" ht="13.9" customHeight="1">
      <c r="A621" s="2905" t="str">
        <f>'Part VI-Revenues &amp; Expenses'!A1</f>
        <v>PART SIX - PROJECTED REVENUES &amp; EXPENSES  -  2015-026 Arbor Trace Apartments Phase II, Lake Park, Lowndes County</v>
      </c>
      <c r="B621" s="2905"/>
      <c r="C621" s="2905"/>
      <c r="D621" s="2905"/>
      <c r="E621" s="2905"/>
      <c r="F621" s="2905"/>
      <c r="G621" s="2905"/>
      <c r="H621" s="2905"/>
      <c r="I621" s="2905"/>
      <c r="J621" s="2905"/>
      <c r="K621" s="2905"/>
      <c r="L621" s="2905"/>
      <c r="M621" s="2905"/>
      <c r="N621" s="2905"/>
      <c r="O621" s="2905"/>
      <c r="P621" s="2905"/>
      <c r="T621" s="2905" t="str">
        <f>A621</f>
        <v>PART SIX - PROJECTED REVENUES &amp; EXPENSES  -  2015-026 Arbor Trace Apartments Phase II, Lake Park, Lowndes County</v>
      </c>
      <c r="U621" s="2905"/>
      <c r="ET621" s="2915"/>
      <c r="EU621" s="2915"/>
      <c r="EV621" s="2915"/>
      <c r="EW621" s="2915"/>
      <c r="EX621" s="2915"/>
      <c r="EY621" s="2915"/>
      <c r="EZ621" s="2915"/>
      <c r="FA621" s="2915"/>
      <c r="FB621" s="2915"/>
      <c r="FC621" s="2915"/>
      <c r="FD621" s="2915"/>
      <c r="FE621" s="2915"/>
      <c r="FF621" s="2915"/>
      <c r="FG621" s="2915"/>
      <c r="FH621" s="2915"/>
      <c r="FI621" s="2915"/>
      <c r="FJ621" s="2915"/>
      <c r="FK621" s="2915"/>
      <c r="FL621" s="2915"/>
      <c r="FM621" s="2915"/>
      <c r="FN621" s="2915"/>
      <c r="FO621" s="2915"/>
      <c r="FP621" s="2915"/>
      <c r="FQ621" s="2915"/>
      <c r="FR621" s="2915"/>
      <c r="FS621" s="2915"/>
      <c r="FT621" s="2915"/>
      <c r="FU621" s="2915"/>
      <c r="FV621" s="2915"/>
      <c r="FW621" s="2915"/>
      <c r="FX621" s="2915"/>
      <c r="FY621" s="2915"/>
      <c r="FZ621" s="2915"/>
      <c r="GA621" s="2915"/>
      <c r="GB621" s="2915"/>
      <c r="GC621" s="2915"/>
      <c r="GD621" s="2915"/>
      <c r="GE621" s="2915"/>
      <c r="GF621" s="2915"/>
      <c r="GG621" s="2915"/>
      <c r="GH621" s="2915"/>
      <c r="GI621" s="2915"/>
      <c r="GJ621" s="2915"/>
      <c r="GK621" s="2915"/>
      <c r="GL621" s="2915"/>
      <c r="GM621" s="2915"/>
      <c r="GN621" s="2915"/>
      <c r="GO621" s="2915"/>
      <c r="GP621" s="2915"/>
      <c r="GQ621" s="2915"/>
      <c r="GR621" s="2915"/>
      <c r="GS621" s="2915"/>
      <c r="GT621" s="2915"/>
      <c r="GU621" s="2915"/>
      <c r="GV621" s="2915"/>
      <c r="GW621" s="2915"/>
      <c r="GX621" s="2915"/>
      <c r="GY621" s="2915"/>
      <c r="GZ621" s="2915"/>
      <c r="HA621" s="2915"/>
      <c r="HB621" s="2915"/>
      <c r="HC621" s="2915"/>
      <c r="HD621" s="2915"/>
      <c r="HE621" s="2915"/>
      <c r="HF621" s="2915"/>
      <c r="HG621" s="2915"/>
      <c r="HH621" s="2915"/>
      <c r="HI621" s="2915"/>
      <c r="HJ621" s="2915"/>
      <c r="HK621" s="2915"/>
      <c r="HN621" s="2915"/>
      <c r="HO621" s="2915"/>
      <c r="HP621" s="2915"/>
      <c r="HU621" s="524"/>
      <c r="HZ621" s="524"/>
    </row>
    <row r="622" spans="1:266" ht="9" customHeight="1">
      <c r="V622" s="2916"/>
      <c r="W622" s="2916"/>
      <c r="X622" s="2916"/>
      <c r="Y622" s="2916"/>
      <c r="Z622" s="2916"/>
      <c r="AA622" s="2916"/>
      <c r="AB622" s="2916"/>
      <c r="AC622" s="2916"/>
      <c r="AD622" s="2916"/>
      <c r="AE622" s="2916"/>
      <c r="AF622" s="2916"/>
      <c r="AG622" s="2916"/>
      <c r="AH622" s="2916"/>
      <c r="AI622" s="2916"/>
      <c r="AJ622" s="2916"/>
      <c r="AK622" s="2916"/>
      <c r="AL622" s="2916"/>
      <c r="AM622" s="2916"/>
      <c r="AN622" s="2916"/>
      <c r="AO622" s="2916"/>
      <c r="AP622" s="2916"/>
      <c r="AQ622" s="2916"/>
      <c r="AR622" s="2916"/>
      <c r="AS622" s="2916"/>
      <c r="AT622" s="2916"/>
      <c r="AU622" s="2916"/>
      <c r="AV622" s="2916"/>
      <c r="AW622" s="2916"/>
      <c r="AX622" s="2916"/>
      <c r="AY622" s="2916"/>
      <c r="AZ622" s="2916"/>
      <c r="BA622" s="2916"/>
      <c r="BB622" s="2916"/>
      <c r="BC622" s="2916"/>
      <c r="BD622" s="2916"/>
      <c r="BE622" s="2916"/>
      <c r="BF622" s="2916"/>
      <c r="BG622" s="2916"/>
      <c r="BH622" s="2916"/>
      <c r="BI622" s="2916"/>
      <c r="BJ622" s="2916"/>
      <c r="BK622" s="2916"/>
      <c r="BL622" s="2916"/>
      <c r="BM622" s="2916"/>
      <c r="BN622" s="2916"/>
      <c r="BO622" s="2916"/>
      <c r="BP622" s="2916"/>
      <c r="BQ622" s="2916"/>
      <c r="BR622" s="2916"/>
      <c r="BS622" s="2916"/>
      <c r="BT622" s="2916"/>
      <c r="BU622" s="2916"/>
      <c r="BV622" s="2916"/>
      <c r="BW622" s="2916"/>
      <c r="BX622" s="2916"/>
      <c r="BY622" s="2916"/>
      <c r="BZ622" s="2916"/>
      <c r="CA622" s="2916"/>
      <c r="CB622" s="2916"/>
      <c r="CC622" s="2916"/>
      <c r="CD622" s="2916"/>
      <c r="CE622" s="2916"/>
      <c r="CF622" s="2916"/>
      <c r="CG622" s="2916"/>
      <c r="CH622" s="2916"/>
      <c r="CI622" s="2916"/>
      <c r="CJ622" s="2916"/>
      <c r="CK622" s="2916"/>
      <c r="CL622" s="2916"/>
      <c r="CM622" s="2916"/>
      <c r="CN622" s="2916"/>
      <c r="CO622" s="2916"/>
      <c r="CP622" s="2916"/>
      <c r="CQ622" s="2916"/>
      <c r="CR622" s="2916"/>
      <c r="CS622" s="2916"/>
      <c r="CT622" s="2916"/>
      <c r="CU622" s="2916"/>
      <c r="CV622" s="2916"/>
      <c r="CW622" s="2916"/>
      <c r="CX622" s="2916"/>
      <c r="CY622" s="2916"/>
      <c r="CZ622" s="2916"/>
      <c r="DA622" s="2916"/>
      <c r="DB622" s="2916"/>
      <c r="DC622" s="2916"/>
      <c r="DD622" s="2916"/>
      <c r="DE622" s="2916"/>
      <c r="DF622" s="2916"/>
      <c r="DG622" s="2916"/>
      <c r="DH622" s="2916"/>
      <c r="DI622" s="2916"/>
      <c r="DJ622" s="2916"/>
      <c r="DK622" s="2916"/>
      <c r="DL622" s="2916"/>
      <c r="DM622" s="2916"/>
      <c r="DN622" s="2916"/>
      <c r="DO622" s="2916"/>
      <c r="DP622" s="2916"/>
      <c r="DQ622" s="2916"/>
      <c r="DR622" s="2916"/>
      <c r="DS622" s="2916"/>
      <c r="DT622" s="2916"/>
      <c r="DU622" s="2916"/>
      <c r="DV622" s="2916"/>
      <c r="DW622" s="2916"/>
      <c r="DX622" s="2916"/>
      <c r="DY622" s="2916"/>
      <c r="DZ622" s="2916"/>
      <c r="EA622" s="2916"/>
      <c r="EB622" s="2916"/>
      <c r="EC622" s="2916"/>
      <c r="ED622" s="2916"/>
      <c r="EE622" s="2916"/>
      <c r="EF622" s="2916"/>
      <c r="EG622" s="2916"/>
      <c r="EH622" s="2916"/>
      <c r="EI622" s="2916"/>
      <c r="EJ622" s="2916"/>
      <c r="EK622" s="2916"/>
      <c r="EL622" s="2916"/>
      <c r="EM622" s="2916"/>
      <c r="EN622" s="2916"/>
      <c r="EO622" s="2916"/>
      <c r="EP622" s="2916"/>
      <c r="EQ622" s="2916"/>
      <c r="ER622" s="2916"/>
      <c r="ES622" s="2916"/>
      <c r="ET622" s="2916"/>
      <c r="EU622" s="2916"/>
      <c r="EV622" s="2917"/>
      <c r="EW622" s="2917"/>
      <c r="EX622" s="2917"/>
      <c r="EY622" s="2917"/>
      <c r="EZ622" s="2917"/>
      <c r="FA622" s="2917"/>
      <c r="FB622" s="2917"/>
      <c r="FC622" s="2917"/>
      <c r="FD622" s="2917"/>
      <c r="FE622" s="2917"/>
      <c r="FF622" s="2917"/>
      <c r="FG622" s="2917"/>
      <c r="FH622" s="2917"/>
      <c r="FI622" s="2917"/>
      <c r="FJ622" s="2917"/>
      <c r="FK622" s="2917"/>
      <c r="FL622" s="2917"/>
      <c r="FM622" s="2917"/>
      <c r="FN622" s="2917"/>
      <c r="FO622" s="2917"/>
      <c r="FP622" s="2917"/>
      <c r="FQ622" s="2917"/>
      <c r="FR622" s="2917"/>
      <c r="FS622" s="2917"/>
      <c r="FT622" s="2917"/>
      <c r="FU622" s="2917"/>
      <c r="FV622" s="2917"/>
      <c r="FW622" s="2917"/>
      <c r="FX622" s="2917"/>
      <c r="FY622" s="2917"/>
      <c r="FZ622" s="2917"/>
      <c r="GA622" s="2917"/>
      <c r="GB622" s="2917"/>
      <c r="GC622" s="2917"/>
      <c r="GD622" s="2917"/>
      <c r="GE622" s="2917"/>
      <c r="GF622" s="2917"/>
      <c r="GG622" s="2917"/>
      <c r="GH622" s="2917"/>
      <c r="GI622" s="2917"/>
      <c r="GJ622" s="2917"/>
      <c r="GK622" s="2917"/>
      <c r="GL622" s="2917"/>
      <c r="GM622" s="2917"/>
      <c r="GN622" s="2917"/>
      <c r="GO622" s="2917"/>
      <c r="GP622" s="2917"/>
      <c r="GQ622" s="2917"/>
      <c r="GR622" s="2917"/>
      <c r="GS622" s="2917"/>
      <c r="GT622" s="2917"/>
      <c r="GU622" s="2917"/>
      <c r="GV622" s="2917"/>
      <c r="GW622" s="2917"/>
      <c r="GX622" s="2917"/>
      <c r="GY622" s="2917"/>
      <c r="GZ622" s="2917"/>
      <c r="HA622" s="2917"/>
      <c r="HB622" s="2917"/>
      <c r="HC622" s="2917"/>
      <c r="HD622" s="2917"/>
      <c r="HE622" s="2917"/>
      <c r="HF622" s="2917"/>
      <c r="HG622" s="2917"/>
      <c r="HH622" s="2917"/>
      <c r="HI622" s="2917"/>
      <c r="HJ622" s="2917"/>
      <c r="HK622" s="2917"/>
      <c r="HL622" s="2917"/>
      <c r="HM622" s="2917"/>
      <c r="HN622" s="2917"/>
      <c r="HO622" s="2917"/>
      <c r="HP622" s="2917"/>
      <c r="HQ622" s="2917"/>
      <c r="HR622" s="2917"/>
      <c r="HS622" s="2916"/>
      <c r="HT622" s="2916"/>
      <c r="HU622" s="2916"/>
      <c r="HV622" s="2916"/>
      <c r="HW622" s="2916"/>
      <c r="HX622" s="2916"/>
      <c r="HY622" s="2916"/>
      <c r="HZ622" s="2916"/>
      <c r="IA622" s="2916"/>
      <c r="IB622" s="2916"/>
      <c r="IH622" s="2916"/>
      <c r="II622" s="2916"/>
      <c r="IJ622" s="2916"/>
      <c r="IK622" s="2916"/>
      <c r="IL622" s="2916"/>
      <c r="IM622" s="2916"/>
      <c r="IN622" s="2916"/>
      <c r="IO622" s="2916"/>
      <c r="IP622" s="2916"/>
      <c r="IQ622" s="2916"/>
      <c r="IR622" s="2916"/>
      <c r="IS622" s="2916"/>
      <c r="IT622" s="2916"/>
      <c r="IU622" s="2916"/>
      <c r="IV622" s="2916"/>
      <c r="IW622" s="2916"/>
      <c r="IX622" s="2916"/>
      <c r="IY622" s="2916"/>
      <c r="IZ622" s="2916"/>
      <c r="JA622" s="2916"/>
    </row>
    <row r="623" spans="1:266" s="521" customFormat="1" ht="12.6" customHeight="1">
      <c r="A623" s="524" t="s">
        <v>646</v>
      </c>
      <c r="B623" s="524" t="s">
        <v>2477</v>
      </c>
      <c r="D623" s="525" t="s">
        <v>4600</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918"/>
      <c r="EW623" s="2918"/>
      <c r="EX623" s="2918"/>
      <c r="EY623" s="2918"/>
      <c r="EZ623" s="2918"/>
      <c r="FA623" s="2917" t="s">
        <v>506</v>
      </c>
      <c r="FB623" s="2917" t="s">
        <v>2560</v>
      </c>
      <c r="FC623" s="2917" t="s">
        <v>2561</v>
      </c>
      <c r="FD623" s="2917" t="s">
        <v>2562</v>
      </c>
      <c r="FE623" s="2917" t="s">
        <v>2563</v>
      </c>
      <c r="FF623" s="2917" t="s">
        <v>506</v>
      </c>
      <c r="FG623" s="2917" t="s">
        <v>2560</v>
      </c>
      <c r="FH623" s="2917" t="s">
        <v>2561</v>
      </c>
      <c r="FI623" s="2917" t="s">
        <v>2562</v>
      </c>
      <c r="FJ623" s="2917" t="s">
        <v>2563</v>
      </c>
      <c r="FK623" s="2918"/>
      <c r="FL623" s="2918"/>
      <c r="FM623" s="2918"/>
      <c r="FN623" s="2918"/>
      <c r="FO623" s="2918"/>
      <c r="FP623" s="2918"/>
      <c r="FQ623" s="2918"/>
      <c r="FR623" s="2918"/>
      <c r="FS623" s="2918"/>
      <c r="FT623" s="2918"/>
      <c r="FU623" s="2917" t="s">
        <v>506</v>
      </c>
      <c r="FV623" s="2917" t="s">
        <v>2560</v>
      </c>
      <c r="FW623" s="2917" t="s">
        <v>2561</v>
      </c>
      <c r="FX623" s="2917" t="s">
        <v>2562</v>
      </c>
      <c r="FY623" s="2917" t="s">
        <v>2563</v>
      </c>
      <c r="FZ623" s="2917" t="s">
        <v>506</v>
      </c>
      <c r="GA623" s="2917" t="s">
        <v>2560</v>
      </c>
      <c r="GB623" s="2917" t="s">
        <v>2561</v>
      </c>
      <c r="GC623" s="2917" t="s">
        <v>2562</v>
      </c>
      <c r="GD623" s="2917" t="s">
        <v>2563</v>
      </c>
      <c r="GE623" s="2917" t="s">
        <v>506</v>
      </c>
      <c r="GF623" s="2917" t="s">
        <v>2560</v>
      </c>
      <c r="GG623" s="2917" t="s">
        <v>2561</v>
      </c>
      <c r="GH623" s="2917" t="s">
        <v>2562</v>
      </c>
      <c r="GI623" s="2917" t="s">
        <v>2563</v>
      </c>
      <c r="GJ623" s="2917" t="s">
        <v>506</v>
      </c>
      <c r="GK623" s="2917" t="s">
        <v>2560</v>
      </c>
      <c r="GL623" s="2917" t="s">
        <v>2561</v>
      </c>
      <c r="GM623" s="2917" t="s">
        <v>2562</v>
      </c>
      <c r="GN623" s="2917" t="s">
        <v>2563</v>
      </c>
      <c r="GO623" s="2917" t="s">
        <v>506</v>
      </c>
      <c r="GP623" s="2917" t="s">
        <v>2560</v>
      </c>
      <c r="GQ623" s="2917" t="s">
        <v>2561</v>
      </c>
      <c r="GR623" s="2917" t="s">
        <v>2562</v>
      </c>
      <c r="GS623" s="2917" t="s">
        <v>2563</v>
      </c>
      <c r="GT623" s="2917" t="s">
        <v>506</v>
      </c>
      <c r="GU623" s="2917" t="s">
        <v>2560</v>
      </c>
      <c r="GV623" s="2917" t="s">
        <v>2561</v>
      </c>
      <c r="GW623" s="2917" t="s">
        <v>2562</v>
      </c>
      <c r="GX623" s="2917" t="s">
        <v>2563</v>
      </c>
      <c r="GY623" s="2917" t="s">
        <v>506</v>
      </c>
      <c r="GZ623" s="2917" t="s">
        <v>2560</v>
      </c>
      <c r="HA623" s="2917" t="s">
        <v>2561</v>
      </c>
      <c r="HB623" s="2917" t="s">
        <v>2562</v>
      </c>
      <c r="HC623" s="2917" t="s">
        <v>2563</v>
      </c>
      <c r="HD623" s="2917" t="s">
        <v>506</v>
      </c>
      <c r="HE623" s="2917" t="s">
        <v>2560</v>
      </c>
      <c r="HF623" s="2917" t="s">
        <v>2561</v>
      </c>
      <c r="HG623" s="2917" t="s">
        <v>2562</v>
      </c>
      <c r="HH623" s="2917" t="s">
        <v>2563</v>
      </c>
      <c r="HI623" s="2917" t="s">
        <v>506</v>
      </c>
      <c r="HJ623" s="2917" t="s">
        <v>2560</v>
      </c>
      <c r="HK623" s="2917" t="s">
        <v>2561</v>
      </c>
      <c r="HL623" s="2917" t="s">
        <v>2562</v>
      </c>
      <c r="HM623" s="2917" t="s">
        <v>2563</v>
      </c>
      <c r="HN623" s="2917" t="s">
        <v>506</v>
      </c>
      <c r="HO623" s="2917" t="s">
        <v>2560</v>
      </c>
      <c r="HP623" s="2917" t="s">
        <v>2561</v>
      </c>
      <c r="HQ623" s="2917" t="s">
        <v>2562</v>
      </c>
      <c r="HR623" s="2917" t="s">
        <v>2563</v>
      </c>
      <c r="HS623" s="2917" t="s">
        <v>506</v>
      </c>
      <c r="HT623" s="2917" t="s">
        <v>2560</v>
      </c>
      <c r="HU623" s="2917" t="s">
        <v>2561</v>
      </c>
      <c r="HV623" s="2917" t="s">
        <v>2562</v>
      </c>
      <c r="HW623" s="2917" t="s">
        <v>2563</v>
      </c>
      <c r="HX623" s="2917" t="s">
        <v>506</v>
      </c>
      <c r="HY623" s="2917" t="s">
        <v>2560</v>
      </c>
      <c r="HZ623" s="2917" t="s">
        <v>2561</v>
      </c>
      <c r="IA623" s="2917" t="s">
        <v>2562</v>
      </c>
      <c r="IB623" s="2917" t="s">
        <v>2563</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919" t="s">
        <v>3999</v>
      </c>
      <c r="JC623" s="2919" t="s">
        <v>4000</v>
      </c>
      <c r="JD623" s="2919" t="s">
        <v>4001</v>
      </c>
      <c r="JE623" s="2919" t="s">
        <v>4002</v>
      </c>
      <c r="JF623" s="2919" t="s">
        <v>4003</v>
      </c>
    </row>
    <row r="624" spans="1:266" s="521" customFormat="1" ht="6" customHeight="1">
      <c r="B624" s="524"/>
      <c r="D624" s="524"/>
      <c r="P624" s="2920" t="s">
        <v>4034</v>
      </c>
      <c r="Q624" s="2921"/>
      <c r="R624" s="2921"/>
      <c r="S624" s="2921"/>
      <c r="T624" s="2921"/>
      <c r="V624" s="2922" t="s">
        <v>962</v>
      </c>
      <c r="W624" s="2922" t="s">
        <v>795</v>
      </c>
      <c r="X624" s="2922" t="s">
        <v>796</v>
      </c>
      <c r="Y624" s="2922" t="s">
        <v>797</v>
      </c>
      <c r="Z624" s="2922" t="s">
        <v>798</v>
      </c>
      <c r="AA624" s="2922" t="s">
        <v>963</v>
      </c>
      <c r="AB624" s="2922" t="s">
        <v>2418</v>
      </c>
      <c r="AC624" s="2922" t="s">
        <v>2419</v>
      </c>
      <c r="AD624" s="2922" t="s">
        <v>2420</v>
      </c>
      <c r="AE624" s="2922" t="s">
        <v>2421</v>
      </c>
      <c r="AF624" s="2922" t="s">
        <v>964</v>
      </c>
      <c r="AG624" s="2922" t="s">
        <v>2422</v>
      </c>
      <c r="AH624" s="2922" t="s">
        <v>2423</v>
      </c>
      <c r="AI624" s="2922" t="s">
        <v>2424</v>
      </c>
      <c r="AJ624" s="2922" t="s">
        <v>2425</v>
      </c>
      <c r="AK624" s="2922" t="s">
        <v>131</v>
      </c>
      <c r="AL624" s="2922" t="s">
        <v>2426</v>
      </c>
      <c r="AM624" s="2922" t="s">
        <v>2427</v>
      </c>
      <c r="AN624" s="2922" t="s">
        <v>2428</v>
      </c>
      <c r="AO624" s="2922" t="s">
        <v>1202</v>
      </c>
      <c r="AP624" s="2922" t="s">
        <v>579</v>
      </c>
      <c r="AQ624" s="2922" t="s">
        <v>580</v>
      </c>
      <c r="AR624" s="2922" t="s">
        <v>604</v>
      </c>
      <c r="AS624" s="2922" t="s">
        <v>605</v>
      </c>
      <c r="AT624" s="2922" t="s">
        <v>606</v>
      </c>
      <c r="AU624" s="2922" t="s">
        <v>607</v>
      </c>
      <c r="AV624" s="2922" t="s">
        <v>608</v>
      </c>
      <c r="AW624" s="2922" t="s">
        <v>609</v>
      </c>
      <c r="AX624" s="2922" t="s">
        <v>610</v>
      </c>
      <c r="AY624" s="2922" t="s">
        <v>611</v>
      </c>
      <c r="AZ624" s="2922" t="s">
        <v>612</v>
      </c>
      <c r="BA624" s="2922" t="s">
        <v>613</v>
      </c>
      <c r="BB624" s="2922" t="s">
        <v>974</v>
      </c>
      <c r="BC624" s="2922" t="s">
        <v>975</v>
      </c>
      <c r="BD624" s="2922" t="s">
        <v>976</v>
      </c>
      <c r="BE624" s="2922" t="s">
        <v>518</v>
      </c>
      <c r="BF624" s="2922" t="s">
        <v>519</v>
      </c>
      <c r="BG624" s="2922" t="s">
        <v>520</v>
      </c>
      <c r="BH624" s="2922" t="s">
        <v>521</v>
      </c>
      <c r="BI624" s="2922" t="s">
        <v>522</v>
      </c>
      <c r="BJ624" s="2922" t="s">
        <v>922</v>
      </c>
      <c r="BK624" s="2922" t="s">
        <v>923</v>
      </c>
      <c r="BL624" s="2922" t="s">
        <v>924</v>
      </c>
      <c r="BM624" s="2922" t="s">
        <v>925</v>
      </c>
      <c r="BN624" s="2922" t="s">
        <v>926</v>
      </c>
      <c r="BO624" s="2922" t="s">
        <v>927</v>
      </c>
      <c r="BP624" s="2922" t="s">
        <v>928</v>
      </c>
      <c r="BQ624" s="2922" t="s">
        <v>929</v>
      </c>
      <c r="BR624" s="2922" t="s">
        <v>930</v>
      </c>
      <c r="BS624" s="2922" t="s">
        <v>931</v>
      </c>
      <c r="BT624" s="2922" t="s">
        <v>2550</v>
      </c>
      <c r="BU624" s="2922" t="s">
        <v>2551</v>
      </c>
      <c r="BV624" s="2922" t="s">
        <v>2552</v>
      </c>
      <c r="BW624" s="2922" t="s">
        <v>2553</v>
      </c>
      <c r="BX624" s="2922" t="s">
        <v>2554</v>
      </c>
      <c r="BY624" s="2922" t="s">
        <v>119</v>
      </c>
      <c r="BZ624" s="2922" t="s">
        <v>1205</v>
      </c>
      <c r="CA624" s="2922" t="s">
        <v>1206</v>
      </c>
      <c r="CB624" s="2922" t="s">
        <v>1271</v>
      </c>
      <c r="CC624" s="2922" t="s">
        <v>1272</v>
      </c>
      <c r="CD624" s="2919" t="s">
        <v>134</v>
      </c>
      <c r="CE624" s="2919" t="s">
        <v>1273</v>
      </c>
      <c r="CF624" s="2919" t="s">
        <v>1274</v>
      </c>
      <c r="CG624" s="2919" t="s">
        <v>1275</v>
      </c>
      <c r="CH624" s="2919" t="s">
        <v>1276</v>
      </c>
      <c r="CI624" s="2919" t="s">
        <v>133</v>
      </c>
      <c r="CJ624" s="2919" t="s">
        <v>954</v>
      </c>
      <c r="CK624" s="2919" t="s">
        <v>955</v>
      </c>
      <c r="CL624" s="2919" t="s">
        <v>956</v>
      </c>
      <c r="CM624" s="2919" t="s">
        <v>957</v>
      </c>
      <c r="CN624" s="2919" t="s">
        <v>132</v>
      </c>
      <c r="CO624" s="2919" t="s">
        <v>958</v>
      </c>
      <c r="CP624" s="2919" t="s">
        <v>959</v>
      </c>
      <c r="CQ624" s="2919" t="s">
        <v>960</v>
      </c>
      <c r="CR624" s="2919" t="s">
        <v>961</v>
      </c>
      <c r="CS624" s="2919" t="s">
        <v>850</v>
      </c>
      <c r="CT624" s="2919" t="s">
        <v>851</v>
      </c>
      <c r="CU624" s="2919" t="s">
        <v>852</v>
      </c>
      <c r="CV624" s="2919" t="s">
        <v>853</v>
      </c>
      <c r="CW624" s="2919" t="s">
        <v>854</v>
      </c>
      <c r="CX624" s="2919" t="s">
        <v>1001</v>
      </c>
      <c r="CY624" s="2919" t="s">
        <v>1002</v>
      </c>
      <c r="CZ624" s="2919" t="s">
        <v>1003</v>
      </c>
      <c r="DA624" s="2919" t="s">
        <v>1004</v>
      </c>
      <c r="DB624" s="2919" t="s">
        <v>2549</v>
      </c>
      <c r="DC624" s="2919" t="s">
        <v>1504</v>
      </c>
      <c r="DD624" s="2919" t="s">
        <v>1505</v>
      </c>
      <c r="DE624" s="2919" t="s">
        <v>1506</v>
      </c>
      <c r="DF624" s="2919" t="s">
        <v>1507</v>
      </c>
      <c r="DG624" s="2919" t="s">
        <v>1508</v>
      </c>
      <c r="DH624" s="2919" t="s">
        <v>453</v>
      </c>
      <c r="DI624" s="2919" t="s">
        <v>454</v>
      </c>
      <c r="DJ624" s="2919" t="s">
        <v>455</v>
      </c>
      <c r="DK624" s="2919" t="s">
        <v>456</v>
      </c>
      <c r="DL624" s="2919" t="s">
        <v>457</v>
      </c>
      <c r="DM624" s="2919" t="s">
        <v>18</v>
      </c>
      <c r="DN624" s="2919" t="s">
        <v>19</v>
      </c>
      <c r="DO624" s="2919" t="s">
        <v>20</v>
      </c>
      <c r="DP624" s="2919" t="s">
        <v>21</v>
      </c>
      <c r="DQ624" s="2919" t="s">
        <v>22</v>
      </c>
      <c r="DR624" s="2919" t="s">
        <v>231</v>
      </c>
      <c r="DS624" s="2919" t="s">
        <v>232</v>
      </c>
      <c r="DT624" s="2919" t="s">
        <v>233</v>
      </c>
      <c r="DU624" s="2919" t="s">
        <v>1901</v>
      </c>
      <c r="DV624" s="2919" t="s">
        <v>1902</v>
      </c>
      <c r="DW624" s="2919" t="s">
        <v>1903</v>
      </c>
      <c r="DX624" s="2919" t="s">
        <v>620</v>
      </c>
      <c r="DY624" s="2919" t="s">
        <v>621</v>
      </c>
      <c r="DZ624" s="2919" t="s">
        <v>622</v>
      </c>
      <c r="EA624" s="2919" t="s">
        <v>623</v>
      </c>
      <c r="EB624" s="2919" t="s">
        <v>23</v>
      </c>
      <c r="EC624" s="2919" t="s">
        <v>24</v>
      </c>
      <c r="ED624" s="2919" t="s">
        <v>25</v>
      </c>
      <c r="EE624" s="2919" t="s">
        <v>26</v>
      </c>
      <c r="EF624" s="2919" t="s">
        <v>27</v>
      </c>
      <c r="EG624" s="2919" t="s">
        <v>517</v>
      </c>
      <c r="EH624" s="2919" t="s">
        <v>449</v>
      </c>
      <c r="EI624" s="2919" t="s">
        <v>450</v>
      </c>
      <c r="EJ624" s="2919" t="s">
        <v>451</v>
      </c>
      <c r="EK624" s="2919" t="s">
        <v>452</v>
      </c>
      <c r="EL624" s="2919" t="s">
        <v>2312</v>
      </c>
      <c r="EM624" s="2919" t="s">
        <v>2313</v>
      </c>
      <c r="EN624" s="2919" t="s">
        <v>2314</v>
      </c>
      <c r="EO624" s="2919" t="s">
        <v>1554</v>
      </c>
      <c r="EP624" s="2919" t="s">
        <v>1555</v>
      </c>
      <c r="EQ624" s="2919" t="s">
        <v>28</v>
      </c>
      <c r="ER624" s="2919" t="s">
        <v>29</v>
      </c>
      <c r="ES624" s="2919" t="s">
        <v>30</v>
      </c>
      <c r="ET624" s="2919" t="s">
        <v>31</v>
      </c>
      <c r="EU624" s="2919" t="s">
        <v>32</v>
      </c>
      <c r="EV624" s="2915"/>
      <c r="EW624" s="2915"/>
      <c r="EX624" s="2915"/>
      <c r="EY624" s="2915"/>
      <c r="EZ624" s="2915"/>
      <c r="FA624" s="2915"/>
      <c r="FB624" s="2915"/>
      <c r="FC624" s="2915"/>
      <c r="FD624" s="2915"/>
      <c r="FE624" s="2915"/>
      <c r="FF624" s="2915"/>
      <c r="FG624" s="2915"/>
      <c r="FH624" s="2915"/>
      <c r="FI624" s="2915"/>
      <c r="FJ624" s="2915"/>
      <c r="FK624" s="2915"/>
      <c r="FL624" s="2915"/>
      <c r="FM624" s="2915"/>
      <c r="FN624" s="2915"/>
      <c r="FO624" s="2915"/>
      <c r="FP624" s="2915"/>
      <c r="FQ624" s="2915"/>
      <c r="FR624" s="2915"/>
      <c r="FS624" s="2915"/>
      <c r="FT624" s="2915"/>
      <c r="FU624" s="2915"/>
      <c r="FV624" s="2915"/>
      <c r="FW624" s="2915"/>
      <c r="FX624" s="2915"/>
      <c r="FY624" s="2915"/>
      <c r="FZ624" s="2915"/>
      <c r="GA624" s="2915"/>
      <c r="GB624" s="2915"/>
      <c r="GC624" s="2915"/>
      <c r="GD624" s="2915"/>
      <c r="GE624" s="2915"/>
      <c r="GF624" s="2915"/>
      <c r="GG624" s="2915"/>
      <c r="GH624" s="2915"/>
      <c r="GI624" s="2915"/>
      <c r="GJ624" s="2915"/>
      <c r="GK624" s="2915"/>
      <c r="GL624" s="2915"/>
      <c r="GM624" s="2915"/>
      <c r="GN624" s="2915"/>
      <c r="GO624" s="2915"/>
      <c r="GP624" s="2915"/>
      <c r="GQ624" s="2915"/>
      <c r="GR624" s="2915"/>
      <c r="GS624" s="2915"/>
      <c r="GT624" s="2915"/>
      <c r="GU624" s="2915"/>
      <c r="GV624" s="2915"/>
      <c r="GW624" s="2915"/>
      <c r="GX624" s="2915"/>
      <c r="GY624" s="2915"/>
      <c r="GZ624" s="2915"/>
      <c r="HA624" s="2915"/>
      <c r="HB624" s="2915"/>
      <c r="HC624" s="2915"/>
      <c r="HD624" s="2915"/>
      <c r="HE624" s="2915"/>
      <c r="HF624" s="2915"/>
      <c r="HG624" s="2915"/>
      <c r="HH624" s="2915"/>
      <c r="HI624" s="2915"/>
      <c r="HJ624" s="2915"/>
      <c r="HK624" s="2915"/>
      <c r="HL624" s="2915"/>
      <c r="HM624" s="2915"/>
      <c r="HN624" s="2915"/>
      <c r="HO624" s="2915"/>
      <c r="HP624" s="2915"/>
      <c r="HQ624" s="2915"/>
      <c r="HR624" s="2915"/>
      <c r="IC624" s="2919" t="s">
        <v>1702</v>
      </c>
      <c r="ID624" s="2919" t="s">
        <v>2649</v>
      </c>
      <c r="IE624" s="2919" t="s">
        <v>2650</v>
      </c>
      <c r="IF624" s="2919" t="s">
        <v>400</v>
      </c>
      <c r="IG624" s="2919" t="s">
        <v>401</v>
      </c>
      <c r="IH624" s="2919" t="s">
        <v>402</v>
      </c>
      <c r="II624" s="2919" t="s">
        <v>403</v>
      </c>
      <c r="IJ624" s="2919" t="s">
        <v>404</v>
      </c>
      <c r="IK624" s="2919" t="s">
        <v>405</v>
      </c>
      <c r="IL624" s="2919" t="s">
        <v>406</v>
      </c>
      <c r="IM624" s="2919" t="s">
        <v>208</v>
      </c>
      <c r="IN624" s="2919" t="s">
        <v>209</v>
      </c>
      <c r="IO624" s="2919" t="s">
        <v>210</v>
      </c>
      <c r="IP624" s="2919" t="s">
        <v>211</v>
      </c>
      <c r="IQ624" s="2919" t="s">
        <v>212</v>
      </c>
      <c r="IR624" s="2919" t="s">
        <v>213</v>
      </c>
      <c r="IS624" s="2919" t="s">
        <v>214</v>
      </c>
      <c r="IT624" s="2919" t="s">
        <v>215</v>
      </c>
      <c r="IU624" s="2919" t="s">
        <v>216</v>
      </c>
      <c r="IV624" s="2919" t="s">
        <v>217</v>
      </c>
      <c r="IW624" s="2919" t="s">
        <v>218</v>
      </c>
      <c r="IX624" s="2919" t="s">
        <v>219</v>
      </c>
      <c r="IY624" s="2919" t="s">
        <v>220</v>
      </c>
      <c r="IZ624" s="2919" t="s">
        <v>221</v>
      </c>
      <c r="JA624" s="2919" t="s">
        <v>222</v>
      </c>
      <c r="JB624" s="2919"/>
      <c r="JC624" s="2919"/>
      <c r="JD624" s="2919"/>
      <c r="JE624" s="2919"/>
      <c r="JF624" s="2919"/>
    </row>
    <row r="625" spans="1:276" s="521" customFormat="1" ht="13.15" customHeight="1">
      <c r="A625" s="2923" t="str">
        <f>IF(A668&gt;0,"Finish Row!","")</f>
        <v/>
      </c>
      <c r="B625" s="524" t="s">
        <v>1938</v>
      </c>
      <c r="E625" s="524"/>
      <c r="G625" s="2915">
        <f>'Part VI-Revenues &amp; Expenses'!G5</f>
        <v>0</v>
      </c>
      <c r="M625" s="2906" t="s">
        <v>603</v>
      </c>
      <c r="O625" s="2924" t="s">
        <v>1084</v>
      </c>
      <c r="P625" s="2920"/>
      <c r="V625" s="2922"/>
      <c r="W625" s="2922"/>
      <c r="X625" s="2922"/>
      <c r="Y625" s="2922"/>
      <c r="Z625" s="2922"/>
      <c r="AA625" s="2922"/>
      <c r="AB625" s="2922"/>
      <c r="AC625" s="2922"/>
      <c r="AD625" s="2922"/>
      <c r="AE625" s="2922"/>
      <c r="AF625" s="2922"/>
      <c r="AG625" s="2922"/>
      <c r="AH625" s="2922"/>
      <c r="AI625" s="2922"/>
      <c r="AJ625" s="2922"/>
      <c r="AK625" s="2922"/>
      <c r="AL625" s="2922"/>
      <c r="AM625" s="2922"/>
      <c r="AN625" s="2922"/>
      <c r="AO625" s="2922"/>
      <c r="AP625" s="2922"/>
      <c r="AQ625" s="2922"/>
      <c r="AR625" s="2922"/>
      <c r="AS625" s="2922"/>
      <c r="AT625" s="2922"/>
      <c r="AU625" s="2922"/>
      <c r="AV625" s="2922"/>
      <c r="AW625" s="2922"/>
      <c r="AX625" s="2922"/>
      <c r="AY625" s="2922"/>
      <c r="AZ625" s="2922"/>
      <c r="BA625" s="2922"/>
      <c r="BB625" s="2922"/>
      <c r="BC625" s="2922"/>
      <c r="BD625" s="2922"/>
      <c r="BE625" s="2922"/>
      <c r="BF625" s="2922"/>
      <c r="BG625" s="2922"/>
      <c r="BH625" s="2922"/>
      <c r="BI625" s="2922"/>
      <c r="BJ625" s="2922"/>
      <c r="BK625" s="2922"/>
      <c r="BL625" s="2922"/>
      <c r="BM625" s="2922"/>
      <c r="BN625" s="2922"/>
      <c r="BO625" s="2922"/>
      <c r="BP625" s="2922"/>
      <c r="BQ625" s="2922"/>
      <c r="BR625" s="2922"/>
      <c r="BS625" s="2922"/>
      <c r="BT625" s="2922"/>
      <c r="BU625" s="2922"/>
      <c r="BV625" s="2922"/>
      <c r="BW625" s="2922"/>
      <c r="BX625" s="2922"/>
      <c r="BY625" s="2922"/>
      <c r="BZ625" s="2922"/>
      <c r="CA625" s="2922"/>
      <c r="CB625" s="2922"/>
      <c r="CC625" s="2922"/>
      <c r="CD625" s="2919"/>
      <c r="CE625" s="2919"/>
      <c r="CF625" s="2919"/>
      <c r="CG625" s="2919"/>
      <c r="CH625" s="2919"/>
      <c r="CI625" s="2919"/>
      <c r="CJ625" s="2919"/>
      <c r="CK625" s="2919"/>
      <c r="CL625" s="2919"/>
      <c r="CM625" s="2919"/>
      <c r="CN625" s="2919"/>
      <c r="CO625" s="2919"/>
      <c r="CP625" s="2919"/>
      <c r="CQ625" s="2919"/>
      <c r="CR625" s="2919"/>
      <c r="CS625" s="2919"/>
      <c r="CT625" s="2919"/>
      <c r="CU625" s="2919"/>
      <c r="CV625" s="2919"/>
      <c r="CW625" s="2919"/>
      <c r="CX625" s="2919"/>
      <c r="CY625" s="2919"/>
      <c r="CZ625" s="2919"/>
      <c r="DA625" s="2919"/>
      <c r="DB625" s="2919"/>
      <c r="DC625" s="2919"/>
      <c r="DD625" s="2919"/>
      <c r="DE625" s="2919"/>
      <c r="DF625" s="2919"/>
      <c r="DG625" s="2919"/>
      <c r="DH625" s="2919"/>
      <c r="DI625" s="2919"/>
      <c r="DJ625" s="2919"/>
      <c r="DK625" s="2919"/>
      <c r="DL625" s="2919"/>
      <c r="DM625" s="2919"/>
      <c r="DN625" s="2919"/>
      <c r="DO625" s="2919"/>
      <c r="DP625" s="2919"/>
      <c r="DQ625" s="2919"/>
      <c r="DR625" s="2919"/>
      <c r="DS625" s="2919"/>
      <c r="DT625" s="2919"/>
      <c r="DU625" s="2919"/>
      <c r="DV625" s="2919"/>
      <c r="DW625" s="2919"/>
      <c r="DX625" s="2919"/>
      <c r="DY625" s="2919"/>
      <c r="DZ625" s="2919"/>
      <c r="EA625" s="2919"/>
      <c r="EB625" s="2919"/>
      <c r="EC625" s="2919"/>
      <c r="ED625" s="2919"/>
      <c r="EE625" s="2919"/>
      <c r="EF625" s="2919"/>
      <c r="EG625" s="2919"/>
      <c r="EH625" s="2919"/>
      <c r="EI625" s="2919"/>
      <c r="EJ625" s="2919"/>
      <c r="EK625" s="2919"/>
      <c r="EL625" s="2919"/>
      <c r="EM625" s="2919"/>
      <c r="EN625" s="2919"/>
      <c r="EO625" s="2919"/>
      <c r="EP625" s="2919"/>
      <c r="EQ625" s="2919"/>
      <c r="ER625" s="2919"/>
      <c r="ES625" s="2919"/>
      <c r="ET625" s="2919"/>
      <c r="EU625" s="2919"/>
      <c r="EV625" s="2915"/>
      <c r="EW625" s="2915"/>
      <c r="EX625" s="2915"/>
      <c r="EY625" s="2915"/>
      <c r="EZ625" s="2915"/>
      <c r="FA625" s="2915"/>
      <c r="FB625" s="2915"/>
      <c r="FC625" s="2915"/>
      <c r="FD625" s="2915"/>
      <c r="FE625" s="2915"/>
      <c r="FF625" s="2915"/>
      <c r="FG625" s="2915"/>
      <c r="FH625" s="2915"/>
      <c r="FI625" s="2915"/>
      <c r="FJ625" s="2915"/>
      <c r="FK625" s="2915"/>
      <c r="FL625" s="2915"/>
      <c r="FM625" s="2915"/>
      <c r="FN625" s="2915"/>
      <c r="FO625" s="2915"/>
      <c r="FP625" s="2915"/>
      <c r="FQ625" s="2915"/>
      <c r="FR625" s="2915"/>
      <c r="FS625" s="2915"/>
      <c r="FT625" s="2915"/>
      <c r="FU625" s="2915"/>
      <c r="FV625" s="2915"/>
      <c r="FW625" s="2915"/>
      <c r="FX625" s="2915"/>
      <c r="FY625" s="2915"/>
      <c r="FZ625" s="2915"/>
      <c r="GA625" s="2915"/>
      <c r="GB625" s="2915"/>
      <c r="GC625" s="2915"/>
      <c r="GD625" s="2915"/>
      <c r="GE625" s="2915"/>
      <c r="GF625" s="2915"/>
      <c r="GG625" s="2915"/>
      <c r="GH625" s="2915"/>
      <c r="GI625" s="2915"/>
      <c r="GJ625" s="2915"/>
      <c r="GK625" s="2915"/>
      <c r="GL625" s="2915"/>
      <c r="GM625" s="2915"/>
      <c r="GN625" s="2915"/>
      <c r="GO625" s="2915"/>
      <c r="GP625" s="2915"/>
      <c r="GQ625" s="2915"/>
      <c r="GR625" s="2915"/>
      <c r="GS625" s="2915"/>
      <c r="GT625" s="2915"/>
      <c r="GU625" s="2915"/>
      <c r="GV625" s="2915"/>
      <c r="GW625" s="2915"/>
      <c r="GX625" s="2915"/>
      <c r="GY625" s="2915"/>
      <c r="GZ625" s="2915"/>
      <c r="HA625" s="2915"/>
      <c r="HB625" s="2915"/>
      <c r="HC625" s="2915"/>
      <c r="HD625" s="2915"/>
      <c r="HE625" s="2915"/>
      <c r="HF625" s="2915"/>
      <c r="HG625" s="2915"/>
      <c r="HH625" s="2915"/>
      <c r="HI625" s="2915"/>
      <c r="HJ625" s="2915"/>
      <c r="HK625" s="2915"/>
      <c r="HL625" s="2915"/>
      <c r="HM625" s="2915"/>
      <c r="HN625" s="2915"/>
      <c r="HO625" s="2915"/>
      <c r="HP625" s="2915"/>
      <c r="HQ625" s="2915"/>
      <c r="HR625" s="2915"/>
      <c r="IC625" s="2919"/>
      <c r="ID625" s="2919"/>
      <c r="IE625" s="2919"/>
      <c r="IF625" s="2919"/>
      <c r="IG625" s="2919"/>
      <c r="IH625" s="2919"/>
      <c r="II625" s="2919"/>
      <c r="IJ625" s="2919"/>
      <c r="IK625" s="2919"/>
      <c r="IL625" s="2919"/>
      <c r="IM625" s="2919"/>
      <c r="IN625" s="2919"/>
      <c r="IO625" s="2919"/>
      <c r="IP625" s="2919"/>
      <c r="IQ625" s="2919"/>
      <c r="IR625" s="2919"/>
      <c r="IS625" s="2919"/>
      <c r="IT625" s="2919"/>
      <c r="IU625" s="2919"/>
      <c r="IV625" s="2919"/>
      <c r="IW625" s="2919"/>
      <c r="IX625" s="2919"/>
      <c r="IY625" s="2919"/>
      <c r="IZ625" s="2919"/>
      <c r="JA625" s="2919"/>
      <c r="JB625" s="2919"/>
      <c r="JC625" s="2919"/>
      <c r="JD625" s="2919"/>
      <c r="JE625" s="2919"/>
      <c r="JF625" s="2919"/>
      <c r="JG625" s="2925" t="s">
        <v>3994</v>
      </c>
      <c r="JH625" s="2925" t="s">
        <v>3995</v>
      </c>
      <c r="JI625" s="2925" t="s">
        <v>3996</v>
      </c>
      <c r="JJ625" s="2925" t="s">
        <v>3997</v>
      </c>
      <c r="JK625" s="2925" t="s">
        <v>3998</v>
      </c>
      <c r="JL625" s="2919" t="s">
        <v>4008</v>
      </c>
      <c r="JM625" s="2919" t="s">
        <v>4010</v>
      </c>
      <c r="JN625" s="2919" t="s">
        <v>4011</v>
      </c>
      <c r="JO625" s="2919" t="s">
        <v>4012</v>
      </c>
      <c r="JP625" s="2919" t="s">
        <v>4013</v>
      </c>
    </row>
    <row r="626" spans="1:276" s="521" customFormat="1" ht="13.15" customHeight="1">
      <c r="A626" s="2923"/>
      <c r="B626" s="2926" t="s">
        <v>1894</v>
      </c>
      <c r="E626" s="524"/>
      <c r="G626" s="2915" t="str">
        <f>'Part VI-Revenues &amp; Expenses'!G6</f>
        <v>No</v>
      </c>
      <c r="J626" s="2927" t="s">
        <v>2523</v>
      </c>
      <c r="M626" s="2928" t="str">
        <f>'Part I-Project Information'!$O$30</f>
        <v>Valdosta</v>
      </c>
      <c r="N626" s="2928"/>
      <c r="O626" s="2929">
        <f>VLOOKUP('Part I-Project Information'!$O$30,'DCA Underwriting Assumptions'!$C$127:$D$237,2)</f>
        <v>50400</v>
      </c>
      <c r="P626" s="2920"/>
      <c r="R626" s="2905" t="s">
        <v>2859</v>
      </c>
      <c r="S626" s="2905"/>
      <c r="V626" s="2922"/>
      <c r="W626" s="2922"/>
      <c r="X626" s="2922"/>
      <c r="Y626" s="2922"/>
      <c r="Z626" s="2922"/>
      <c r="AA626" s="2922"/>
      <c r="AB626" s="2922"/>
      <c r="AC626" s="2922"/>
      <c r="AD626" s="2922"/>
      <c r="AE626" s="2922"/>
      <c r="AF626" s="2922"/>
      <c r="AG626" s="2922"/>
      <c r="AH626" s="2922"/>
      <c r="AI626" s="2922"/>
      <c r="AJ626" s="2922"/>
      <c r="AK626" s="2922"/>
      <c r="AL626" s="2922"/>
      <c r="AM626" s="2922"/>
      <c r="AN626" s="2922"/>
      <c r="AO626" s="2922"/>
      <c r="AP626" s="2922"/>
      <c r="AQ626" s="2922"/>
      <c r="AR626" s="2922"/>
      <c r="AS626" s="2922"/>
      <c r="AT626" s="2922"/>
      <c r="AU626" s="2922"/>
      <c r="AV626" s="2922"/>
      <c r="AW626" s="2922"/>
      <c r="AX626" s="2922"/>
      <c r="AY626" s="2922"/>
      <c r="AZ626" s="2922"/>
      <c r="BA626" s="2922"/>
      <c r="BB626" s="2922"/>
      <c r="BC626" s="2922"/>
      <c r="BD626" s="2922"/>
      <c r="BE626" s="2922"/>
      <c r="BF626" s="2922"/>
      <c r="BG626" s="2922"/>
      <c r="BH626" s="2922"/>
      <c r="BI626" s="2922"/>
      <c r="BJ626" s="2922"/>
      <c r="BK626" s="2922"/>
      <c r="BL626" s="2922"/>
      <c r="BM626" s="2922"/>
      <c r="BN626" s="2922"/>
      <c r="BO626" s="2922"/>
      <c r="BP626" s="2922"/>
      <c r="BQ626" s="2922"/>
      <c r="BR626" s="2922"/>
      <c r="BS626" s="2922"/>
      <c r="BT626" s="2922"/>
      <c r="BU626" s="2922"/>
      <c r="BV626" s="2922"/>
      <c r="BW626" s="2922"/>
      <c r="BX626" s="2922"/>
      <c r="BY626" s="2922"/>
      <c r="BZ626" s="2922"/>
      <c r="CA626" s="2922"/>
      <c r="CB626" s="2922"/>
      <c r="CC626" s="2922"/>
      <c r="CD626" s="2919"/>
      <c r="CE626" s="2919"/>
      <c r="CF626" s="2919"/>
      <c r="CG626" s="2919"/>
      <c r="CH626" s="2919"/>
      <c r="CI626" s="2919"/>
      <c r="CJ626" s="2919"/>
      <c r="CK626" s="2919"/>
      <c r="CL626" s="2919"/>
      <c r="CM626" s="2919"/>
      <c r="CN626" s="2919"/>
      <c r="CO626" s="2919"/>
      <c r="CP626" s="2919"/>
      <c r="CQ626" s="2919"/>
      <c r="CR626" s="2919"/>
      <c r="CS626" s="2919"/>
      <c r="CT626" s="2919"/>
      <c r="CU626" s="2919"/>
      <c r="CV626" s="2919"/>
      <c r="CW626" s="2919"/>
      <c r="CX626" s="2919"/>
      <c r="CY626" s="2919"/>
      <c r="CZ626" s="2919"/>
      <c r="DA626" s="2919"/>
      <c r="DB626" s="2919"/>
      <c r="DC626" s="2919"/>
      <c r="DD626" s="2919"/>
      <c r="DE626" s="2919"/>
      <c r="DF626" s="2919"/>
      <c r="DG626" s="2919"/>
      <c r="DH626" s="2919"/>
      <c r="DI626" s="2919"/>
      <c r="DJ626" s="2919"/>
      <c r="DK626" s="2919"/>
      <c r="DL626" s="2919"/>
      <c r="DM626" s="2919"/>
      <c r="DN626" s="2919"/>
      <c r="DO626" s="2919"/>
      <c r="DP626" s="2919"/>
      <c r="DQ626" s="2919"/>
      <c r="DR626" s="2919"/>
      <c r="DS626" s="2919"/>
      <c r="DT626" s="2919"/>
      <c r="DU626" s="2919"/>
      <c r="DV626" s="2919"/>
      <c r="DW626" s="2919"/>
      <c r="DX626" s="2919"/>
      <c r="DY626" s="2919"/>
      <c r="DZ626" s="2919"/>
      <c r="EA626" s="2919"/>
      <c r="EB626" s="2919"/>
      <c r="EC626" s="2919"/>
      <c r="ED626" s="2919"/>
      <c r="EE626" s="2919"/>
      <c r="EF626" s="2919"/>
      <c r="EG626" s="2919"/>
      <c r="EH626" s="2919"/>
      <c r="EI626" s="2919"/>
      <c r="EJ626" s="2919"/>
      <c r="EK626" s="2919"/>
      <c r="EL626" s="2919"/>
      <c r="EM626" s="2919"/>
      <c r="EN626" s="2919"/>
      <c r="EO626" s="2919"/>
      <c r="EP626" s="2919"/>
      <c r="EQ626" s="2919"/>
      <c r="ER626" s="2919"/>
      <c r="ES626" s="2919"/>
      <c r="ET626" s="2919"/>
      <c r="EU626" s="2919"/>
      <c r="EV626" s="2915"/>
      <c r="EW626" s="2915"/>
      <c r="EX626" s="2915"/>
      <c r="EY626" s="2915"/>
      <c r="EZ626" s="2915"/>
      <c r="FA626" s="2915"/>
      <c r="FB626" s="2915"/>
      <c r="FC626" s="2915"/>
      <c r="FD626" s="2915"/>
      <c r="FE626" s="2915"/>
      <c r="FF626" s="2915"/>
      <c r="FG626" s="2915"/>
      <c r="FH626" s="2915"/>
      <c r="FI626" s="2915"/>
      <c r="FJ626" s="2915"/>
      <c r="FK626" s="2915"/>
      <c r="FL626" s="2915"/>
      <c r="FM626" s="2915"/>
      <c r="FN626" s="2915"/>
      <c r="FO626" s="2915"/>
      <c r="FP626" s="2915"/>
      <c r="FQ626" s="2915"/>
      <c r="FR626" s="2915"/>
      <c r="FS626" s="2915"/>
      <c r="FT626" s="2915"/>
      <c r="FU626" s="2915"/>
      <c r="FV626" s="2915"/>
      <c r="FW626" s="2915"/>
      <c r="FX626" s="2915"/>
      <c r="FY626" s="2915"/>
      <c r="FZ626" s="2915"/>
      <c r="GA626" s="2915"/>
      <c r="GB626" s="2915"/>
      <c r="GC626" s="2915"/>
      <c r="GD626" s="2915"/>
      <c r="GE626" s="2915"/>
      <c r="GF626" s="2915"/>
      <c r="GG626" s="2915"/>
      <c r="GH626" s="2915"/>
      <c r="GI626" s="2915"/>
      <c r="GJ626" s="2915"/>
      <c r="GK626" s="2915"/>
      <c r="GL626" s="2915"/>
      <c r="GM626" s="2915"/>
      <c r="GN626" s="2915"/>
      <c r="GO626" s="2915"/>
      <c r="GP626" s="2915"/>
      <c r="GQ626" s="2915"/>
      <c r="GR626" s="2915"/>
      <c r="GS626" s="2915"/>
      <c r="GT626" s="2915"/>
      <c r="GU626" s="2915"/>
      <c r="GV626" s="2915"/>
      <c r="GW626" s="2915"/>
      <c r="GX626" s="2915"/>
      <c r="GY626" s="2915"/>
      <c r="GZ626" s="2915"/>
      <c r="HA626" s="2915"/>
      <c r="HB626" s="2915"/>
      <c r="HC626" s="2915"/>
      <c r="HD626" s="2915"/>
      <c r="HE626" s="2915"/>
      <c r="HF626" s="2915"/>
      <c r="HG626" s="2915"/>
      <c r="HH626" s="2915"/>
      <c r="HI626" s="2915"/>
      <c r="HJ626" s="2915"/>
      <c r="HK626" s="2915"/>
      <c r="HL626" s="2915"/>
      <c r="HM626" s="2915"/>
      <c r="HN626" s="2915"/>
      <c r="HO626" s="2915"/>
      <c r="HP626" s="2915"/>
      <c r="HQ626" s="2915"/>
      <c r="HR626" s="2915"/>
      <c r="IC626" s="2919"/>
      <c r="ID626" s="2919"/>
      <c r="IE626" s="2919"/>
      <c r="IF626" s="2919"/>
      <c r="IG626" s="2919"/>
      <c r="IH626" s="2919"/>
      <c r="II626" s="2919"/>
      <c r="IJ626" s="2919"/>
      <c r="IK626" s="2919"/>
      <c r="IL626" s="2919"/>
      <c r="IM626" s="2919"/>
      <c r="IN626" s="2919"/>
      <c r="IO626" s="2919"/>
      <c r="IP626" s="2919"/>
      <c r="IQ626" s="2919"/>
      <c r="IR626" s="2919"/>
      <c r="IS626" s="2919"/>
      <c r="IT626" s="2919"/>
      <c r="IU626" s="2919"/>
      <c r="IV626" s="2919"/>
      <c r="IW626" s="2919"/>
      <c r="IX626" s="2919"/>
      <c r="IY626" s="2919"/>
      <c r="IZ626" s="2919"/>
      <c r="JA626" s="2919"/>
      <c r="JB626" s="2919"/>
      <c r="JC626" s="2919"/>
      <c r="JD626" s="2919"/>
      <c r="JE626" s="2919"/>
      <c r="JF626" s="2919"/>
      <c r="JG626" s="2925"/>
      <c r="JH626" s="2925"/>
      <c r="JI626" s="2925"/>
      <c r="JJ626" s="2925"/>
      <c r="JK626" s="2925"/>
      <c r="JL626" s="2919"/>
      <c r="JM626" s="2919"/>
      <c r="JN626" s="2919"/>
      <c r="JO626" s="2919"/>
      <c r="JP626" s="2919"/>
    </row>
    <row r="627" spans="1:276" s="521" customFormat="1" ht="13.9" customHeight="1">
      <c r="A627" s="2923"/>
      <c r="B627" s="524"/>
      <c r="D627" s="524"/>
      <c r="J627" s="2927" t="s">
        <v>2524</v>
      </c>
      <c r="P627" s="2920"/>
      <c r="Q627" s="2921"/>
      <c r="R627" s="2930"/>
      <c r="S627" s="2931" t="s">
        <v>2856</v>
      </c>
      <c r="T627" s="2921"/>
      <c r="V627" s="2922"/>
      <c r="W627" s="2922"/>
      <c r="X627" s="2922"/>
      <c r="Y627" s="2922"/>
      <c r="Z627" s="2922"/>
      <c r="AA627" s="2922"/>
      <c r="AB627" s="2922"/>
      <c r="AC627" s="2922"/>
      <c r="AD627" s="2922"/>
      <c r="AE627" s="2922"/>
      <c r="AF627" s="2922"/>
      <c r="AG627" s="2922"/>
      <c r="AH627" s="2922"/>
      <c r="AI627" s="2922"/>
      <c r="AJ627" s="2922"/>
      <c r="AK627" s="2922"/>
      <c r="AL627" s="2922"/>
      <c r="AM627" s="2922"/>
      <c r="AN627" s="2922"/>
      <c r="AO627" s="2922"/>
      <c r="AP627" s="2922"/>
      <c r="AQ627" s="2922"/>
      <c r="AR627" s="2922"/>
      <c r="AS627" s="2922"/>
      <c r="AT627" s="2922"/>
      <c r="AU627" s="2922"/>
      <c r="AV627" s="2922"/>
      <c r="AW627" s="2922"/>
      <c r="AX627" s="2922"/>
      <c r="AY627" s="2922"/>
      <c r="AZ627" s="2922"/>
      <c r="BA627" s="2922"/>
      <c r="BB627" s="2922"/>
      <c r="BC627" s="2922"/>
      <c r="BD627" s="2922"/>
      <c r="BE627" s="2922"/>
      <c r="BF627" s="2922"/>
      <c r="BG627" s="2922"/>
      <c r="BH627" s="2922"/>
      <c r="BI627" s="2922"/>
      <c r="BJ627" s="2922"/>
      <c r="BK627" s="2922"/>
      <c r="BL627" s="2922"/>
      <c r="BM627" s="2922"/>
      <c r="BN627" s="2922"/>
      <c r="BO627" s="2922"/>
      <c r="BP627" s="2922"/>
      <c r="BQ627" s="2922"/>
      <c r="BR627" s="2922"/>
      <c r="BS627" s="2922"/>
      <c r="BT627" s="2922"/>
      <c r="BU627" s="2922"/>
      <c r="BV627" s="2922"/>
      <c r="BW627" s="2922"/>
      <c r="BX627" s="2922"/>
      <c r="BY627" s="2922"/>
      <c r="BZ627" s="2922"/>
      <c r="CA627" s="2922"/>
      <c r="CB627" s="2922"/>
      <c r="CC627" s="2922"/>
      <c r="CD627" s="2919"/>
      <c r="CE627" s="2919"/>
      <c r="CF627" s="2919"/>
      <c r="CG627" s="2919"/>
      <c r="CH627" s="2919"/>
      <c r="CI627" s="2919"/>
      <c r="CJ627" s="2919"/>
      <c r="CK627" s="2919"/>
      <c r="CL627" s="2919"/>
      <c r="CM627" s="2919"/>
      <c r="CN627" s="2919"/>
      <c r="CO627" s="2919"/>
      <c r="CP627" s="2919"/>
      <c r="CQ627" s="2919"/>
      <c r="CR627" s="2919"/>
      <c r="CS627" s="2919"/>
      <c r="CT627" s="2919"/>
      <c r="CU627" s="2919"/>
      <c r="CV627" s="2919"/>
      <c r="CW627" s="2919"/>
      <c r="CX627" s="2919"/>
      <c r="CY627" s="2919"/>
      <c r="CZ627" s="2919"/>
      <c r="DA627" s="2919"/>
      <c r="DB627" s="2919"/>
      <c r="DC627" s="2919"/>
      <c r="DD627" s="2919"/>
      <c r="DE627" s="2919"/>
      <c r="DF627" s="2919"/>
      <c r="DG627" s="2919"/>
      <c r="DH627" s="2919"/>
      <c r="DI627" s="2919"/>
      <c r="DJ627" s="2919"/>
      <c r="DK627" s="2919"/>
      <c r="DL627" s="2919"/>
      <c r="DM627" s="2919"/>
      <c r="DN627" s="2919"/>
      <c r="DO627" s="2919"/>
      <c r="DP627" s="2919"/>
      <c r="DQ627" s="2919"/>
      <c r="DR627" s="2919"/>
      <c r="DS627" s="2919"/>
      <c r="DT627" s="2919"/>
      <c r="DU627" s="2919"/>
      <c r="DV627" s="2919"/>
      <c r="DW627" s="2919"/>
      <c r="DX627" s="2919"/>
      <c r="DY627" s="2919"/>
      <c r="DZ627" s="2919"/>
      <c r="EA627" s="2919"/>
      <c r="EB627" s="2919"/>
      <c r="EC627" s="2919"/>
      <c r="ED627" s="2919"/>
      <c r="EE627" s="2919"/>
      <c r="EF627" s="2919"/>
      <c r="EG627" s="2919"/>
      <c r="EH627" s="2919"/>
      <c r="EI627" s="2919"/>
      <c r="EJ627" s="2919"/>
      <c r="EK627" s="2919"/>
      <c r="EL627" s="2919"/>
      <c r="EM627" s="2919"/>
      <c r="EN627" s="2919"/>
      <c r="EO627" s="2919"/>
      <c r="EP627" s="2919"/>
      <c r="EQ627" s="2919"/>
      <c r="ER627" s="2919"/>
      <c r="ES627" s="2919"/>
      <c r="ET627" s="2919"/>
      <c r="EU627" s="2919"/>
      <c r="EV627" s="2915"/>
      <c r="EW627" s="2915"/>
      <c r="EX627" s="2915"/>
      <c r="EY627" s="2915"/>
      <c r="EZ627" s="2915"/>
      <c r="FA627" s="2915"/>
      <c r="FB627" s="2915"/>
      <c r="FC627" s="2915"/>
      <c r="FD627" s="2915"/>
      <c r="FE627" s="2915"/>
      <c r="FF627" s="2915"/>
      <c r="FG627" s="2915"/>
      <c r="FH627" s="2915"/>
      <c r="FI627" s="2915"/>
      <c r="FJ627" s="2915"/>
      <c r="FK627" s="2915"/>
      <c r="FL627" s="2915"/>
      <c r="FM627" s="2915"/>
      <c r="FN627" s="2915"/>
      <c r="FO627" s="2915"/>
      <c r="FP627" s="2915"/>
      <c r="FQ627" s="2915"/>
      <c r="FR627" s="2915"/>
      <c r="FS627" s="2915"/>
      <c r="FT627" s="2915"/>
      <c r="FU627" s="2909" t="s">
        <v>591</v>
      </c>
      <c r="FV627" s="2909" t="s">
        <v>2560</v>
      </c>
      <c r="FW627" s="2909" t="s">
        <v>2561</v>
      </c>
      <c r="FX627" s="2909" t="s">
        <v>2562</v>
      </c>
      <c r="FY627" s="2909" t="s">
        <v>2563</v>
      </c>
      <c r="FZ627" s="2909" t="s">
        <v>591</v>
      </c>
      <c r="GA627" s="2909" t="s">
        <v>2560</v>
      </c>
      <c r="GB627" s="2909" t="s">
        <v>2561</v>
      </c>
      <c r="GC627" s="2909" t="s">
        <v>2562</v>
      </c>
      <c r="GD627" s="2909" t="s">
        <v>2563</v>
      </c>
      <c r="GE627" s="2909" t="s">
        <v>591</v>
      </c>
      <c r="GF627" s="2909" t="s">
        <v>2560</v>
      </c>
      <c r="GG627" s="2909" t="s">
        <v>2561</v>
      </c>
      <c r="GH627" s="2909" t="s">
        <v>2562</v>
      </c>
      <c r="GI627" s="2909" t="s">
        <v>2563</v>
      </c>
      <c r="GJ627" s="2909" t="s">
        <v>591</v>
      </c>
      <c r="GK627" s="2909" t="s">
        <v>2560</v>
      </c>
      <c r="GL627" s="2909" t="s">
        <v>2561</v>
      </c>
      <c r="GM627" s="2909" t="s">
        <v>2562</v>
      </c>
      <c r="GN627" s="2909" t="s">
        <v>2563</v>
      </c>
      <c r="GO627" s="2909" t="s">
        <v>591</v>
      </c>
      <c r="GP627" s="2909" t="s">
        <v>2560</v>
      </c>
      <c r="GQ627" s="2909" t="s">
        <v>2561</v>
      </c>
      <c r="GR627" s="2909" t="s">
        <v>2562</v>
      </c>
      <c r="GS627" s="2909" t="s">
        <v>2563</v>
      </c>
      <c r="GT627" s="2909" t="s">
        <v>591</v>
      </c>
      <c r="GU627" s="2909" t="s">
        <v>2560</v>
      </c>
      <c r="GV627" s="2909" t="s">
        <v>2561</v>
      </c>
      <c r="GW627" s="2909" t="s">
        <v>2562</v>
      </c>
      <c r="GX627" s="2909" t="s">
        <v>2563</v>
      </c>
      <c r="GY627" s="2909" t="s">
        <v>591</v>
      </c>
      <c r="GZ627" s="2909" t="s">
        <v>2560</v>
      </c>
      <c r="HA627" s="2909" t="s">
        <v>2561</v>
      </c>
      <c r="HB627" s="2909" t="s">
        <v>2562</v>
      </c>
      <c r="HC627" s="2909" t="s">
        <v>2563</v>
      </c>
      <c r="HD627" s="2909" t="s">
        <v>591</v>
      </c>
      <c r="HE627" s="2909" t="s">
        <v>2560</v>
      </c>
      <c r="HF627" s="2909" t="s">
        <v>2561</v>
      </c>
      <c r="HG627" s="2909" t="s">
        <v>2562</v>
      </c>
      <c r="HH627" s="2909" t="s">
        <v>2563</v>
      </c>
      <c r="HI627" s="2909" t="s">
        <v>506</v>
      </c>
      <c r="HJ627" s="2909" t="s">
        <v>2560</v>
      </c>
      <c r="HK627" s="2909" t="s">
        <v>2561</v>
      </c>
      <c r="HL627" s="2909" t="s">
        <v>2562</v>
      </c>
      <c r="HM627" s="2909" t="s">
        <v>2563</v>
      </c>
      <c r="HN627" s="2909" t="s">
        <v>506</v>
      </c>
      <c r="HO627" s="2909" t="s">
        <v>2560</v>
      </c>
      <c r="HP627" s="2909" t="s">
        <v>2561</v>
      </c>
      <c r="HQ627" s="2909" t="s">
        <v>2562</v>
      </c>
      <c r="HR627" s="2909" t="s">
        <v>2563</v>
      </c>
      <c r="HS627" s="2909" t="s">
        <v>506</v>
      </c>
      <c r="HT627" s="2909" t="s">
        <v>2560</v>
      </c>
      <c r="HU627" s="2909" t="s">
        <v>2561</v>
      </c>
      <c r="HV627" s="2909" t="s">
        <v>2562</v>
      </c>
      <c r="HW627" s="2909" t="s">
        <v>2563</v>
      </c>
      <c r="HX627" s="2909" t="s">
        <v>506</v>
      </c>
      <c r="HY627" s="2909" t="s">
        <v>2560</v>
      </c>
      <c r="HZ627" s="2909" t="s">
        <v>2561</v>
      </c>
      <c r="IA627" s="2909" t="s">
        <v>2562</v>
      </c>
      <c r="IB627" s="2909" t="s">
        <v>2563</v>
      </c>
      <c r="IC627" s="2919"/>
      <c r="ID627" s="2919"/>
      <c r="IE627" s="2919"/>
      <c r="IF627" s="2919"/>
      <c r="IG627" s="2919"/>
      <c r="IH627" s="2919"/>
      <c r="II627" s="2919"/>
      <c r="IJ627" s="2919"/>
      <c r="IK627" s="2919"/>
      <c r="IL627" s="2919"/>
      <c r="IM627" s="2919"/>
      <c r="IN627" s="2919"/>
      <c r="IO627" s="2919"/>
      <c r="IP627" s="2919"/>
      <c r="IQ627" s="2919"/>
      <c r="IR627" s="2919"/>
      <c r="IS627" s="2919"/>
      <c r="IT627" s="2919"/>
      <c r="IU627" s="2919"/>
      <c r="IV627" s="2919"/>
      <c r="IW627" s="2919"/>
      <c r="IX627" s="2919"/>
      <c r="IY627" s="2919"/>
      <c r="IZ627" s="2919"/>
      <c r="JA627" s="2919"/>
      <c r="JB627" s="2919"/>
      <c r="JC627" s="2919"/>
      <c r="JD627" s="2919"/>
      <c r="JE627" s="2919"/>
      <c r="JF627" s="2919"/>
      <c r="JG627" s="2925"/>
      <c r="JH627" s="2925"/>
      <c r="JI627" s="2925"/>
      <c r="JJ627" s="2925"/>
      <c r="JK627" s="2925"/>
      <c r="JL627" s="2919"/>
      <c r="JM627" s="2919"/>
      <c r="JN627" s="2919"/>
      <c r="JO627" s="2919"/>
      <c r="JP627" s="2919"/>
    </row>
    <row r="628" spans="1:276" s="2916" customFormat="1" ht="13.9" customHeight="1">
      <c r="A628" s="2923"/>
      <c r="B628" s="2932" t="s">
        <v>1553</v>
      </c>
      <c r="C628" s="2927" t="s">
        <v>177</v>
      </c>
      <c r="D628" s="2927" t="s">
        <v>568</v>
      </c>
      <c r="E628" s="2927" t="s">
        <v>1551</v>
      </c>
      <c r="F628" s="2927" t="s">
        <v>1551</v>
      </c>
      <c r="G628" s="2927" t="s">
        <v>2502</v>
      </c>
      <c r="H628" s="2927" t="s">
        <v>2500</v>
      </c>
      <c r="I628" s="2927" t="s">
        <v>839</v>
      </c>
      <c r="J628" s="2927" t="s">
        <v>4601</v>
      </c>
      <c r="K628" s="2933" t="s">
        <v>147</v>
      </c>
      <c r="L628" s="2933"/>
      <c r="M628" s="2927" t="s">
        <v>2478</v>
      </c>
      <c r="N628" s="2927" t="s">
        <v>555</v>
      </c>
      <c r="O628" s="2927" t="s">
        <v>397</v>
      </c>
      <c r="P628" s="2920"/>
      <c r="Q628" s="2934"/>
      <c r="R628" s="2927" t="s">
        <v>2855</v>
      </c>
      <c r="S628" s="2927" t="s">
        <v>2857</v>
      </c>
      <c r="T628" s="2927"/>
      <c r="V628" s="2922"/>
      <c r="W628" s="2922"/>
      <c r="X628" s="2922"/>
      <c r="Y628" s="2922"/>
      <c r="Z628" s="2922"/>
      <c r="AA628" s="2922"/>
      <c r="AB628" s="2922"/>
      <c r="AC628" s="2922"/>
      <c r="AD628" s="2922"/>
      <c r="AE628" s="2922"/>
      <c r="AF628" s="2922"/>
      <c r="AG628" s="2922"/>
      <c r="AH628" s="2922"/>
      <c r="AI628" s="2922"/>
      <c r="AJ628" s="2922"/>
      <c r="AK628" s="2922"/>
      <c r="AL628" s="2922"/>
      <c r="AM628" s="2922"/>
      <c r="AN628" s="2922"/>
      <c r="AO628" s="2922"/>
      <c r="AP628" s="2922"/>
      <c r="AQ628" s="2922"/>
      <c r="AR628" s="2922"/>
      <c r="AS628" s="2922"/>
      <c r="AT628" s="2922"/>
      <c r="AU628" s="2922"/>
      <c r="AV628" s="2922"/>
      <c r="AW628" s="2922"/>
      <c r="AX628" s="2922"/>
      <c r="AY628" s="2922"/>
      <c r="AZ628" s="2922"/>
      <c r="BA628" s="2922"/>
      <c r="BB628" s="2922"/>
      <c r="BC628" s="2922"/>
      <c r="BD628" s="2922"/>
      <c r="BE628" s="2922"/>
      <c r="BF628" s="2922"/>
      <c r="BG628" s="2922"/>
      <c r="BH628" s="2922"/>
      <c r="BI628" s="2922"/>
      <c r="BJ628" s="2922"/>
      <c r="BK628" s="2922"/>
      <c r="BL628" s="2922"/>
      <c r="BM628" s="2922"/>
      <c r="BN628" s="2922"/>
      <c r="BO628" s="2922"/>
      <c r="BP628" s="2922"/>
      <c r="BQ628" s="2922"/>
      <c r="BR628" s="2922"/>
      <c r="BS628" s="2922"/>
      <c r="BT628" s="2922"/>
      <c r="BU628" s="2922"/>
      <c r="BV628" s="2922"/>
      <c r="BW628" s="2922"/>
      <c r="BX628" s="2922"/>
      <c r="BY628" s="2922"/>
      <c r="BZ628" s="2922"/>
      <c r="CA628" s="2922"/>
      <c r="CB628" s="2922"/>
      <c r="CC628" s="2922"/>
      <c r="CD628" s="2919"/>
      <c r="CE628" s="2919"/>
      <c r="CF628" s="2919"/>
      <c r="CG628" s="2919"/>
      <c r="CH628" s="2919"/>
      <c r="CI628" s="2919"/>
      <c r="CJ628" s="2919"/>
      <c r="CK628" s="2919"/>
      <c r="CL628" s="2919"/>
      <c r="CM628" s="2919"/>
      <c r="CN628" s="2919"/>
      <c r="CO628" s="2919"/>
      <c r="CP628" s="2919"/>
      <c r="CQ628" s="2919"/>
      <c r="CR628" s="2919"/>
      <c r="CS628" s="2919"/>
      <c r="CT628" s="2919"/>
      <c r="CU628" s="2919"/>
      <c r="CV628" s="2919"/>
      <c r="CW628" s="2919"/>
      <c r="CX628" s="2919"/>
      <c r="CY628" s="2919"/>
      <c r="CZ628" s="2919"/>
      <c r="DA628" s="2919"/>
      <c r="DB628" s="2919"/>
      <c r="DC628" s="2919"/>
      <c r="DD628" s="2919"/>
      <c r="DE628" s="2919"/>
      <c r="DF628" s="2919"/>
      <c r="DG628" s="2919"/>
      <c r="DH628" s="2919"/>
      <c r="DI628" s="2919"/>
      <c r="DJ628" s="2919"/>
      <c r="DK628" s="2919"/>
      <c r="DL628" s="2919"/>
      <c r="DM628" s="2919"/>
      <c r="DN628" s="2919"/>
      <c r="DO628" s="2919"/>
      <c r="DP628" s="2919"/>
      <c r="DQ628" s="2919"/>
      <c r="DR628" s="2919"/>
      <c r="DS628" s="2919"/>
      <c r="DT628" s="2919"/>
      <c r="DU628" s="2919"/>
      <c r="DV628" s="2919"/>
      <c r="DW628" s="2919"/>
      <c r="DX628" s="2919"/>
      <c r="DY628" s="2919"/>
      <c r="DZ628" s="2919"/>
      <c r="EA628" s="2919"/>
      <c r="EB628" s="2919"/>
      <c r="EC628" s="2919"/>
      <c r="ED628" s="2919"/>
      <c r="EE628" s="2919"/>
      <c r="EF628" s="2919"/>
      <c r="EG628" s="2919"/>
      <c r="EH628" s="2919"/>
      <c r="EI628" s="2919"/>
      <c r="EJ628" s="2919"/>
      <c r="EK628" s="2919"/>
      <c r="EL628" s="2919"/>
      <c r="EM628" s="2919"/>
      <c r="EN628" s="2919"/>
      <c r="EO628" s="2919"/>
      <c r="EP628" s="2919"/>
      <c r="EQ628" s="2919"/>
      <c r="ER628" s="2919"/>
      <c r="ES628" s="2919"/>
      <c r="ET628" s="2919"/>
      <c r="EU628" s="2919"/>
      <c r="EV628" s="2919" t="s">
        <v>1535</v>
      </c>
      <c r="EW628" s="2909" t="s">
        <v>2560</v>
      </c>
      <c r="EX628" s="2909" t="s">
        <v>2561</v>
      </c>
      <c r="EY628" s="2909" t="s">
        <v>2562</v>
      </c>
      <c r="EZ628" s="2909" t="s">
        <v>2563</v>
      </c>
      <c r="FA628" s="2919" t="s">
        <v>2619</v>
      </c>
      <c r="FB628" s="2919" t="s">
        <v>2619</v>
      </c>
      <c r="FC628" s="2919" t="s">
        <v>2619</v>
      </c>
      <c r="FD628" s="2919" t="s">
        <v>2619</v>
      </c>
      <c r="FE628" s="2919" t="s">
        <v>2619</v>
      </c>
      <c r="FF628" s="2919" t="s">
        <v>3823</v>
      </c>
      <c r="FG628" s="2919" t="s">
        <v>3823</v>
      </c>
      <c r="FH628" s="2919" t="s">
        <v>3823</v>
      </c>
      <c r="FI628" s="2919" t="s">
        <v>3823</v>
      </c>
      <c r="FJ628" s="2919" t="s">
        <v>3823</v>
      </c>
      <c r="FK628" s="2909" t="s">
        <v>591</v>
      </c>
      <c r="FL628" s="2909" t="s">
        <v>2560</v>
      </c>
      <c r="FM628" s="2909" t="s">
        <v>2561</v>
      </c>
      <c r="FN628" s="2909" t="s">
        <v>2562</v>
      </c>
      <c r="FO628" s="2909" t="s">
        <v>2563</v>
      </c>
      <c r="FP628" s="2909" t="s">
        <v>591</v>
      </c>
      <c r="FQ628" s="2909" t="s">
        <v>2560</v>
      </c>
      <c r="FR628" s="2909" t="s">
        <v>2561</v>
      </c>
      <c r="FS628" s="2909" t="s">
        <v>2562</v>
      </c>
      <c r="FT628" s="2909" t="s">
        <v>2563</v>
      </c>
      <c r="FU628" s="2919" t="s">
        <v>2621</v>
      </c>
      <c r="FV628" s="2919" t="s">
        <v>2621</v>
      </c>
      <c r="FW628" s="2919" t="s">
        <v>2621</v>
      </c>
      <c r="FX628" s="2919" t="s">
        <v>2621</v>
      </c>
      <c r="FY628" s="2919" t="s">
        <v>2621</v>
      </c>
      <c r="FZ628" s="2919" t="s">
        <v>3819</v>
      </c>
      <c r="GA628" s="2919" t="s">
        <v>3819</v>
      </c>
      <c r="GB628" s="2919" t="s">
        <v>3819</v>
      </c>
      <c r="GC628" s="2919" t="s">
        <v>3819</v>
      </c>
      <c r="GD628" s="2919" t="s">
        <v>3819</v>
      </c>
      <c r="GE628" s="2919" t="s">
        <v>372</v>
      </c>
      <c r="GF628" s="2919" t="s">
        <v>372</v>
      </c>
      <c r="GG628" s="2919" t="s">
        <v>372</v>
      </c>
      <c r="GH628" s="2919" t="s">
        <v>372</v>
      </c>
      <c r="GI628" s="2919" t="s">
        <v>372</v>
      </c>
      <c r="GJ628" s="2919" t="s">
        <v>3818</v>
      </c>
      <c r="GK628" s="2919" t="s">
        <v>3818</v>
      </c>
      <c r="GL628" s="2919" t="s">
        <v>3818</v>
      </c>
      <c r="GM628" s="2919" t="s">
        <v>3818</v>
      </c>
      <c r="GN628" s="2919" t="s">
        <v>3818</v>
      </c>
      <c r="GO628" s="2919" t="s">
        <v>373</v>
      </c>
      <c r="GP628" s="2919" t="s">
        <v>373</v>
      </c>
      <c r="GQ628" s="2919" t="s">
        <v>373</v>
      </c>
      <c r="GR628" s="2919" t="s">
        <v>373</v>
      </c>
      <c r="GS628" s="2919" t="s">
        <v>373</v>
      </c>
      <c r="GT628" s="2919" t="s">
        <v>3817</v>
      </c>
      <c r="GU628" s="2919" t="s">
        <v>3817</v>
      </c>
      <c r="GV628" s="2919" t="s">
        <v>3817</v>
      </c>
      <c r="GW628" s="2919" t="s">
        <v>3817</v>
      </c>
      <c r="GX628" s="2919" t="s">
        <v>3817</v>
      </c>
      <c r="GY628" s="2919" t="s">
        <v>374</v>
      </c>
      <c r="GZ628" s="2919" t="s">
        <v>374</v>
      </c>
      <c r="HA628" s="2919" t="s">
        <v>374</v>
      </c>
      <c r="HB628" s="2919" t="s">
        <v>374</v>
      </c>
      <c r="HC628" s="2919" t="s">
        <v>374</v>
      </c>
      <c r="HD628" s="2919" t="s">
        <v>3820</v>
      </c>
      <c r="HE628" s="2919" t="s">
        <v>3820</v>
      </c>
      <c r="HF628" s="2919" t="s">
        <v>3820</v>
      </c>
      <c r="HG628" s="2919" t="s">
        <v>3820</v>
      </c>
      <c r="HH628" s="2919" t="s">
        <v>3820</v>
      </c>
      <c r="HI628" s="2919" t="s">
        <v>375</v>
      </c>
      <c r="HJ628" s="2919" t="s">
        <v>375</v>
      </c>
      <c r="HK628" s="2919" t="s">
        <v>375</v>
      </c>
      <c r="HL628" s="2919" t="s">
        <v>375</v>
      </c>
      <c r="HM628" s="2919" t="s">
        <v>375</v>
      </c>
      <c r="HN628" s="2919" t="s">
        <v>3821</v>
      </c>
      <c r="HO628" s="2919" t="s">
        <v>3821</v>
      </c>
      <c r="HP628" s="2919" t="s">
        <v>3821</v>
      </c>
      <c r="HQ628" s="2919" t="s">
        <v>3821</v>
      </c>
      <c r="HR628" s="2919" t="s">
        <v>3821</v>
      </c>
      <c r="HS628" s="2919" t="s">
        <v>1534</v>
      </c>
      <c r="HT628" s="2919" t="s">
        <v>1534</v>
      </c>
      <c r="HU628" s="2919" t="s">
        <v>1534</v>
      </c>
      <c r="HV628" s="2919" t="s">
        <v>1534</v>
      </c>
      <c r="HW628" s="2919" t="s">
        <v>1534</v>
      </c>
      <c r="HX628" s="2919" t="s">
        <v>3822</v>
      </c>
      <c r="HY628" s="2919" t="s">
        <v>3822</v>
      </c>
      <c r="HZ628" s="2919" t="s">
        <v>3822</v>
      </c>
      <c r="IA628" s="2919" t="s">
        <v>3822</v>
      </c>
      <c r="IB628" s="2919" t="s">
        <v>3822</v>
      </c>
      <c r="IC628" s="2919"/>
      <c r="ID628" s="2919"/>
      <c r="IE628" s="2919"/>
      <c r="IF628" s="2919"/>
      <c r="IG628" s="2919"/>
      <c r="IH628" s="2919"/>
      <c r="II628" s="2919"/>
      <c r="IJ628" s="2919"/>
      <c r="IK628" s="2919"/>
      <c r="IL628" s="2919"/>
      <c r="IM628" s="2919"/>
      <c r="IN628" s="2919"/>
      <c r="IO628" s="2919"/>
      <c r="IP628" s="2919"/>
      <c r="IQ628" s="2919"/>
      <c r="IR628" s="2919"/>
      <c r="IS628" s="2919"/>
      <c r="IT628" s="2919"/>
      <c r="IU628" s="2919"/>
      <c r="IV628" s="2919"/>
      <c r="IW628" s="2919"/>
      <c r="IX628" s="2919"/>
      <c r="IY628" s="2919"/>
      <c r="IZ628" s="2919"/>
      <c r="JA628" s="2919"/>
      <c r="JB628" s="2919"/>
      <c r="JC628" s="2919"/>
      <c r="JD628" s="2919"/>
      <c r="JE628" s="2919"/>
      <c r="JF628" s="2919"/>
      <c r="JG628" s="2925"/>
      <c r="JH628" s="2925"/>
      <c r="JI628" s="2925"/>
      <c r="JJ628" s="2925"/>
      <c r="JK628" s="2925"/>
      <c r="JL628" s="2919"/>
      <c r="JM628" s="2919"/>
      <c r="JN628" s="2919"/>
      <c r="JO628" s="2919"/>
      <c r="JP628" s="2919"/>
    </row>
    <row r="629" spans="1:276" s="2916" customFormat="1" ht="13.9" customHeight="1">
      <c r="A629" s="2923"/>
      <c r="B629" s="2932" t="s">
        <v>1360</v>
      </c>
      <c r="C629" s="2927" t="s">
        <v>176</v>
      </c>
      <c r="D629" s="2927" t="s">
        <v>178</v>
      </c>
      <c r="E629" s="2927" t="s">
        <v>1552</v>
      </c>
      <c r="F629" s="2927" t="s">
        <v>1338</v>
      </c>
      <c r="G629" s="2927" t="s">
        <v>1339</v>
      </c>
      <c r="H629" s="2927" t="s">
        <v>2501</v>
      </c>
      <c r="I629" s="2927" t="s">
        <v>840</v>
      </c>
      <c r="J629" s="2935" t="s">
        <v>363</v>
      </c>
      <c r="K629" s="2927" t="s">
        <v>1605</v>
      </c>
      <c r="L629" s="2927" t="s">
        <v>562</v>
      </c>
      <c r="M629" s="2927" t="s">
        <v>1551</v>
      </c>
      <c r="N629" s="2927" t="s">
        <v>3766</v>
      </c>
      <c r="O629" s="2927" t="s">
        <v>398</v>
      </c>
      <c r="P629" s="2920"/>
      <c r="Q629" s="2927" t="s">
        <v>1089</v>
      </c>
      <c r="R629" s="2927" t="s">
        <v>1553</v>
      </c>
      <c r="S629" s="2927" t="s">
        <v>2858</v>
      </c>
      <c r="T629" s="2814" t="s">
        <v>1937</v>
      </c>
      <c r="U629" s="2814"/>
      <c r="V629" s="2922"/>
      <c r="W629" s="2922"/>
      <c r="X629" s="2922"/>
      <c r="Y629" s="2922"/>
      <c r="Z629" s="2922"/>
      <c r="AA629" s="2922"/>
      <c r="AB629" s="2922"/>
      <c r="AC629" s="2922"/>
      <c r="AD629" s="2922"/>
      <c r="AE629" s="2922"/>
      <c r="AF629" s="2922"/>
      <c r="AG629" s="2922"/>
      <c r="AH629" s="2922"/>
      <c r="AI629" s="2922"/>
      <c r="AJ629" s="2922"/>
      <c r="AK629" s="2922"/>
      <c r="AL629" s="2922"/>
      <c r="AM629" s="2922"/>
      <c r="AN629" s="2922"/>
      <c r="AO629" s="2922"/>
      <c r="AP629" s="2922"/>
      <c r="AQ629" s="2922"/>
      <c r="AR629" s="2922"/>
      <c r="AS629" s="2922"/>
      <c r="AT629" s="2922"/>
      <c r="AU629" s="2922"/>
      <c r="AV629" s="2922"/>
      <c r="AW629" s="2922"/>
      <c r="AX629" s="2922"/>
      <c r="AY629" s="2922"/>
      <c r="AZ629" s="2922"/>
      <c r="BA629" s="2922"/>
      <c r="BB629" s="2922"/>
      <c r="BC629" s="2922"/>
      <c r="BD629" s="2922"/>
      <c r="BE629" s="2922"/>
      <c r="BF629" s="2922"/>
      <c r="BG629" s="2922"/>
      <c r="BH629" s="2922"/>
      <c r="BI629" s="2922"/>
      <c r="BJ629" s="2922"/>
      <c r="BK629" s="2922"/>
      <c r="BL629" s="2922"/>
      <c r="BM629" s="2922"/>
      <c r="BN629" s="2922"/>
      <c r="BO629" s="2922"/>
      <c r="BP629" s="2922"/>
      <c r="BQ629" s="2922"/>
      <c r="BR629" s="2922"/>
      <c r="BS629" s="2922"/>
      <c r="BT629" s="2922"/>
      <c r="BU629" s="2922"/>
      <c r="BV629" s="2922"/>
      <c r="BW629" s="2922"/>
      <c r="BX629" s="2922"/>
      <c r="BY629" s="2922"/>
      <c r="BZ629" s="2922"/>
      <c r="CA629" s="2922"/>
      <c r="CB629" s="2922"/>
      <c r="CC629" s="2922"/>
      <c r="CD629" s="2919"/>
      <c r="CE629" s="2919"/>
      <c r="CF629" s="2919"/>
      <c r="CG629" s="2919"/>
      <c r="CH629" s="2919"/>
      <c r="CI629" s="2919"/>
      <c r="CJ629" s="2919"/>
      <c r="CK629" s="2919"/>
      <c r="CL629" s="2919"/>
      <c r="CM629" s="2919"/>
      <c r="CN629" s="2919"/>
      <c r="CO629" s="2919"/>
      <c r="CP629" s="2919"/>
      <c r="CQ629" s="2919"/>
      <c r="CR629" s="2919"/>
      <c r="CS629" s="2919"/>
      <c r="CT629" s="2919"/>
      <c r="CU629" s="2919"/>
      <c r="CV629" s="2919"/>
      <c r="CW629" s="2919"/>
      <c r="CX629" s="2919"/>
      <c r="CY629" s="2919"/>
      <c r="CZ629" s="2919"/>
      <c r="DA629" s="2919"/>
      <c r="DB629" s="2919"/>
      <c r="DC629" s="2919"/>
      <c r="DD629" s="2919"/>
      <c r="DE629" s="2919"/>
      <c r="DF629" s="2919"/>
      <c r="DG629" s="2919"/>
      <c r="DH629" s="2919"/>
      <c r="DI629" s="2919"/>
      <c r="DJ629" s="2919"/>
      <c r="DK629" s="2919"/>
      <c r="DL629" s="2919"/>
      <c r="DM629" s="2919"/>
      <c r="DN629" s="2919"/>
      <c r="DO629" s="2919"/>
      <c r="DP629" s="2919"/>
      <c r="DQ629" s="2919"/>
      <c r="DR629" s="2919"/>
      <c r="DS629" s="2919"/>
      <c r="DT629" s="2919"/>
      <c r="DU629" s="2919"/>
      <c r="DV629" s="2919"/>
      <c r="DW629" s="2919"/>
      <c r="DX629" s="2919"/>
      <c r="DY629" s="2919"/>
      <c r="DZ629" s="2919"/>
      <c r="EA629" s="2919"/>
      <c r="EB629" s="2919"/>
      <c r="EC629" s="2919"/>
      <c r="ED629" s="2919"/>
      <c r="EE629" s="2919"/>
      <c r="EF629" s="2919"/>
      <c r="EG629" s="2919"/>
      <c r="EH629" s="2919"/>
      <c r="EI629" s="2919"/>
      <c r="EJ629" s="2919"/>
      <c r="EK629" s="2919"/>
      <c r="EL629" s="2919"/>
      <c r="EM629" s="2919"/>
      <c r="EN629" s="2919"/>
      <c r="EO629" s="2919"/>
      <c r="EP629" s="2919"/>
      <c r="EQ629" s="2919"/>
      <c r="ER629" s="2919"/>
      <c r="ES629" s="2919"/>
      <c r="ET629" s="2919"/>
      <c r="EU629" s="2919"/>
      <c r="EV629" s="2919"/>
      <c r="EW629" s="2909" t="s">
        <v>2618</v>
      </c>
      <c r="EX629" s="2909" t="s">
        <v>2618</v>
      </c>
      <c r="EY629" s="2909" t="s">
        <v>2618</v>
      </c>
      <c r="EZ629" s="2909" t="s">
        <v>2618</v>
      </c>
      <c r="FA629" s="2919"/>
      <c r="FB629" s="2919"/>
      <c r="FC629" s="2919"/>
      <c r="FD629" s="2919"/>
      <c r="FE629" s="2919"/>
      <c r="FF629" s="2919"/>
      <c r="FG629" s="2919"/>
      <c r="FH629" s="2919"/>
      <c r="FI629" s="2919"/>
      <c r="FJ629" s="2919"/>
      <c r="FK629" s="2909" t="s">
        <v>2620</v>
      </c>
      <c r="FL629" s="2909" t="s">
        <v>2620</v>
      </c>
      <c r="FM629" s="2909" t="s">
        <v>2620</v>
      </c>
      <c r="FN629" s="2909" t="s">
        <v>2620</v>
      </c>
      <c r="FO629" s="2909" t="s">
        <v>2620</v>
      </c>
      <c r="FP629" s="2909" t="s">
        <v>3824</v>
      </c>
      <c r="FQ629" s="2909" t="s">
        <v>3824</v>
      </c>
      <c r="FR629" s="2909" t="s">
        <v>3824</v>
      </c>
      <c r="FS629" s="2909" t="s">
        <v>3824</v>
      </c>
      <c r="FT629" s="2909" t="s">
        <v>3824</v>
      </c>
      <c r="FU629" s="2919"/>
      <c r="FV629" s="2919"/>
      <c r="FW629" s="2919"/>
      <c r="FX629" s="2919"/>
      <c r="FY629" s="2919"/>
      <c r="FZ629" s="2919"/>
      <c r="GA629" s="2919"/>
      <c r="GB629" s="2919"/>
      <c r="GC629" s="2919"/>
      <c r="GD629" s="2919"/>
      <c r="GE629" s="2919"/>
      <c r="GF629" s="2919"/>
      <c r="GG629" s="2919"/>
      <c r="GH629" s="2919"/>
      <c r="GI629" s="2919"/>
      <c r="GJ629" s="2919"/>
      <c r="GK629" s="2919"/>
      <c r="GL629" s="2919"/>
      <c r="GM629" s="2919"/>
      <c r="GN629" s="2919"/>
      <c r="GO629" s="2919"/>
      <c r="GP629" s="2919"/>
      <c r="GQ629" s="2919"/>
      <c r="GR629" s="2919"/>
      <c r="GS629" s="2919"/>
      <c r="GT629" s="2919"/>
      <c r="GU629" s="2919"/>
      <c r="GV629" s="2919"/>
      <c r="GW629" s="2919"/>
      <c r="GX629" s="2919"/>
      <c r="GY629" s="2919"/>
      <c r="GZ629" s="2919"/>
      <c r="HA629" s="2919"/>
      <c r="HB629" s="2919"/>
      <c r="HC629" s="2919"/>
      <c r="HD629" s="2919"/>
      <c r="HE629" s="2919"/>
      <c r="HF629" s="2919"/>
      <c r="HG629" s="2919"/>
      <c r="HH629" s="2919"/>
      <c r="HI629" s="2919"/>
      <c r="HJ629" s="2919"/>
      <c r="HK629" s="2919"/>
      <c r="HL629" s="2919"/>
      <c r="HM629" s="2919"/>
      <c r="HN629" s="2919"/>
      <c r="HO629" s="2919"/>
      <c r="HP629" s="2919"/>
      <c r="HQ629" s="2919"/>
      <c r="HR629" s="2919"/>
      <c r="HS629" s="2919"/>
      <c r="HT629" s="2919"/>
      <c r="HU629" s="2919"/>
      <c r="HV629" s="2919"/>
      <c r="HW629" s="2919"/>
      <c r="HX629" s="2919"/>
      <c r="HY629" s="2919"/>
      <c r="HZ629" s="2919"/>
      <c r="IA629" s="2919"/>
      <c r="IB629" s="2919"/>
      <c r="IC629" s="2919"/>
      <c r="ID629" s="2919"/>
      <c r="IE629" s="2919"/>
      <c r="IF629" s="2919"/>
      <c r="IG629" s="2919"/>
      <c r="IH629" s="2919"/>
      <c r="II629" s="2919"/>
      <c r="IJ629" s="2919"/>
      <c r="IK629" s="2919"/>
      <c r="IL629" s="2919"/>
      <c r="IM629" s="2919"/>
      <c r="IN629" s="2919"/>
      <c r="IO629" s="2919"/>
      <c r="IP629" s="2919"/>
      <c r="IQ629" s="2919"/>
      <c r="IR629" s="2919"/>
      <c r="IS629" s="2919"/>
      <c r="IT629" s="2919"/>
      <c r="IU629" s="2919"/>
      <c r="IV629" s="2919"/>
      <c r="IW629" s="2919"/>
      <c r="IX629" s="2919"/>
      <c r="IY629" s="2919"/>
      <c r="IZ629" s="2919"/>
      <c r="JA629" s="2919"/>
      <c r="JB629" s="2919"/>
      <c r="JC629" s="2919"/>
      <c r="JD629" s="2919"/>
      <c r="JE629" s="2919"/>
      <c r="JF629" s="2919"/>
      <c r="JG629" s="2925"/>
      <c r="JH629" s="2925"/>
      <c r="JI629" s="2925"/>
      <c r="JJ629" s="2925"/>
      <c r="JK629" s="2925"/>
      <c r="JL629" s="2919"/>
      <c r="JM629" s="2919"/>
      <c r="JN629" s="2919"/>
      <c r="JO629" s="2919"/>
      <c r="JP629" s="2919"/>
    </row>
    <row r="630" spans="1:276" ht="12" customHeight="1">
      <c r="A630" s="2924" t="str">
        <f t="shared" ref="A630:A667" si="0">IF(AND(E630&gt;0,OR(B630="",C630="",D630="",F630="",G630="", H630="",M630="",N630="",O630="",P630="")),1,"")</f>
        <v/>
      </c>
      <c r="B630" s="2936" t="str">
        <f>'Part VI-Revenues &amp; Expenses'!B10</f>
        <v>50% AMI</v>
      </c>
      <c r="C630" s="2937">
        <f>'Part VI-Revenues &amp; Expenses'!C10</f>
        <v>1</v>
      </c>
      <c r="D630" s="2938">
        <f>'Part VI-Revenues &amp; Expenses'!D10</f>
        <v>1</v>
      </c>
      <c r="E630" s="2939">
        <f>'Part VI-Revenues &amp; Expenses'!E10</f>
        <v>1</v>
      </c>
      <c r="F630" s="2939">
        <f>'Part VI-Revenues &amp; Expenses'!F10</f>
        <v>637</v>
      </c>
      <c r="G630" s="2939">
        <f>'Part VI-Revenues &amp; Expenses'!G10</f>
        <v>456</v>
      </c>
      <c r="H630" s="2939">
        <f>'Part VI-Revenues &amp; Expenses'!H10</f>
        <v>456</v>
      </c>
      <c r="I630" s="2939">
        <f>'Part VI-Revenues &amp; Expenses'!I10</f>
        <v>116</v>
      </c>
      <c r="J630" s="2940" t="str">
        <f>'Part VI-Revenues &amp; Expenses'!J10</f>
        <v>USDA</v>
      </c>
      <c r="K630" s="2941">
        <f t="shared" ref="K630:K667" si="1">MAX(0,H630-I630)</f>
        <v>340</v>
      </c>
      <c r="L630" s="2941">
        <f t="shared" ref="L630:L667" si="2">MAX(0,E630*K630)</f>
        <v>340</v>
      </c>
      <c r="M630" s="2918" t="str">
        <f>'Part VI-Revenues &amp; Expenses'!M10</f>
        <v>No</v>
      </c>
      <c r="N630" s="2918" t="str">
        <f>'Part VI-Revenues &amp; Expenses'!N10</f>
        <v>1-Story</v>
      </c>
      <c r="O630" s="2918" t="str">
        <f>'Part VI-Revenues &amp; Expenses'!O10</f>
        <v>Acquisition/Rehab</v>
      </c>
      <c r="P630" s="2918">
        <f>'Part VI-Revenues &amp; Expenses'!P10</f>
        <v>0</v>
      </c>
      <c r="Q630" s="2942">
        <f>IF(H630="","",P630/($O$626*VLOOKUP(C630,'DCA Underwriting Assumptions'!$J$118:$K$123,2,FALSE)))</f>
        <v>0</v>
      </c>
      <c r="R630" s="2943"/>
      <c r="S630" s="2942"/>
      <c r="T630" s="2869">
        <f>'Part VI-Revenues &amp; Expenses'!U10</f>
        <v>0</v>
      </c>
      <c r="U630" s="2944"/>
      <c r="V630" s="926" t="str">
        <f t="shared" ref="V630:V667" si="3">IF(AND(C630="Efficiency",B630="60% AMI",NOT(M630="Common")),E630,"")</f>
        <v/>
      </c>
      <c r="W630" s="926" t="str">
        <f t="shared" ref="W630:W667" si="4">IF(AND(C630=1,B630="60% AMI",NOT(M630="Common")),E630,"")</f>
        <v/>
      </c>
      <c r="X630" s="926" t="str">
        <f t="shared" ref="X630:X667" si="5">IF(AND(C630=2,B630="60% AMI",NOT(M630="Common")),E630,"")</f>
        <v/>
      </c>
      <c r="Y630" s="926" t="str">
        <f t="shared" ref="Y630:Y667" si="6">IF(AND(C630=3,B630="60% AMI",NOT(M630="Common")),E630,"")</f>
        <v/>
      </c>
      <c r="Z630" s="926" t="str">
        <f t="shared" ref="Z630:Z667" si="7">IF(AND(C630=4,B630="60% AMI",NOT(M630="Common")),E630,"")</f>
        <v/>
      </c>
      <c r="AA630" s="926" t="str">
        <f t="shared" ref="AA630:AA667" si="8">IF(AND(C630="Efficiency",B630="50% AMI",NOT(M630="Common")),E630,"")</f>
        <v/>
      </c>
      <c r="AB630" s="926">
        <f t="shared" ref="AB630:AB667" si="9">IF(AND(C630=1,B630="50% AMI",NOT(M630="Common")),E630,"")</f>
        <v>1</v>
      </c>
      <c r="AC630" s="926" t="str">
        <f t="shared" ref="AC630:AC667" si="10">IF(AND(C630=2,B630="50% AMI",NOT(M630="Common")),E630,"")</f>
        <v/>
      </c>
      <c r="AD630" s="926" t="str">
        <f t="shared" ref="AD630:AD667" si="11">IF(AND(C630=3,B630="50% AMI",NOT(M630="Common")),E630,"")</f>
        <v/>
      </c>
      <c r="AE630" s="926" t="str">
        <f t="shared" ref="AE630:AE667" si="12">IF(AND(C630=4,B630="50% AMI",NOT(M630="Common")),E630,"")</f>
        <v/>
      </c>
      <c r="AF630" s="926" t="str">
        <f t="shared" ref="AF630:AF667" si="13">IF(AND(C630="Efficiency",B630="30% AMI",NOT(M630="Common")),E630,"")</f>
        <v/>
      </c>
      <c r="AG630" s="926" t="str">
        <f t="shared" ref="AG630:AG667" si="14">IF(AND(C630=1,B630="30% AMI",NOT(M630="Common")),E630,"")</f>
        <v/>
      </c>
      <c r="AH630" s="926" t="str">
        <f t="shared" ref="AH630:AH667" si="15">IF(AND(C630=2,B630="30% AMI",NOT(M630="Common")),E630,"")</f>
        <v/>
      </c>
      <c r="AI630" s="926" t="str">
        <f t="shared" ref="AI630:AI667" si="16">IF(AND(C630=3,B630="30% AMI",NOT(M630="Common")),E630,"")</f>
        <v/>
      </c>
      <c r="AJ630" s="926" t="str">
        <f t="shared" ref="AJ630:AJ667" si="17">IF(AND(C630=4,B630="30% AMI",NOT(M630="Common")),E630,"")</f>
        <v/>
      </c>
      <c r="AK630" s="926" t="str">
        <f t="shared" ref="AK630:AK667" si="18">IF(AND(C630="Efficiency",B630="Unrestricted",NOT(M630="Common")),E630,"")</f>
        <v/>
      </c>
      <c r="AL630" s="926" t="str">
        <f t="shared" ref="AL630:AL667" si="19">IF(AND(C630=1,B630="Unrestricted",NOT(M630="Common")),E630,"")</f>
        <v/>
      </c>
      <c r="AM630" s="926" t="str">
        <f t="shared" ref="AM630:AM667" si="20">IF(AND(C630=2,B630="Unrestricted",NOT(M630="Common")),E630,"")</f>
        <v/>
      </c>
      <c r="AN630" s="926" t="str">
        <f t="shared" ref="AN630:AN667" si="21">IF(AND(C630=3,B630="Unrestricted",NOT(M630="Common")),E630,"")</f>
        <v/>
      </c>
      <c r="AO630" s="926" t="str">
        <f t="shared" ref="AO630:AO667" si="22">IF(AND(C630=4,B630="Unrestricted",NOT(M630="Common")),E630,"")</f>
        <v/>
      </c>
      <c r="AP630" s="926" t="str">
        <f t="shared" ref="AP630:AP667" si="23">IF(OR(AND($C630="Efficiency",NOT($J630=""),NOT($J630="PHA Oper Sub"),$B630="30% AMI",NOT($M630="Common")),AND($C630="Efficiency",NOT($J630=""),NOT($J630="PHA Oper Sub"),$B630="HOME 30% AMI",NOT($M630="Common"))),$E630,"")</f>
        <v/>
      </c>
      <c r="AQ630" s="926" t="str">
        <f t="shared" ref="AQ630:AQ667" si="24">IF(OR(AND($C630=1,NOT($J630=""),NOT($J630="PHA Oper Sub"),$B630="30% AMI",NOT($M630="Common")),AND($C630=1,NOT($J630=""),NOT($J630="PHA Oper Sub"),$B630="HOME 30% AMI",NOT($M630="Common"))),$E630,"")</f>
        <v/>
      </c>
      <c r="AR630" s="926" t="str">
        <f t="shared" ref="AR630:AR667" si="25">IF(OR(AND($C630=2,NOT($J630=""),NOT($J630="PHA Oper Sub"),$B630="30% AMI",NOT($M630="Common")),AND($C630=2,NOT($J630=""),NOT($J630="PHA Oper Sub"),$B630="HOME 30% AMI",NOT($M630="Common"))),$E630,"")</f>
        <v/>
      </c>
      <c r="AS630" s="926" t="str">
        <f t="shared" ref="AS630:AS667" si="26">IF(OR(AND($C630=3,NOT($J630=""),NOT($J630="PHA Oper Sub"),$B630="30% AMI",NOT($M630="Common")),AND($C630=3,NOT($J630=""),NOT($J630="PHA Oper Sub"),$B630="HOME 30% AMI",NOT($M630="Common"))),$E630,"")</f>
        <v/>
      </c>
      <c r="AT630" s="926" t="str">
        <f t="shared" ref="AT630:AT667" si="27">IF(OR(AND($C630=4,NOT($J630=""),NOT($J630="PHA Oper Sub"),$B630="30% AMI",NOT($M630="Common")),AND($C630=4,NOT($J630=""),NOT($J630="PHA Oper Sub"),$B630="HOME 30% AMI",NOT($M630="Common"))),$E630,"")</f>
        <v/>
      </c>
      <c r="AU630" s="926" t="str">
        <f t="shared" ref="AU630:AU667" si="28">IF(OR(AND($C630="Efficiency",NOT($J630=""),NOT($J630="PHA Oper Sub"),NOT($J630=0),$B630="50% AMI",NOT($M630="Common")),AND($C630="Efficiency",NOT($J630=""),NOT($J630=0),NOT($J630="PHA Oper Sub"),$B630="HOME 50% AMI",NOT($M630="Common"))),$E630,"")</f>
        <v/>
      </c>
      <c r="AV630" s="926">
        <f t="shared" ref="AV630:AV667" si="29">IF(OR(AND($C630=1,NOT($J630=""),NOT($J630=0),NOT($J630="PHA Oper Sub"),$B630="50% AMI",NOT($M630="Common")),AND($C630=1,NOT($J630=""),NOT($J630=0),NOT($J630="PHA Oper Sub"),$B630="HOME 50% AMI",NOT($M630="Common"))),$E630,"")</f>
        <v>1</v>
      </c>
      <c r="AW630" s="926" t="str">
        <f t="shared" ref="AW630:AW667" si="30">IF(OR(AND($C630=2,NOT($J630=""),NOT($J630=0),NOT($J630="PHA Oper Sub"),$B630="50% AMI",NOT($M630="Common")),AND($C630=2,NOT($J630=""),NOT($J630=0),NOT($J630="PHA Oper Sub"),$B630="HOME 50% AMI",NOT($M630="Common"))),$E630,"")</f>
        <v/>
      </c>
      <c r="AX630" s="926" t="str">
        <f t="shared" ref="AX630:AX667" si="31">IF(OR(AND($C630=3,NOT($J630=""),NOT($J630=0),NOT($J630="PHA Oper Sub"),$B630="50% AMI",NOT($M630="Common")),AND($C630=3,NOT($J630=""),NOT($J630=0),NOT($J630="PHA Oper Sub"),$B630="HOME 50% AMI",NOT($M630="Common"))),$E630,"")</f>
        <v/>
      </c>
      <c r="AY630" s="926" t="str">
        <f t="shared" ref="AY630:AY667" si="32">IF(OR(AND($C630=4,NOT($J630=""),NOT($J630=0),NOT($J630="PHA Oper Sub"),$B630="50% AMI",NOT($M630="Common")),AND($C630=4,NOT($J630=""),NOT($J630=0),NOT($J630="PHA Oper Sub"),$B630="HOME 50% AMI",NOT($M630="Common"))),$E630,"")</f>
        <v/>
      </c>
      <c r="AZ630" s="926" t="str">
        <f t="shared" ref="AZ630:AZ667" si="33">IF(OR(AND($C630="Efficiency",NOT($J630=""),NOT($J630=0),NOT($J630="PHA Oper Sub"),$B630="60% AMI",NOT($M630="Common")),AND($C630="Efficiency",NOT($J630=""),NOT($J630=0),NOT($J630="PHA Oper Sub"),$B630="HOME 60% AMI",NOT($M630="Common"))),$E630,"")</f>
        <v/>
      </c>
      <c r="BA630" s="926" t="str">
        <f t="shared" ref="BA630:BA667" si="34">IF(OR(AND($C630=1,NOT($J630=""),NOT($J630=0),NOT($J630="PHA Oper Sub"),$B630="60% AMI",NOT($M630="Common")),AND($C630=1,NOT($J630=""),NOT($J630=0),NOT($J630="PHA Oper Sub"),$B630="HOME 60% AMI",NOT($M630="Common"))),$E630,"")</f>
        <v/>
      </c>
      <c r="BB630" s="926" t="str">
        <f t="shared" ref="BB630:BB667" si="35">IF(OR(AND($C630=2,NOT($J630=""),NOT($J630=0),NOT($J630="PHA Oper Sub"),$B630="60% AMI",NOT($M630="Common")),AND($C630=2,NOT($J630=""),NOT($J630=0),NOT($J630="PHA Oper Sub"),$B630="HOME 60% AMI",NOT($M630="Common"))),$E630,"")</f>
        <v/>
      </c>
      <c r="BC630" s="926" t="str">
        <f t="shared" ref="BC630:BC667" si="36">IF(OR(AND($C630=3,NOT($J630=""),NOT($J630=0),NOT($J630="PHA Oper Sub"),$B630="60% AMI",NOT($M630="Common")),AND($C630=3,NOT($J630=""),NOT($J630=0),NOT($J630="PHA Oper Sub"),$B630="HOME 60% AMI",NOT($M630="Common"))),$E630,"")</f>
        <v/>
      </c>
      <c r="BD630" s="926" t="str">
        <f t="shared" ref="BD630:BD667" si="37">IF(OR(AND($C630=4,NOT($J630=""),NOT($J630=0),NOT($J630="PHA Oper Sub"),$B630="60% AMI",NOT($M630="Common")),AND($C630=4,NOT($J630=""),NOT($J630=0),NOT($J630="PHA Oper Sub"),$B630="HOME 60% AMI",NOT($M630="Common"))),$E630,"")</f>
        <v/>
      </c>
      <c r="BE630" s="926" t="str">
        <f t="shared" ref="BE630:BE667" si="38">IF(OR(AND($C630="Efficiency",$J630="PHA Oper Sub",$B630="30% AMI",NOT($M630="Common")),AND($C630="Efficiency",$J630="PHA Oper Sub",$B630="HOME 30% AMI",NOT($M630="Common"))),$E630,"")</f>
        <v/>
      </c>
      <c r="BF630" s="926" t="str">
        <f t="shared" ref="BF630:BF667" si="39">IF(OR(AND($C630=1,$J630="PHA Oper Sub",$B630="30% AMI",NOT($M630="Common")),AND($C630=1,$J630="PHA Oper Sub",$B630="HOME 30% AMI",NOT($M630="Common"))),$E630,"")</f>
        <v/>
      </c>
      <c r="BG630" s="926" t="str">
        <f t="shared" ref="BG630:BG667" si="40">IF(OR(AND($C630=2,$J630="PHA Oper Sub",$B630="30% AMI",NOT($M630="Common")),AND($C630=2,$J630="PHA Oper Sub",$B630="HOME 30% AMI",NOT($M630="Common"))),$E630,"")</f>
        <v/>
      </c>
      <c r="BH630" s="926" t="str">
        <f t="shared" ref="BH630:BH667" si="41">IF(OR(AND($C630=3,$J630="PHA Oper Sub",$B630="30% AMI",NOT($M630="Common")),AND($C630=3,$J630="PHA Oper Sub",$B630="HOME 30% AMI",NOT($M630="Common"))),$E630,"")</f>
        <v/>
      </c>
      <c r="BI630" s="926" t="str">
        <f t="shared" ref="BI630:BI667" si="42">IF(OR(AND($C630=4,$J630="PHA Oper Sub",$B630="30% AMI",NOT($M630="Common")),AND($C630=4,$J630="PHA Oper Sub",$B630="HOME 30% AMI",NOT($M630="Common"))),$E630,"")</f>
        <v/>
      </c>
      <c r="BJ630" s="926" t="str">
        <f t="shared" ref="BJ630:BJ667" si="43">IF(OR(AND($C630="Efficiency",$J630="PHA Oper Sub",$B630="50% AMI",NOT($M630="Common")),AND($C630="Efficiency",$J630="PHA Oper Sub",$B630="HOME 50% AMI",NOT($M630="Common"))),$E630,"")</f>
        <v/>
      </c>
      <c r="BK630" s="926" t="str">
        <f t="shared" ref="BK630:BK667" si="44">IF(OR(AND($C630=1,$J630="PHA Oper Sub",$B630="50% AMI",NOT($M630="Common")),AND($C630=1,$J630="PHA Oper Sub",$B630="HOME 50% AMI",NOT($M630="Common"))),$E630,"")</f>
        <v/>
      </c>
      <c r="BL630" s="926" t="str">
        <f t="shared" ref="BL630:BL667" si="45">IF(OR(AND($C630=2,$J630="PHA Oper Sub",$B630="50% AMI",NOT($M630="Common")),AND($C630=2,$J630="PHA Oper Sub",$B630="HOME 50% AMI",NOT($M630="Common"))),$E630,"")</f>
        <v/>
      </c>
      <c r="BM630" s="926" t="str">
        <f t="shared" ref="BM630:BM667" si="46">IF(OR(AND($C630=3,$J630="PHA Oper Sub",$B630="50% AMI",NOT($M630="Common")),AND($C630=3,$J630="PHA Oper Sub",$B630="HOME 50% AMI",NOT($M630="Common"))),$E630,"")</f>
        <v/>
      </c>
      <c r="BN630" s="926" t="str">
        <f t="shared" ref="BN630:BN667" si="47">IF(OR(AND($C630=4,$J630="PHA Oper Sub",$B630="50% AMI",NOT($M630="Common")),AND($C630=4,$J630="PHA Oper Sub",$B630="HOME 50% AMI",NOT($M630="Common"))),$E630,"")</f>
        <v/>
      </c>
      <c r="BO630" s="926" t="str">
        <f t="shared" ref="BO630:BO667" si="48">IF(OR(AND($C630="Efficiency",$J630="PHA Oper Sub",$B630="60% AMI",NOT($M630="Common")),AND($C630="Efficiency",$J630="PHA Oper Sub",$B630="HOME 60% AMI",NOT($M630="Common"))),$E630,"")</f>
        <v/>
      </c>
      <c r="BP630" s="926" t="str">
        <f t="shared" ref="BP630:BP667" si="49">IF(OR(AND($C630=1,$J630="PHA Oper Sub",$B630="60% AMI",NOT($M630="Common")),AND($C630=1,$J630="PHA Oper Sub",$B630="HOME 60% AMI",NOT($M630="Common"))),$E630,"")</f>
        <v/>
      </c>
      <c r="BQ630" s="926" t="str">
        <f t="shared" ref="BQ630:BQ667" si="50">IF(OR(AND($C630=2,$J630="PHA Oper Sub",$B630="60% AMI",NOT($M630="Common")),AND($C630=2,$J630="PHA Oper Sub",$B630="HOME 60% AMI",NOT($M630="Common"))),$E630,"")</f>
        <v/>
      </c>
      <c r="BR630" s="926" t="str">
        <f t="shared" ref="BR630:BR667" si="51">IF(OR(AND($C630=3,$J630="PHA Oper Sub",$B630="60% AMI",NOT($M630="Common")),AND($C630=3,$J630="PHA Oper Sub",$B630="HOME 60% AMI",NOT($M630="Common"))),$E630,"")</f>
        <v/>
      </c>
      <c r="BS630" s="926" t="str">
        <f t="shared" ref="BS630:BS667" si="52">IF(OR(AND($C630=4,$J630="PHA Oper Sub",$B630="60% AMI",NOT($M630="Common")),AND($C630=4,$J630="PHA Oper Sub",$B630="HOME 60% AMI",NOT($M630="Common"))),$E630,"")</f>
        <v/>
      </c>
      <c r="BT630" s="926" t="str">
        <f t="shared" ref="BT630:BT667" si="53">IF(AND(C630="Efficiency",M630="Common"),E630,"")</f>
        <v/>
      </c>
      <c r="BU630" s="926" t="str">
        <f t="shared" ref="BU630:BU667" si="54">IF(AND(C630=1,M630="Common"),E630,"")</f>
        <v/>
      </c>
      <c r="BV630" s="926" t="str">
        <f t="shared" ref="BV630:BV667" si="55">IF(AND(C630=2,M630="Common"),E630,"")</f>
        <v/>
      </c>
      <c r="BW630" s="926" t="str">
        <f t="shared" ref="BW630:BW667" si="56">IF(AND(C630=3,M630="Common"),E630,"")</f>
        <v/>
      </c>
      <c r="BX630" s="926" t="str">
        <f t="shared" ref="BX630:BX667" si="57">IF(AND(C630=4,M630="Common"),E630,"")</f>
        <v/>
      </c>
      <c r="BY630" s="926" t="str">
        <f t="shared" ref="BY630:BY667" si="58">IF(OR(AND(C630="Efficiency",B630="60% AMI",NOT(M630="Common")),AND(C630="Efficiency",B630="HOME 60% AMI",NOT(M630="Common"))),E630*F630,"")</f>
        <v/>
      </c>
      <c r="BZ630" s="926" t="str">
        <f t="shared" ref="BZ630:BZ667" si="59">IF(OR(AND(C630=1,B630="60% AMI",NOT(M630="Common")),AND(C630=1,B630="HOME 60% AMI",NOT(M630="Common"))),E630*F630,"")</f>
        <v/>
      </c>
      <c r="CA630" s="926" t="str">
        <f t="shared" ref="CA630:CA667" si="60">IF(OR(AND(C630=2,B630="60% AMI",NOT(M630="Common")),AND(C630=2,B630="HOME 60% AMI",NOT(M630="Common"))),E630*F630,"")</f>
        <v/>
      </c>
      <c r="CB630" s="926" t="str">
        <f t="shared" ref="CB630:CB667" si="61">IF(OR(AND(C630=3,B630="60% AMI",NOT(M630="Common")),AND(C630=3,B630="HOME 60% AMI",NOT(M630="Common"))),E630*F630,"")</f>
        <v/>
      </c>
      <c r="CC630" s="926" t="str">
        <f t="shared" ref="CC630:CC667" si="62">IF(OR(AND(C630=4,B630="60% AMI",NOT(M630="Common")),AND(C630=4,B630="HOME 60% AMI",NOT(M630="Common"))),E630*F630,"")</f>
        <v/>
      </c>
      <c r="CD630" s="926" t="str">
        <f t="shared" ref="CD630:CD667" si="63">IF(OR(AND(C630="Efficiency",B630="50% AMI",NOT(M630="Common")),AND(C630="Efficiency",B630="HOME 50% AMI",NOT(M630="Common"))),E630*F630,"")</f>
        <v/>
      </c>
      <c r="CE630" s="926">
        <f t="shared" ref="CE630:CE667" si="64">IF(OR(AND(C630=1,B630="50% AMI",NOT(M630="Common")),AND(C630=1,B630="HOME 50% AMI",NOT(M630="Common"))),E630*F630,"")</f>
        <v>637</v>
      </c>
      <c r="CF630" s="926" t="str">
        <f t="shared" ref="CF630:CF667" si="65">IF(OR(AND(C630=2,B630="50% AMI",NOT(M630="Common")),AND(C630=2,B630="HOME 50% AMI",NOT(M630="Common"))),E630*F630,"")</f>
        <v/>
      </c>
      <c r="CG630" s="926" t="str">
        <f t="shared" ref="CG630:CG667" si="66">IF(OR(AND(C630=3,B630="50% AMI",NOT(M630="Common")),AND(C630=3,B630="HOME 50% AMI",NOT(M630="Common"))),E630*F630,"")</f>
        <v/>
      </c>
      <c r="CH630" s="926" t="str">
        <f t="shared" ref="CH630:CH667" si="67">IF(OR(AND(C630=4,B630="50% AMI",NOT(M630="Common")),AND(C630=4,B630="HOME 50% AMI",NOT(M630="Common"))),E630*F630,"")</f>
        <v/>
      </c>
      <c r="CI630" s="926" t="str">
        <f t="shared" ref="CI630:CI667" si="68">IF(OR(AND(C630="Efficiency",B630="30% AMI",NOT(M630="Common")),AND(C630="Efficiency",B630="HOME 30% AMI",NOT(M630="Common"))),E630*F630,"")</f>
        <v/>
      </c>
      <c r="CJ630" s="926" t="str">
        <f t="shared" ref="CJ630:CJ667" si="69">IF(OR(AND(C630=1,B630="30% AMI",NOT(M630="Common")),AND(C630=1,B630="HOME 30% AMI",NOT(M630="Common"))),E630*F630,"")</f>
        <v/>
      </c>
      <c r="CK630" s="926" t="str">
        <f t="shared" ref="CK630:CK667" si="70">IF(OR(AND(C630=2,B630="30% AMI",NOT(M630="Common")),AND(C630=2,B630="HOME 30% AMI",NOT(M630="Common"))),E630*F630,"")</f>
        <v/>
      </c>
      <c r="CL630" s="926" t="str">
        <f t="shared" ref="CL630:CL667" si="71">IF(OR(AND(C630=3,B630="30% AMI",NOT(M630="Common")),AND(C630=3,B630="HOME 30% AMI",NOT(M630="Common"))),E630*F630,"")</f>
        <v/>
      </c>
      <c r="CM630" s="926" t="str">
        <f t="shared" ref="CM630:CM667" si="72">IF(OR(AND(C630=4,B630="30% AMI",NOT(M630="Common")),AND(C630=4,B630="HOME 30% AMI",NOT(M630="Common"))),E630*F630,"")</f>
        <v/>
      </c>
      <c r="CN630" s="926" t="str">
        <f t="shared" ref="CN630:CN667" si="73">IF(AND(C630="Efficiency",B630="Unrestricted",NOT(M630="Common")),E630*F630,"")</f>
        <v/>
      </c>
      <c r="CO630" s="926" t="str">
        <f t="shared" ref="CO630:CO667" si="74">IF(AND(C630=1,B630="Unrestricted",NOT(M630="Common")),E630*F630,"")</f>
        <v/>
      </c>
      <c r="CP630" s="926" t="str">
        <f t="shared" ref="CP630:CP667" si="75">IF(AND(C630=2,B630="Unrestricted",NOT(M630="Common")),E630*F630,"")</f>
        <v/>
      </c>
      <c r="CQ630" s="926" t="str">
        <f t="shared" ref="CQ630:CQ667" si="76">IF(AND(C630=3,B630="Unrestricted",NOT(M630="Common")),E630*F630,"")</f>
        <v/>
      </c>
      <c r="CR630" s="926" t="str">
        <f t="shared" ref="CR630:CR667" si="77">IF(AND(C630=4,B630="Unrestricted",NOT(M630="Common")),E630*F630,"")</f>
        <v/>
      </c>
      <c r="CS630" s="926" t="str">
        <f t="shared" ref="CS630:CS667" si="78">IF(AND(C630="Efficiency",NOT(J630=""),NOT($J630=0),NOT(M630="Common")),E630*F630,"")</f>
        <v/>
      </c>
      <c r="CT630" s="926">
        <f t="shared" ref="CT630:CT667" si="79">IF(AND(C630=1,NOT(J630=""),NOT($J630=0),NOT(M630="Common")),E630*F630,"")</f>
        <v>637</v>
      </c>
      <c r="CU630" s="926" t="str">
        <f t="shared" ref="CU630:CU667" si="80">IF(AND(C630=2,NOT(J630=""),NOT($J630=0),NOT(M630="Common")),E630*F630,"")</f>
        <v/>
      </c>
      <c r="CV630" s="926" t="str">
        <f t="shared" ref="CV630:CV667" si="81">IF(AND(C630=3,NOT(J630=""),NOT($J630=0),NOT(M630="Common")),E630*F630,"")</f>
        <v/>
      </c>
      <c r="CW630" s="926" t="str">
        <f t="shared" ref="CW630:CW667" si="82">IF(AND(C630=4,NOT(J630=""),NOT($J630=0),NOT(M630="Common")),E630*F630,"")</f>
        <v/>
      </c>
      <c r="CX630" s="926" t="str">
        <f t="shared" ref="CX630:CX667" si="83">IF(AND(C630="Efficiency",M630="Common"),E630*F630,"")</f>
        <v/>
      </c>
      <c r="CY630" s="926" t="str">
        <f t="shared" ref="CY630:CY667" si="84">IF(AND(C630=1,M630="Common"),E630*F630,"")</f>
        <v/>
      </c>
      <c r="CZ630" s="926" t="str">
        <f t="shared" ref="CZ630:CZ667" si="85">IF(AND(C630=2,M630="Common"),E630*F630,"")</f>
        <v/>
      </c>
      <c r="DA630" s="926" t="str">
        <f t="shared" ref="DA630:DA667" si="86">IF(AND(C630=3,M630="Common"),E630*F630,"")</f>
        <v/>
      </c>
      <c r="DB630" s="926" t="str">
        <f t="shared" ref="DB630:DB667" si="87">IF(AND(C630=4,M630="Common"),E630*F630,"")</f>
        <v/>
      </c>
      <c r="DC630" s="926" t="str">
        <f t="shared" ref="DC630:DC667" si="88">IF(AND($C630="Efficiency", $O630="New Construction",NOT($B630="Unrestricted"),NOT($B630="NSP 120% AMI"),NOT($B630="N/A-CS"),NOT($M630="Common")),$E630,"")</f>
        <v/>
      </c>
      <c r="DD630" s="926" t="str">
        <f t="shared" ref="DD630:DD667" si="89">IF(AND($C630=1, $O630="New Construction",NOT($B630="Unrestricted"),NOT($B630="NSP 120% AMI"),NOT($B630="N/A-CS"),NOT($M630="Common")),$E630,"")</f>
        <v/>
      </c>
      <c r="DE630" s="926" t="str">
        <f t="shared" ref="DE630:DE667" si="90">IF(AND($C630=2, $O630="New Construction",NOT($B630="Unrestricted"),NOT($B630="NSP 120% AMI"),NOT($B630="N/A-CS"),NOT($M630="Common")),$E630,"")</f>
        <v/>
      </c>
      <c r="DF630" s="926" t="str">
        <f t="shared" ref="DF630:DF667" si="91">IF(AND($C630=3, $O630="New Construction",NOT($B630="Unrestricted"),NOT($B630="NSP 120% AMI"),NOT($B630="N/A-CS"),NOT($M630="Common")),$E630,"")</f>
        <v/>
      </c>
      <c r="DG630" s="926" t="str">
        <f t="shared" ref="DG630:DG667" si="92">IF(AND($C630=4, $O630="New Construction",NOT($B630="Unrestricted"),NOT($B630="NSP 120% AMI"),NOT($B630="N/A-CS"),NOT($M630="Common")),$E630,"")</f>
        <v/>
      </c>
      <c r="DH630" s="926" t="str">
        <f t="shared" ref="DH630:DH667" si="93">IF(AND($C630="Efficiency", $O630="New Construction",$B630="Unrestricted",NOT($B630="N/A-CS"),NOT($M630="Common")),$E630,"")</f>
        <v/>
      </c>
      <c r="DI630" s="926" t="str">
        <f t="shared" ref="DI630:DI667" si="94">IF(AND($C630=1, $O630="New Construction",$B630="Unrestricted",NOT($B630="N/A-CS"),NOT($M630="Common")),$E630,"")</f>
        <v/>
      </c>
      <c r="DJ630" s="926" t="str">
        <f t="shared" ref="DJ630:DJ667" si="95">IF(AND($C630=2, $O630="New Construction",$B630="Unrestricted",NOT($B630="N/A-CS"),NOT($M630="Common")),$E630,"")</f>
        <v/>
      </c>
      <c r="DK630" s="926" t="str">
        <f t="shared" ref="DK630:DK667" si="96">IF(AND($C630=3, $O630="New Construction",$B630="Unrestricted",NOT($B630="N/A-CS"),NOT($M630="Common")),$E630,"")</f>
        <v/>
      </c>
      <c r="DL630" s="926" t="str">
        <f t="shared" ref="DL630:DL667" si="97">IF(AND($C630=4, $O630="New Construction",$B630="Unrestricted",NOT($B630="N/A-CS"),NOT($M630="Common")),$E630,"")</f>
        <v/>
      </c>
      <c r="DM630" s="926" t="str">
        <f t="shared" ref="DM630:DM667" si="98">IF(AND($C630="Efficiency", $O630="New Construction",$B630="N/A-CS",$M630="Common"),$E630,"")</f>
        <v/>
      </c>
      <c r="DN630" s="926" t="str">
        <f t="shared" ref="DN630:DN667" si="99">IF(AND($C630=1, $O630="New Construction",$B630="N/A-CS",$M630="Common"),$E630,"")</f>
        <v/>
      </c>
      <c r="DO630" s="926" t="str">
        <f t="shared" ref="DO630:DO667" si="100">IF(AND($C630=2, $O630="New Construction",$B630="N/A-CS",$M630="Common"),$E630,"")</f>
        <v/>
      </c>
      <c r="DP630" s="926" t="str">
        <f t="shared" ref="DP630:DP667" si="101">IF(AND($C630=3, $O630="New Construction",$B630="N/A-CS",$M630="Common"),$E630,"")</f>
        <v/>
      </c>
      <c r="DQ630" s="926" t="str">
        <f t="shared" ref="DQ630:DQ667" si="102">IF(AND($C630=4, $O630="New Construction",$B630="N/A-CS",$M630="Common"),$E630,"")</f>
        <v/>
      </c>
      <c r="DR630" s="926" t="str">
        <f t="shared" ref="DR630:DR667" si="103">IF(AND($C630="Efficiency", $O630="Acquisition/Rehab",NOT($B630="Unrestricted"),NOT($B630="NSP 120% AMI"),NOT($B630="N/A-CS"),NOT($M630="Common")),$E630,"")</f>
        <v/>
      </c>
      <c r="DS630" s="926">
        <f t="shared" ref="DS630:DS667" si="104">IF(AND($C630=1, $O630="Acquisition/Rehab",NOT($B630="Unrestricted"),NOT($B630="NSP 120% AMI"),NOT($B630="N/A-CS"),NOT($M630="Common")),$E630,"")</f>
        <v>1</v>
      </c>
      <c r="DT630" s="926" t="str">
        <f t="shared" ref="DT630:DT667" si="105">IF(AND($C630=2, $O630="Acquisition/Rehab",NOT($B630="Unrestricted"),NOT($B630="NSP 120% AMI"),NOT($B630="N/A-CS"),NOT($M630="Common")),$E630,"")</f>
        <v/>
      </c>
      <c r="DU630" s="926" t="str">
        <f t="shared" ref="DU630:DU667" si="106">IF(AND($C630=3, $O630="Acquisition/Rehab",NOT($B630="Unrestricted"),NOT($B630="NSP 120% AMI"),NOT($B630="N/A-CS"),NOT($M630="Common")),$E630,"")</f>
        <v/>
      </c>
      <c r="DV630" s="926" t="str">
        <f t="shared" ref="DV630:DV667" si="107">IF(AND($C630=4, $O630="Acquisition/Rehab",NOT($B630="Unrestricted"),NOT($B630="NSP 120% AMI"),NOT($B630="N/A-CS"),NOT($M630="Common")),$E630,"")</f>
        <v/>
      </c>
      <c r="DW630" s="926" t="str">
        <f t="shared" ref="DW630:DW667" si="108">IF(AND($C630="Efficiency", $O630="Acquisition/Rehab",$B630="Unrestricted",NOT($B630="N/A-CS"),NOT($M630="Common")),$E630,"")</f>
        <v/>
      </c>
      <c r="DX630" s="926" t="str">
        <f t="shared" ref="DX630:DX667" si="109">IF(AND($C630=1, $O630="Acquisition/Rehab",$B630="Unrestricted",NOT($B630="N/A-CS"),NOT($M630="Common")),$E630,"")</f>
        <v/>
      </c>
      <c r="DY630" s="926" t="str">
        <f t="shared" ref="DY630:DY667" si="110">IF(AND($C630=2, $O630="Acquisition/Rehab",$B630="Unrestricted",NOT($B630="N/A-CS"),NOT($M630="Common")),$E630,"")</f>
        <v/>
      </c>
      <c r="DZ630" s="926" t="str">
        <f t="shared" ref="DZ630:DZ667" si="111">IF(AND($C630=3, $O630="Acquisition/Rehab",$B630="Unrestricted",NOT($B630="N/A-CS"),NOT($M630="Common")),$E630,"")</f>
        <v/>
      </c>
      <c r="EA630" s="926" t="str">
        <f t="shared" ref="EA630:EA667" si="112">IF(AND($C630=4, $O630="Acquisition/Rehab",$B630="Unrestricted",NOT($B630="N/A-CS"),NOT($M630="Common")),$E630,"")</f>
        <v/>
      </c>
      <c r="EB630" s="926" t="str">
        <f t="shared" ref="EB630:EB667" si="113">IF(AND($C630="Efficiency", $O630="Acquisition/Rehab",$B630="N/A-CS",$M630="Common"),$E630,"")</f>
        <v/>
      </c>
      <c r="EC630" s="926" t="str">
        <f t="shared" ref="EC630:EC667" si="114">IF(AND($C630=1, $O630="Acquisition/Rehab",$B630="N/A-CS",$M630="Common"),$E630,"")</f>
        <v/>
      </c>
      <c r="ED630" s="926" t="str">
        <f t="shared" ref="ED630:ED667" si="115">IF(AND($C630=2, $O630="Acquisition/Rehab",$B630="N/A-CS",$M630="Common"),$E630,"")</f>
        <v/>
      </c>
      <c r="EE630" s="926" t="str">
        <f t="shared" ref="EE630:EE667" si="116">IF(AND($C630=3, $O630="Acquisition/Rehab",$B630="N/A-CS",$M630="Common"),$E630,"")</f>
        <v/>
      </c>
      <c r="EF630" s="926" t="str">
        <f t="shared" ref="EF630:EF667" si="117">IF(AND($C630=4, $O630="Acquisition/Rehab",$B630="N/A-CS",$M630="Common"),$E630,"")</f>
        <v/>
      </c>
      <c r="EG630" s="926" t="str">
        <f t="shared" ref="EG630:EG667" si="118">IF(AND($C630="Efficiency", $O630="Rehabilitation",NOT($B630="Unrestricted"),NOT($B630="NSP 120% AMI"),NOT($B630="N/A-CS"),NOT($M630="Common")),$E630,"")</f>
        <v/>
      </c>
      <c r="EH630" s="926" t="str">
        <f t="shared" ref="EH630:EH667" si="119">IF(AND($C630=1, $O630="Rehabilitation",NOT($B630="Unrestricted"),NOT($B630="NSP 120% AMI"),NOT($B630="N/A-CS"),NOT($M630="Common")),$E630,"")</f>
        <v/>
      </c>
      <c r="EI630" s="926" t="str">
        <f t="shared" ref="EI630:EI667" si="120">IF(AND($C630=2, $O630="Rehabilitation",NOT($B630="Unrestricted"),NOT($B630="NSP 120% AMI"),NOT($B630="N/A-CS"),NOT($M630="Common")),$E630,"")</f>
        <v/>
      </c>
      <c r="EJ630" s="926" t="str">
        <f t="shared" ref="EJ630:EJ667" si="121">IF(AND($C630=3, $O630="Rehabilitation",NOT($B630="Unrestricted"),NOT($B630="NSP 120% AMI"),NOT($B630="N/A-CS"),NOT($M630="Common")),$E630,"")</f>
        <v/>
      </c>
      <c r="EK630" s="926" t="str">
        <f t="shared" ref="EK630:EK667" si="122">IF(AND($C630=4, $O630="Rehabilitation",NOT($B630="Unrestricted"),NOT($B630="NSP 120% AMI"),NOT($B630="N/A-CS"),NOT($M630="Common")),$E630,"")</f>
        <v/>
      </c>
      <c r="EL630" s="926" t="str">
        <f t="shared" ref="EL630:EL667" si="123">IF(AND($C630="Efficiency", $O630="Rehabilitation",$B630="Unrestricted",NOT($B630="N/A-CS"),NOT($M630="Common")),$E630,"")</f>
        <v/>
      </c>
      <c r="EM630" s="926" t="str">
        <f t="shared" ref="EM630:EM667" si="124">IF(AND($C630=1, $O630="Rehabilitation",$B630="Unrestricted",NOT($B630="N/A-CS"),NOT($M630="Common")),$E630,"")</f>
        <v/>
      </c>
      <c r="EN630" s="926" t="str">
        <f t="shared" ref="EN630:EN667" si="125">IF(AND($C630=2, $O630="Rehabilitation",$B630="Unrestricted",NOT($B630="N/A-CS"),NOT($M630="Common")),$E630,"")</f>
        <v/>
      </c>
      <c r="EO630" s="926" t="str">
        <f t="shared" ref="EO630:EO667" si="126">IF(AND($C630=3, $O630="Rehabilitation",$B630="Unrestricted",NOT($B630="N/A-CS"),NOT($M630="Common")),$E630,"")</f>
        <v/>
      </c>
      <c r="EP630" s="926" t="str">
        <f t="shared" ref="EP630:EP667" si="127">IF(AND($C630=4, $O630="Rehabilitation",$B630="Unrestricted",NOT($B630="N/A-CS"),NOT($M630="Common")),$E630,"")</f>
        <v/>
      </c>
      <c r="EQ630" s="926" t="str">
        <f t="shared" ref="EQ630:EQ667" si="128">IF(AND($C630="Efficiency", $O630="Rehabilitation",$B630="N/A-CS",$M630="Common"),$E630,"")</f>
        <v/>
      </c>
      <c r="ER630" s="926" t="str">
        <f t="shared" ref="ER630:ER667" si="129">IF(AND($C630=1, $O630="Rehabilitation",$B630="N/A-CS",$M630="Common"),$E630,"")</f>
        <v/>
      </c>
      <c r="ES630" s="926" t="str">
        <f t="shared" ref="ES630:ES667" si="130">IF(AND($C630=2, $O630="Rehabilitation",$B630="N/A-CS",$M630="Common"),$E630,"")</f>
        <v/>
      </c>
      <c r="ET630" s="926" t="str">
        <f t="shared" ref="ET630:ET667" si="131">IF(AND($C630=3, $O630="Rehabilitation",$B630="N/A-CS",$M630="Common"),$E630,"")</f>
        <v/>
      </c>
      <c r="EU630" s="926" t="str">
        <f t="shared" ref="EU630:EU667" si="132">IF(AND($C630=4, $O630="Rehabilitation",$B630="N/A-CS",$M630="Common"),$E630,"")</f>
        <v/>
      </c>
      <c r="EV630" s="2945" t="str">
        <f t="shared" ref="EV630:EV667" si="133">IF(AND($C630="Efficiency", NOT(OR($N630="SF Detached",$N630="Mfd Home",$N630="Duplex",$N630="Townhome"))),$E630,"")</f>
        <v/>
      </c>
      <c r="EW630" s="2945">
        <f t="shared" ref="EW630:EW667" si="134">IF(AND($C630=1, NOT(OR($N630="SF Detached",$N630="Mfd Home",$N630="Duplex",$N630="Townhome"))),$E630,"")</f>
        <v>1</v>
      </c>
      <c r="EX630" s="2945" t="str">
        <f t="shared" ref="EX630:EX667" si="135">IF(AND($C630=2, NOT(OR($N630="SF Detached",$N630="Mfd Home",$N630="Duplex",$N630="Townhome"))),$E630,"")</f>
        <v/>
      </c>
      <c r="EY630" s="2945" t="str">
        <f t="shared" ref="EY630:EY667" si="136">IF(AND($C630=3, NOT(OR($N630="SF Detached",$N630="Mfd Home",$N630="Duplex",$N630="Townhome"))),$E630,"")</f>
        <v/>
      </c>
      <c r="EZ630" s="2945" t="str">
        <f t="shared" ref="EZ630:EZ667" si="137">IF(AND($C630=4, NOT(OR($N630="SF Detached",$N630="Mfd Home",$N630="Duplex",$N630="Townhome"))),$E630,"")</f>
        <v/>
      </c>
      <c r="FA630" s="2945" t="str">
        <f t="shared" ref="FA630:FA667" si="138">IF(AND($C630="Efficiency", $N630="SF Detached",NOT($P630="Yes")),$E630,"")</f>
        <v/>
      </c>
      <c r="FB630" s="2945" t="str">
        <f t="shared" ref="FB630:FB667" si="139">IF(AND($C630=1, $N630="SF Detached",NOT($P630="Yes")),$E630,"")</f>
        <v/>
      </c>
      <c r="FC630" s="2945" t="str">
        <f t="shared" ref="FC630:FC667" si="140">IF(AND($C630=2, $N630="SF Detached",NOT($P630="Yes")),$E630,"")</f>
        <v/>
      </c>
      <c r="FD630" s="2945" t="str">
        <f t="shared" ref="FD630:FD667" si="141">IF(AND($C630=3, $N630="SF Detached",NOT($P630="Yes")),$E630,"")</f>
        <v/>
      </c>
      <c r="FE630" s="2945" t="str">
        <f t="shared" ref="FE630:FE667" si="142">IF(AND($C630=4, $N630="SF Detached",NOT($P630="Yes")),$E630,"")</f>
        <v/>
      </c>
      <c r="FF630" s="2945" t="str">
        <f t="shared" ref="FF630:FF667" si="143">IF(AND($C630="Efficiency", $N630="SF Detached",$P630="Yes"),$E630,"")</f>
        <v/>
      </c>
      <c r="FG630" s="2945" t="str">
        <f t="shared" ref="FG630:FG667" si="144">IF(AND($C630=1, $N630="SF Detached",$P630="Yes"),$E630,"")</f>
        <v/>
      </c>
      <c r="FH630" s="2945" t="str">
        <f t="shared" ref="FH630:FH667" si="145">IF(AND($C630=2, $N630="SF Detached",$P630="Yes"),$E630,"")</f>
        <v/>
      </c>
      <c r="FI630" s="2945" t="str">
        <f t="shared" ref="FI630:FI667" si="146">IF(AND($C630=3, $N630="SF Detached",$P630="Yes"),$E630,"")</f>
        <v/>
      </c>
      <c r="FJ630" s="2945" t="str">
        <f t="shared" ref="FJ630:FJ667" si="147">IF(AND($C630=4, $N630="SF Detached",$P630="Yes"),$E630,"")</f>
        <v/>
      </c>
      <c r="FK630" s="2945" t="str">
        <f t="shared" ref="FK630:FK667" si="148">IF(AND($C630="Efficiency", $N630="Mfd Home",NOT($P630="Yes")),$E630,"")</f>
        <v/>
      </c>
      <c r="FL630" s="2945" t="str">
        <f t="shared" ref="FL630:FL667" si="149">IF(AND($C630=1, $N630="Mfd Home",NOT($P630="Yes")),$E630,"")</f>
        <v/>
      </c>
      <c r="FM630" s="2945" t="str">
        <f t="shared" ref="FM630:FM667" si="150">IF(AND($C630=2, $N630="Mfd Home",NOT($P630="Yes")),$E630,"")</f>
        <v/>
      </c>
      <c r="FN630" s="2945" t="str">
        <f t="shared" ref="FN630:FN667" si="151">IF(AND($C630=3, $N630="Mfd Home",NOT($P630="Yes")),$E630,"")</f>
        <v/>
      </c>
      <c r="FO630" s="2945" t="str">
        <f t="shared" ref="FO630:FO667" si="152">IF(AND($C630=4, $N630="Mfd Home",NOT($P630="Yes")),$E630,"")</f>
        <v/>
      </c>
      <c r="FP630" s="2945" t="str">
        <f t="shared" ref="FP630:FP667" si="153">IF(AND($C630="Efficiency", $N630="Mfd Home",$P630="Yes"),$E630,"")</f>
        <v/>
      </c>
      <c r="FQ630" s="2945" t="str">
        <f t="shared" ref="FQ630:FQ667" si="154">IF(AND($C630=1, $N630="Mfd Home",$P630="Yes"),$E630,"")</f>
        <v/>
      </c>
      <c r="FR630" s="2945" t="str">
        <f t="shared" ref="FR630:FR667" si="155">IF(AND($C630=2, $N630="Mfd Home",$P630="Yes"),$E630,"")</f>
        <v/>
      </c>
      <c r="FS630" s="2945" t="str">
        <f t="shared" ref="FS630:FS667" si="156">IF(AND($C630=3, $N630="Mfd Home",$P630="Yes"),$E630,"")</f>
        <v/>
      </c>
      <c r="FT630" s="2945" t="str">
        <f t="shared" ref="FT630:FT667" si="157">IF(AND($C630=4, $N630="Mfd Home",$P630="Yes"),$E630,"")</f>
        <v/>
      </c>
      <c r="FU630" s="2945" t="str">
        <f t="shared" ref="FU630:FU667" si="158">IF(AND($C630="Efficiency", $N630="Duplex",NOT($P630="Yes")),$E630,"")</f>
        <v/>
      </c>
      <c r="FV630" s="2945" t="str">
        <f t="shared" ref="FV630:FV667" si="159">IF(AND($C630=1, $N630="Duplex",NOT($P630="Yes")),$E630,"")</f>
        <v/>
      </c>
      <c r="FW630" s="2945" t="str">
        <f t="shared" ref="FW630:FW667" si="160">IF(AND($C630=2, $N630="Duplex",NOT($P630="Yes")),$E630,"")</f>
        <v/>
      </c>
      <c r="FX630" s="2945" t="str">
        <f t="shared" ref="FX630:FX667" si="161">IF(AND($C630=3, $N630="Duplex",NOT($P630="Yes")),$E630,"")</f>
        <v/>
      </c>
      <c r="FY630" s="2945" t="str">
        <f t="shared" ref="FY630:FY667" si="162">IF(AND($C630=4, $N630="Duplex",NOT($P630="Yes")),$E630,"")</f>
        <v/>
      </c>
      <c r="FZ630" s="2945" t="str">
        <f t="shared" ref="FZ630:FZ667" si="163">IF(AND($C630="Efficiency", $N630="Duplex",$P630="Yes"),$E630,"")</f>
        <v/>
      </c>
      <c r="GA630" s="2945" t="str">
        <f t="shared" ref="GA630:GA667" si="164">IF(AND($C630=1, $N630="Duplex",$P630="Yes"),$E630,"")</f>
        <v/>
      </c>
      <c r="GB630" s="2945" t="str">
        <f t="shared" ref="GB630:GB667" si="165">IF(AND($C630=2, $N630="Duplex",$P630="Yes"),$E630,"")</f>
        <v/>
      </c>
      <c r="GC630" s="2945" t="str">
        <f t="shared" ref="GC630:GC667" si="166">IF(AND($C630=3, $N630="Duplex",$P630="Yes"),$E630,"")</f>
        <v/>
      </c>
      <c r="GD630" s="2945" t="str">
        <f t="shared" ref="GD630:GD667" si="167">IF(AND($C630=4, $N630="Duplex",$P630="Yes"),$E630,"")</f>
        <v/>
      </c>
      <c r="GE630" s="2945" t="str">
        <f t="shared" ref="GE630:GE667" si="168">IF(AND($C630="Efficiency", $N630="Townhome",NOT($P630="Yes")),$E630,"")</f>
        <v/>
      </c>
      <c r="GF630" s="2945" t="str">
        <f t="shared" ref="GF630:GF667" si="169">IF(AND($C630=1, $N630="Townhome",NOT($P630="Yes")),$E630,"")</f>
        <v/>
      </c>
      <c r="GG630" s="2945" t="str">
        <f t="shared" ref="GG630:GG667" si="170">IF(AND($C630=2, $N630="Townhome",NOT($P630="Yes")),$E630,"")</f>
        <v/>
      </c>
      <c r="GH630" s="2945" t="str">
        <f t="shared" ref="GH630:GH667" si="171">IF(AND($C630=3, $N630="Townhome",NOT($P630="Yes")),$E630,"")</f>
        <v/>
      </c>
      <c r="GI630" s="2945" t="str">
        <f t="shared" ref="GI630:GI667" si="172">IF(AND($C630=4, $N630="Townhome",NOT($P630="Yes")),$E630,"")</f>
        <v/>
      </c>
      <c r="GJ630" s="2945" t="str">
        <f t="shared" ref="GJ630:GJ667" si="173">IF(AND($C630="Efficiency", $N630="Townhome",$P630="Yes"),$E630,"")</f>
        <v/>
      </c>
      <c r="GK630" s="2945" t="str">
        <f t="shared" ref="GK630:GK667" si="174">IF(AND($C630=1, $N630="Townhome",$P630="Yes"),$E630,"")</f>
        <v/>
      </c>
      <c r="GL630" s="2945" t="str">
        <f t="shared" ref="GL630:GL667" si="175">IF(AND($C630=2, $N630="Townhome",$P630="Yes"),$E630,"")</f>
        <v/>
      </c>
      <c r="GM630" s="2945" t="str">
        <f t="shared" ref="GM630:GM667" si="176">IF(AND($C630=3, $N630="Townhome",$P630="Yes"),$E630,"")</f>
        <v/>
      </c>
      <c r="GN630" s="2945" t="str">
        <f t="shared" ref="GN630:GN667" si="177">IF(AND($C630=4, $N630="Townhome",$P630="Yes"),$E630,"")</f>
        <v/>
      </c>
      <c r="GO630" s="2945" t="str">
        <f t="shared" ref="GO630:GO667" si="178">IF(AND($C630="Efficiency", $N630="1-Story",NOT($P630="Yes")),$E630,"")</f>
        <v/>
      </c>
      <c r="GP630" s="2945">
        <f t="shared" ref="GP630:GP667" si="179">IF(AND($C630=1, $N630="1-Story",NOT($P630="Yes")),$E630,"")</f>
        <v>1</v>
      </c>
      <c r="GQ630" s="2945" t="str">
        <f t="shared" ref="GQ630:GQ667" si="180">IF(AND($C630=2, $N630="1-Story",NOT($P630="Yes")),$E630,"")</f>
        <v/>
      </c>
      <c r="GR630" s="2945" t="str">
        <f t="shared" ref="GR630:GR667" si="181">IF(AND($C630=3, $N630="1-Story",NOT($P630="Yes")),$E630,"")</f>
        <v/>
      </c>
      <c r="GS630" s="2945" t="str">
        <f t="shared" ref="GS630:GS667" si="182">IF(AND($C630=4, $N630="1-Story",NOT($P630="Yes")),$E630,"")</f>
        <v/>
      </c>
      <c r="GT630" s="2945" t="str">
        <f t="shared" ref="GT630:GT667" si="183">IF(AND($C630="Efficiency", $N630="1-Story",$P630="Yes"),$E630,"")</f>
        <v/>
      </c>
      <c r="GU630" s="2945" t="str">
        <f t="shared" ref="GU630:GU667" si="184">IF(AND($C630=1, $N630="1-Story",$P630="Yes"),$E630,"")</f>
        <v/>
      </c>
      <c r="GV630" s="2945" t="str">
        <f t="shared" ref="GV630:GV667" si="185">IF(AND($C630=2, $N630="1-Story",$P630="Yes"),$E630,"")</f>
        <v/>
      </c>
      <c r="GW630" s="2945" t="str">
        <f t="shared" ref="GW630:GW667" si="186">IF(AND($C630=3, $N630="1-Story",$P630="Yes"),$E630,"")</f>
        <v/>
      </c>
      <c r="GX630" s="2945" t="str">
        <f t="shared" ref="GX630:GX667" si="187">IF(AND($C630=4, $N630="1-Story",$P630="Yes"),$E630,"")</f>
        <v/>
      </c>
      <c r="GY630" s="2945" t="str">
        <f t="shared" ref="GY630:GY667" si="188">IF(AND($C630="Efficiency", $N630="2-Story",NOT($P630="Yes")),$E630,"")</f>
        <v/>
      </c>
      <c r="GZ630" s="2945" t="str">
        <f t="shared" ref="GZ630:GZ667" si="189">IF(AND($C630=1, $N630="2-Story",NOT($P630="Yes")),$E630,"")</f>
        <v/>
      </c>
      <c r="HA630" s="2945" t="str">
        <f t="shared" ref="HA630:HA667" si="190">IF(AND($C630=2, $N630="2-Story",NOT($P630="Yes")),$E630,"")</f>
        <v/>
      </c>
      <c r="HB630" s="2945" t="str">
        <f t="shared" ref="HB630:HB667" si="191">IF(AND($C630=3, $N630="2-Story",NOT($P630="Yes")),$E630,"")</f>
        <v/>
      </c>
      <c r="HC630" s="2945" t="str">
        <f t="shared" ref="HC630:HC667" si="192">IF(AND($C630=4, $N630="2-Story",NOT($P630="Yes")),$E630,"")</f>
        <v/>
      </c>
      <c r="HD630" s="2945" t="str">
        <f t="shared" ref="HD630:HD667" si="193">IF(AND($C630="Efficiency", $N630="2-Story",$P630="Yes"),$E630,"")</f>
        <v/>
      </c>
      <c r="HE630" s="2945" t="str">
        <f t="shared" ref="HE630:HE667" si="194">IF(AND($C630=1, $N630="2-Story",$P630="Yes"),$E630,"")</f>
        <v/>
      </c>
      <c r="HF630" s="2945" t="str">
        <f t="shared" ref="HF630:HF667" si="195">IF(AND($C630=2, $N630="2-Story",$P630="Yes"),$E630,"")</f>
        <v/>
      </c>
      <c r="HG630" s="2945" t="str">
        <f t="shared" ref="HG630:HG667" si="196">IF(AND($C630=3, $N630="2-Story",$P630="Yes"),$E630,"")</f>
        <v/>
      </c>
      <c r="HH630" s="2945" t="str">
        <f t="shared" ref="HH630:HH667" si="197">IF(AND($C630=4, $N630="2-Story",$P630="Yes"),$E630,"")</f>
        <v/>
      </c>
      <c r="HI630" s="2945" t="str">
        <f t="shared" ref="HI630:HI667" si="198">IF(AND($C630="Efficiency", $N630="2-Story Walkup",NOT($P630="Yes")),$E630,"")</f>
        <v/>
      </c>
      <c r="HJ630" s="2945" t="str">
        <f t="shared" ref="HJ630:HJ667" si="199">IF(AND($C630=1, $N630="2-Story Walkup",NOT($P630="Yes")),$E630,"")</f>
        <v/>
      </c>
      <c r="HK630" s="2945" t="str">
        <f t="shared" ref="HK630:HK667" si="200">IF(AND($C630=2, $N630="2-Story Walkup",NOT($P630="Yes")),$E630,"")</f>
        <v/>
      </c>
      <c r="HL630" s="2945" t="str">
        <f t="shared" ref="HL630:HL667" si="201">IF(AND($C630=3, $N630="2-Story Walkup",NOT($P630="Yes")),$E630,"")</f>
        <v/>
      </c>
      <c r="HM630" s="2945" t="str">
        <f t="shared" ref="HM630:HM667" si="202">IF(AND($C630=4, $N630="2-Story Walkup",NOT($P630="Yes")),$E630,"")</f>
        <v/>
      </c>
      <c r="HN630" s="2945" t="str">
        <f t="shared" ref="HN630:HN667" si="203">IF(AND($C630="Efficiency", $N630="2-Story Walkup",$P630="Yes"),$E630,"")</f>
        <v/>
      </c>
      <c r="HO630" s="2945" t="str">
        <f t="shared" ref="HO630:HO667" si="204">IF(AND($C630=1, $N630="2-Story Walkup",$P630="Yes"),$E630,"")</f>
        <v/>
      </c>
      <c r="HP630" s="2945" t="str">
        <f t="shared" ref="HP630:HP667" si="205">IF(AND($C630=2, $N630="2-Story Walkup",$P630="Yes"),$E630,"")</f>
        <v/>
      </c>
      <c r="HQ630" s="2945" t="str">
        <f t="shared" ref="HQ630:HQ667" si="206">IF(AND($C630=3, $N630="2-Story Walkup",$P630="Yes"),$E630,"")</f>
        <v/>
      </c>
      <c r="HR630" s="2945" t="str">
        <f t="shared" ref="HR630:HR667" si="207">IF(AND($C630=4, $N630="2-Story Walkup",$P630="Yes"),$E630,"")</f>
        <v/>
      </c>
      <c r="HS630" s="2945" t="str">
        <f t="shared" ref="HS630:HS667" si="208">IF(AND($C630="Efficiency", $N630="3+ Story",NOT($P630="Yes")),$E630,"")</f>
        <v/>
      </c>
      <c r="HT630" s="2945" t="str">
        <f t="shared" ref="HT630:HT667" si="209">IF(AND($C630=1, $N630="3+ Story",NOT($P630="Yes")),$E630,"")</f>
        <v/>
      </c>
      <c r="HU630" s="2945" t="str">
        <f t="shared" ref="HU630:HU667" si="210">IF(AND($C630=2, $N630="3+ Story",NOT($P630="Yes")),$E630,"")</f>
        <v/>
      </c>
      <c r="HV630" s="2945" t="str">
        <f t="shared" ref="HV630:HV667" si="211">IF(AND($C630=3, $N630="3+ Story",NOT($P630="Yes")),$E630,"")</f>
        <v/>
      </c>
      <c r="HW630" s="2945" t="str">
        <f t="shared" ref="HW630:HW667" si="212">IF(AND($C630=4, $N630="3+ Story",NOT($P630="Yes")),$E630,"")</f>
        <v/>
      </c>
      <c r="HX630" s="2945" t="str">
        <f t="shared" ref="HX630:HX667" si="213">IF(AND($C630="Efficiency", $N630="3+ Story",$P630="Yes"),$E630,"")</f>
        <v/>
      </c>
      <c r="HY630" s="2945" t="str">
        <f t="shared" ref="HY630:HY667" si="214">IF(AND($C630=1, $N630="3+ Story",$P630="Yes"),$E630,"")</f>
        <v/>
      </c>
      <c r="HZ630" s="2945" t="str">
        <f t="shared" ref="HZ630:HZ667" si="215">IF(AND($C630=2, $N630="3+ Story",$P630="Yes"),$E630,"")</f>
        <v/>
      </c>
      <c r="IA630" s="2945" t="str">
        <f t="shared" ref="IA630:IA667" si="216">IF(AND($C630=3, $N630="3+ Story",$P630="Yes"),$E630,"")</f>
        <v/>
      </c>
      <c r="IB630" s="2945" t="str">
        <f t="shared" ref="IB630:IB667" si="217">IF(AND($C630=4, $N630="3+ Story",$P630="Yes"),$E630,"")</f>
        <v/>
      </c>
      <c r="IC630" s="2911" t="str">
        <f t="shared" ref="IC630:IC667" si="218">IF(AND($B630="NSP 120% AMI",$C630="Efficiency", NOT($M630="Common")),$E630,"")</f>
        <v/>
      </c>
      <c r="ID630" s="2911" t="str">
        <f t="shared" ref="ID630:ID667" si="219">IF(AND($B630="NSP 120% AMI",$C630=1,NOT($M630="Common")),$E630,"")</f>
        <v/>
      </c>
      <c r="IE630" s="2911" t="str">
        <f t="shared" ref="IE630:IE667" si="220">IF(AND($B630="NSP 120% AMI",$C630=2,NOT($M630="Common")),$E630,"")</f>
        <v/>
      </c>
      <c r="IF630" s="2911" t="str">
        <f t="shared" ref="IF630:IF667" si="221">IF(AND($B630="NSP 120% AMI",$C630=3,NOT($M630="Common")),$E630,"")</f>
        <v/>
      </c>
      <c r="IG630" s="2911" t="str">
        <f t="shared" ref="IG630:IG667" si="222">IF(AND($B630="NSP 120% AMI",$C630=4,NOT($M630="Common")),$E630,"")</f>
        <v/>
      </c>
      <c r="IH630" s="926" t="str">
        <f t="shared" ref="IH630:IH667" si="223">IF(AND(C630="Efficiency",B630="NSP 120% AMI",NOT(M630="Common")),E630*F630,"")</f>
        <v/>
      </c>
      <c r="II630" s="926" t="str">
        <f t="shared" ref="II630:II667" si="224">IF(AND(C630=1,B630="NSP 120% AMI",NOT(M630="Common")),E630*F630,"")</f>
        <v/>
      </c>
      <c r="IJ630" s="926" t="str">
        <f t="shared" ref="IJ630:IJ667" si="225">IF(AND(C630=2,B630="NSP 120% AMI",NOT(M630="Common")),E630*F630,"")</f>
        <v/>
      </c>
      <c r="IK630" s="926" t="str">
        <f t="shared" ref="IK630:IK667" si="226">IF(AND(C630=3,B630="NSP 120% AMI",NOT(M630="Common")),E630*F630,"")</f>
        <v/>
      </c>
      <c r="IL630" s="926" t="str">
        <f t="shared" ref="IL630:IL667" si="227">IF(AND(C630=4,B630="NSP 120% AMI",NOT(M630="Common")),E630*F630,"")</f>
        <v/>
      </c>
      <c r="IM630" s="926" t="str">
        <f t="shared" ref="IM630:IM667" si="228">IF(AND($C630="Efficiency", $O630="New Construction",$B630="NSP 120% AMI",NOT($M630="Common")),$E630,"")</f>
        <v/>
      </c>
      <c r="IN630" s="926" t="str">
        <f t="shared" ref="IN630:IN667" si="229">IF(AND($C630=1, $O630="New Construction",$B630="NSP 120% AMI",NOT($M630="Common")),$E630,"")</f>
        <v/>
      </c>
      <c r="IO630" s="926" t="str">
        <f t="shared" ref="IO630:IO667" si="230">IF(AND($C630=2, $O630="New Construction",$B630="NSP 120% AMI",NOT($M630="Common")),$E630,"")</f>
        <v/>
      </c>
      <c r="IP630" s="926" t="str">
        <f t="shared" ref="IP630:IP667" si="231">IF(AND($C630=3, $O630="New Construction",$B630="NSP 120% AMI",NOT($M630="Common")),$E630,"")</f>
        <v/>
      </c>
      <c r="IQ630" s="926" t="str">
        <f t="shared" ref="IQ630:IQ667" si="232">IF(AND($C630=4, $O630="New Construction",$B630="NSP 120% AMI",NOT($M630="Common")),$E630,"")</f>
        <v/>
      </c>
      <c r="IR630" s="926" t="str">
        <f t="shared" ref="IR630:IR667" si="233">IF(AND($C630="Efficiency", $O630="Acquisition/Rehab",$B630="NSP 120% AMI",NOT($M630="Common")),$E630,"")</f>
        <v/>
      </c>
      <c r="IS630" s="926" t="str">
        <f t="shared" ref="IS630:IS667" si="234">IF(AND($C630=1, $O630="Acquisition/Rehab",$B630="NSP 120% AMI",NOT($M630="Common")),$E630,"")</f>
        <v/>
      </c>
      <c r="IT630" s="926" t="str">
        <f t="shared" ref="IT630:IT667" si="235">IF(AND($C630=2, $O630="Acquisition/Rehab",$B630="NSP 120% AMI",NOT($M630="Common")),$E630,"")</f>
        <v/>
      </c>
      <c r="IU630" s="926" t="str">
        <f t="shared" ref="IU630:IU667" si="236">IF(AND($C630=3, $O630="Acquisition/Rehab",$B630="NSP 120% AMI",NOT($M630="Common")),$E630,"")</f>
        <v/>
      </c>
      <c r="IV630" s="926" t="str">
        <f t="shared" ref="IV630:IV667" si="237">IF(AND($C630=4, $O630="Acquisition/Rehab",$B630="NSP 120% AMI",NOT($M630="Common")),$E630,"")</f>
        <v/>
      </c>
      <c r="IW630" s="926" t="str">
        <f t="shared" ref="IW630:IW667" si="238">IF(AND($C630="Efficiency", $O630="Rehabilitation",$B630="NSP 120% AMI",NOT($M630="Common")),$E630,"")</f>
        <v/>
      </c>
      <c r="IX630" s="926" t="str">
        <f t="shared" ref="IX630:IX667" si="239">IF(AND($C630=1, $O630="Rehabilitation",$B630="NSP 120% AMI",NOT($M630="Common")),$E630,"")</f>
        <v/>
      </c>
      <c r="IY630" s="926" t="str">
        <f t="shared" ref="IY630:IY667" si="240">IF(AND($C630=2, $O630="Rehabilitation",$B630="NSP 120% AMI",NOT($M630="Common")),$E630,"")</f>
        <v/>
      </c>
      <c r="IZ630" s="926" t="str">
        <f t="shared" ref="IZ630:IZ667" si="241">IF(AND($C630=3, $O630="Rehabilitation",$B630="NSP 120% AMI",NOT($M630="Common")),$E630,"")</f>
        <v/>
      </c>
      <c r="JA630" s="926" t="str">
        <f t="shared" ref="JA630:JA667" si="242">IF(AND($C630=4, $O630="Rehabilitation",$B630="NSP 120% AMI",NOT($M630="Common")),$E630,"")</f>
        <v/>
      </c>
      <c r="JB630" s="2909">
        <f>IF(AND($C630="Efficiency",$E630&gt;0,OR($N630="1-Story",$N630="2-Story",$N630="3+ Story",$N630="2-Story Walkup",$N630="Townhome"),OR($O630="Acquisition/Rehab",$O630="Rehabilitation"),NOT($P630="Yes")),$E630,0)</f>
        <v>0</v>
      </c>
      <c r="JC630" s="2909">
        <f>IF(AND($C630=1,$E630&gt;0,OR($N630="1-Story",$N630="2-Story",$N630="3+ Story",$N630="2-Story Walkup",$N630="Townhome"),OR($O630="Acquisition/Rehab",$O630="Rehabilitation"),NOT($P630="Yes")),$E630,0)</f>
        <v>1</v>
      </c>
      <c r="JD630" s="2909">
        <f>IF(AND($C630=2,$E630&gt;0,OR($N630="1-Story",$N630="2-Story",$N630="3+ Story",$N630="2-Story Walkup",$N630="Townhome"),OR($O630="Acquisition/Rehab",$O630="Rehabilitation"),NOT($P630="Yes")),$E630,0)</f>
        <v>0</v>
      </c>
      <c r="JE630" s="2909">
        <f>IF(AND($C630=3,$E630&gt;0,OR($N630="1-Story",$N630="2-Story",$N630="3+ Story",$N630="2-Story Walkup",$N630="Townhome"),OR($O630="Acquisition/Rehab",$O630="Rehabilitation"),NOT($P630="Yes")),$E630,0)</f>
        <v>0</v>
      </c>
      <c r="JF630" s="2909">
        <f>IF(AND($C630=4,$E630&gt;0,OR($N630="1-Story",$N630="2-Story",$N630="3+ Story",$N630="2-Story Walkup",$N630="Townhome"),OR($O630="Acquisition/Rehab",$O630="Rehabilitation"),NOT($P630="Yes")),$E630,0)</f>
        <v>0</v>
      </c>
      <c r="JG630" s="2909">
        <f>IF(AND($C630="Efficiency",$E630&gt;0,OR($N630="1-Story",$N630="2-Story",$N630="3+ Story",$N630="2-Story Walkup",$N630="Townhome"),$O630="New Construction"),$E630,0)</f>
        <v>0</v>
      </c>
      <c r="JH630" s="2909">
        <f>IF(AND($C630=1,$E630&gt;0,OR($N630="1-Story",$N630="2-Story",$N630="3+ Story",$N630="2-Story Walkup",$N630="Townhome"),$O630="New Construction"),$E630,0)</f>
        <v>0</v>
      </c>
      <c r="JI630" s="2909">
        <f>IF(AND($C630=2,$E630&gt;0,OR($N630="1-Story",$N630="2-Story",$N630="3+ Story",$N630="2-Story Walkup",$N630="Townhome"),$O630="New Construction"),$E630,0)</f>
        <v>0</v>
      </c>
      <c r="JJ630" s="2909">
        <f>IF(AND($C630=3,$E630&gt;0,OR($N630="1-Story",$N630="2-Story",$N630="3+ Story",$N630="2-Story Walkup",$N630="Townhome"),$O630="New Construction"),$E630,0)</f>
        <v>0</v>
      </c>
      <c r="JK630" s="2909">
        <f>IF(AND($C630=4,$E630&gt;0,OR($N630="1-Story",$N630="2-Story",$N630="3+ Story",$N630="2-Story Walkup",$N630="Townhome"),$O630="New Construction"),$E630,0)</f>
        <v>0</v>
      </c>
      <c r="JL630" s="2909">
        <f>IF(AND($C630="Efficiency",$E630&gt;0,OR($N630="SF Detached",$N630="Duplex",$N630="Mfd Home"),NOT($P630="Yes")),$E630,0)</f>
        <v>0</v>
      </c>
      <c r="JM630" s="2909">
        <f>IF(AND($C630=1,$E630&gt;0,OR($N630="SF Detached",$N630="Duplex",$N630="Mfd Home"),NOT($P630="Yes")),$E630,0)</f>
        <v>0</v>
      </c>
      <c r="JN630" s="2909">
        <f>IF(AND($C630=2,$E630&gt;0,OR($N630="SF Detached",$N630="Duplex",$N630="Mfd Home"),NOT($P630="Yes")),$E630,0)</f>
        <v>0</v>
      </c>
      <c r="JO630" s="2909">
        <f>IF(AND($C630=3,$E630&gt;0,OR($N630="SF Detached",$N630="Duplex",$N630="Mfd Home"),NOT($P630="Yes")),$E630,0)</f>
        <v>0</v>
      </c>
      <c r="JP630" s="2909">
        <f>IF(AND($C630=4,$E630&gt;0,OR($N630="SF Detached",$N630="Duplex",$N630="Mfd Home"),NOT($P630="Yes")),$E630,0)</f>
        <v>0</v>
      </c>
    </row>
    <row r="631" spans="1:276" ht="12" customHeight="1">
      <c r="A631" s="2924" t="str">
        <f t="shared" si="0"/>
        <v/>
      </c>
      <c r="B631" s="2936" t="str">
        <f>'Part VI-Revenues &amp; Expenses'!B11</f>
        <v>50% AMI</v>
      </c>
      <c r="C631" s="2937">
        <f>'Part VI-Revenues &amp; Expenses'!C11</f>
        <v>2</v>
      </c>
      <c r="D631" s="2938">
        <f>'Part VI-Revenues &amp; Expenses'!D11</f>
        <v>2</v>
      </c>
      <c r="E631" s="2939">
        <f>'Part VI-Revenues &amp; Expenses'!E11</f>
        <v>6</v>
      </c>
      <c r="F631" s="2939">
        <f>'Part VI-Revenues &amp; Expenses'!F11</f>
        <v>837</v>
      </c>
      <c r="G631" s="2939">
        <f>'Part VI-Revenues &amp; Expenses'!G11</f>
        <v>548</v>
      </c>
      <c r="H631" s="2939">
        <f>'Part VI-Revenues &amp; Expenses'!H11</f>
        <v>529</v>
      </c>
      <c r="I631" s="2939">
        <f>'Part VI-Revenues &amp; Expenses'!I11</f>
        <v>129</v>
      </c>
      <c r="J631" s="2940" t="str">
        <f>'Part VI-Revenues &amp; Expenses'!J11</f>
        <v>USDA</v>
      </c>
      <c r="K631" s="2941">
        <f t="shared" si="1"/>
        <v>400</v>
      </c>
      <c r="L631" s="2941">
        <f t="shared" si="2"/>
        <v>2400</v>
      </c>
      <c r="M631" s="2918" t="str">
        <f>'Part VI-Revenues &amp; Expenses'!M11</f>
        <v>No</v>
      </c>
      <c r="N631" s="2918" t="str">
        <f>'Part VI-Revenues &amp; Expenses'!N11</f>
        <v>Townhome</v>
      </c>
      <c r="O631" s="2918" t="str">
        <f>'Part VI-Revenues &amp; Expenses'!O11</f>
        <v>Acquisition/Rehab</v>
      </c>
      <c r="P631" s="2918">
        <f>'Part VI-Revenues &amp; Expenses'!P11</f>
        <v>0</v>
      </c>
      <c r="Q631" s="2942">
        <f>IF(H631="","",P631/($O$626*VLOOKUP(C631,'DCA Underwriting Assumptions'!$J$118:$K$123,2,FALSE)))</f>
        <v>0</v>
      </c>
      <c r="R631" s="2943"/>
      <c r="S631" s="2942"/>
      <c r="T631" s="2944"/>
      <c r="U631" s="2944"/>
      <c r="V631" s="926" t="str">
        <f t="shared" si="3"/>
        <v/>
      </c>
      <c r="W631" s="926" t="str">
        <f t="shared" si="4"/>
        <v/>
      </c>
      <c r="X631" s="926" t="str">
        <f t="shared" si="5"/>
        <v/>
      </c>
      <c r="Y631" s="926" t="str">
        <f t="shared" si="6"/>
        <v/>
      </c>
      <c r="Z631" s="926" t="str">
        <f t="shared" si="7"/>
        <v/>
      </c>
      <c r="AA631" s="926" t="str">
        <f t="shared" si="8"/>
        <v/>
      </c>
      <c r="AB631" s="926" t="str">
        <f t="shared" si="9"/>
        <v/>
      </c>
      <c r="AC631" s="926">
        <f t="shared" si="10"/>
        <v>6</v>
      </c>
      <c r="AD631" s="926" t="str">
        <f t="shared" si="11"/>
        <v/>
      </c>
      <c r="AE631" s="926" t="str">
        <f t="shared" si="12"/>
        <v/>
      </c>
      <c r="AF631" s="926" t="str">
        <f t="shared" si="13"/>
        <v/>
      </c>
      <c r="AG631" s="926" t="str">
        <f t="shared" si="14"/>
        <v/>
      </c>
      <c r="AH631" s="926" t="str">
        <f t="shared" si="15"/>
        <v/>
      </c>
      <c r="AI631" s="926" t="str">
        <f t="shared" si="16"/>
        <v/>
      </c>
      <c r="AJ631" s="926" t="str">
        <f t="shared" si="17"/>
        <v/>
      </c>
      <c r="AK631" s="926" t="str">
        <f t="shared" si="18"/>
        <v/>
      </c>
      <c r="AL631" s="926" t="str">
        <f t="shared" si="19"/>
        <v/>
      </c>
      <c r="AM631" s="926" t="str">
        <f t="shared" si="20"/>
        <v/>
      </c>
      <c r="AN631" s="926" t="str">
        <f t="shared" si="21"/>
        <v/>
      </c>
      <c r="AO631" s="926" t="str">
        <f t="shared" si="22"/>
        <v/>
      </c>
      <c r="AP631" s="926" t="str">
        <f t="shared" si="23"/>
        <v/>
      </c>
      <c r="AQ631" s="926" t="str">
        <f t="shared" si="24"/>
        <v/>
      </c>
      <c r="AR631" s="926" t="str">
        <f t="shared" si="25"/>
        <v/>
      </c>
      <c r="AS631" s="926" t="str">
        <f t="shared" si="26"/>
        <v/>
      </c>
      <c r="AT631" s="926" t="str">
        <f t="shared" si="27"/>
        <v/>
      </c>
      <c r="AU631" s="926" t="str">
        <f t="shared" si="28"/>
        <v/>
      </c>
      <c r="AV631" s="926" t="str">
        <f t="shared" si="29"/>
        <v/>
      </c>
      <c r="AW631" s="926">
        <f t="shared" si="30"/>
        <v>6</v>
      </c>
      <c r="AX631" s="926" t="str">
        <f t="shared" si="31"/>
        <v/>
      </c>
      <c r="AY631" s="926" t="str">
        <f t="shared" si="32"/>
        <v/>
      </c>
      <c r="AZ631" s="926" t="str">
        <f t="shared" si="33"/>
        <v/>
      </c>
      <c r="BA631" s="926" t="str">
        <f t="shared" si="34"/>
        <v/>
      </c>
      <c r="BB631" s="926" t="str">
        <f t="shared" si="35"/>
        <v/>
      </c>
      <c r="BC631" s="926" t="str">
        <f t="shared" si="36"/>
        <v/>
      </c>
      <c r="BD631" s="926" t="str">
        <f t="shared" si="37"/>
        <v/>
      </c>
      <c r="BE631" s="926" t="str">
        <f t="shared" si="38"/>
        <v/>
      </c>
      <c r="BF631" s="926" t="str">
        <f t="shared" si="39"/>
        <v/>
      </c>
      <c r="BG631" s="926" t="str">
        <f t="shared" si="40"/>
        <v/>
      </c>
      <c r="BH631" s="926" t="str">
        <f t="shared" si="41"/>
        <v/>
      </c>
      <c r="BI631" s="926" t="str">
        <f t="shared" si="42"/>
        <v/>
      </c>
      <c r="BJ631" s="926" t="str">
        <f t="shared" si="43"/>
        <v/>
      </c>
      <c r="BK631" s="926" t="str">
        <f t="shared" si="44"/>
        <v/>
      </c>
      <c r="BL631" s="926" t="str">
        <f t="shared" si="45"/>
        <v/>
      </c>
      <c r="BM631" s="926" t="str">
        <f t="shared" si="46"/>
        <v/>
      </c>
      <c r="BN631" s="926" t="str">
        <f t="shared" si="47"/>
        <v/>
      </c>
      <c r="BO631" s="926" t="str">
        <f t="shared" si="48"/>
        <v/>
      </c>
      <c r="BP631" s="926" t="str">
        <f t="shared" si="49"/>
        <v/>
      </c>
      <c r="BQ631" s="926" t="str">
        <f t="shared" si="50"/>
        <v/>
      </c>
      <c r="BR631" s="926" t="str">
        <f t="shared" si="51"/>
        <v/>
      </c>
      <c r="BS631" s="926" t="str">
        <f t="shared" si="52"/>
        <v/>
      </c>
      <c r="BT631" s="926" t="str">
        <f t="shared" si="53"/>
        <v/>
      </c>
      <c r="BU631" s="926" t="str">
        <f t="shared" si="54"/>
        <v/>
      </c>
      <c r="BV631" s="926" t="str">
        <f t="shared" si="55"/>
        <v/>
      </c>
      <c r="BW631" s="926" t="str">
        <f t="shared" si="56"/>
        <v/>
      </c>
      <c r="BX631" s="926" t="str">
        <f t="shared" si="57"/>
        <v/>
      </c>
      <c r="BY631" s="926" t="str">
        <f t="shared" si="58"/>
        <v/>
      </c>
      <c r="BZ631" s="926" t="str">
        <f t="shared" si="59"/>
        <v/>
      </c>
      <c r="CA631" s="926" t="str">
        <f t="shared" si="60"/>
        <v/>
      </c>
      <c r="CB631" s="926" t="str">
        <f t="shared" si="61"/>
        <v/>
      </c>
      <c r="CC631" s="926" t="str">
        <f t="shared" si="62"/>
        <v/>
      </c>
      <c r="CD631" s="926" t="str">
        <f t="shared" si="63"/>
        <v/>
      </c>
      <c r="CE631" s="926" t="str">
        <f t="shared" si="64"/>
        <v/>
      </c>
      <c r="CF631" s="926">
        <f t="shared" si="65"/>
        <v>5022</v>
      </c>
      <c r="CG631" s="926" t="str">
        <f t="shared" si="66"/>
        <v/>
      </c>
      <c r="CH631" s="926" t="str">
        <f t="shared" si="67"/>
        <v/>
      </c>
      <c r="CI631" s="926" t="str">
        <f t="shared" si="68"/>
        <v/>
      </c>
      <c r="CJ631" s="926" t="str">
        <f t="shared" si="69"/>
        <v/>
      </c>
      <c r="CK631" s="926" t="str">
        <f t="shared" si="70"/>
        <v/>
      </c>
      <c r="CL631" s="926" t="str">
        <f t="shared" si="71"/>
        <v/>
      </c>
      <c r="CM631" s="926" t="str">
        <f t="shared" si="72"/>
        <v/>
      </c>
      <c r="CN631" s="926" t="str">
        <f t="shared" si="73"/>
        <v/>
      </c>
      <c r="CO631" s="926" t="str">
        <f t="shared" si="74"/>
        <v/>
      </c>
      <c r="CP631" s="926" t="str">
        <f t="shared" si="75"/>
        <v/>
      </c>
      <c r="CQ631" s="926" t="str">
        <f t="shared" si="76"/>
        <v/>
      </c>
      <c r="CR631" s="926" t="str">
        <f t="shared" si="77"/>
        <v/>
      </c>
      <c r="CS631" s="926" t="str">
        <f t="shared" si="78"/>
        <v/>
      </c>
      <c r="CT631" s="926" t="str">
        <f t="shared" si="79"/>
        <v/>
      </c>
      <c r="CU631" s="926">
        <f t="shared" si="80"/>
        <v>5022</v>
      </c>
      <c r="CV631" s="926" t="str">
        <f t="shared" si="81"/>
        <v/>
      </c>
      <c r="CW631" s="926" t="str">
        <f t="shared" si="82"/>
        <v/>
      </c>
      <c r="CX631" s="926" t="str">
        <f t="shared" si="83"/>
        <v/>
      </c>
      <c r="CY631" s="926" t="str">
        <f t="shared" si="84"/>
        <v/>
      </c>
      <c r="CZ631" s="926" t="str">
        <f t="shared" si="85"/>
        <v/>
      </c>
      <c r="DA631" s="926" t="str">
        <f t="shared" si="86"/>
        <v/>
      </c>
      <c r="DB631" s="926" t="str">
        <f t="shared" si="87"/>
        <v/>
      </c>
      <c r="DC631" s="926" t="str">
        <f t="shared" si="88"/>
        <v/>
      </c>
      <c r="DD631" s="926" t="str">
        <f t="shared" si="89"/>
        <v/>
      </c>
      <c r="DE631" s="926" t="str">
        <f t="shared" si="90"/>
        <v/>
      </c>
      <c r="DF631" s="926" t="str">
        <f t="shared" si="91"/>
        <v/>
      </c>
      <c r="DG631" s="926" t="str">
        <f t="shared" si="92"/>
        <v/>
      </c>
      <c r="DH631" s="926" t="str">
        <f t="shared" si="93"/>
        <v/>
      </c>
      <c r="DI631" s="926" t="str">
        <f t="shared" si="94"/>
        <v/>
      </c>
      <c r="DJ631" s="926" t="str">
        <f t="shared" si="95"/>
        <v/>
      </c>
      <c r="DK631" s="926" t="str">
        <f t="shared" si="96"/>
        <v/>
      </c>
      <c r="DL631" s="926" t="str">
        <f t="shared" si="97"/>
        <v/>
      </c>
      <c r="DM631" s="926" t="str">
        <f t="shared" si="98"/>
        <v/>
      </c>
      <c r="DN631" s="926" t="str">
        <f t="shared" si="99"/>
        <v/>
      </c>
      <c r="DO631" s="926" t="str">
        <f t="shared" si="100"/>
        <v/>
      </c>
      <c r="DP631" s="926" t="str">
        <f t="shared" si="101"/>
        <v/>
      </c>
      <c r="DQ631" s="926" t="str">
        <f t="shared" si="102"/>
        <v/>
      </c>
      <c r="DR631" s="926" t="str">
        <f t="shared" si="103"/>
        <v/>
      </c>
      <c r="DS631" s="926" t="str">
        <f t="shared" si="104"/>
        <v/>
      </c>
      <c r="DT631" s="926">
        <f t="shared" si="105"/>
        <v>6</v>
      </c>
      <c r="DU631" s="926" t="str">
        <f t="shared" si="106"/>
        <v/>
      </c>
      <c r="DV631" s="926" t="str">
        <f t="shared" si="107"/>
        <v/>
      </c>
      <c r="DW631" s="926" t="str">
        <f t="shared" si="108"/>
        <v/>
      </c>
      <c r="DX631" s="926" t="str">
        <f t="shared" si="109"/>
        <v/>
      </c>
      <c r="DY631" s="926" t="str">
        <f t="shared" si="110"/>
        <v/>
      </c>
      <c r="DZ631" s="926" t="str">
        <f t="shared" si="111"/>
        <v/>
      </c>
      <c r="EA631" s="926" t="str">
        <f t="shared" si="112"/>
        <v/>
      </c>
      <c r="EB631" s="926" t="str">
        <f t="shared" si="113"/>
        <v/>
      </c>
      <c r="EC631" s="926" t="str">
        <f t="shared" si="114"/>
        <v/>
      </c>
      <c r="ED631" s="926" t="str">
        <f t="shared" si="115"/>
        <v/>
      </c>
      <c r="EE631" s="926" t="str">
        <f t="shared" si="116"/>
        <v/>
      </c>
      <c r="EF631" s="926" t="str">
        <f t="shared" si="117"/>
        <v/>
      </c>
      <c r="EG631" s="926" t="str">
        <f t="shared" si="118"/>
        <v/>
      </c>
      <c r="EH631" s="926" t="str">
        <f t="shared" si="119"/>
        <v/>
      </c>
      <c r="EI631" s="926" t="str">
        <f t="shared" si="120"/>
        <v/>
      </c>
      <c r="EJ631" s="926" t="str">
        <f t="shared" si="121"/>
        <v/>
      </c>
      <c r="EK631" s="926" t="str">
        <f t="shared" si="122"/>
        <v/>
      </c>
      <c r="EL631" s="926" t="str">
        <f t="shared" si="123"/>
        <v/>
      </c>
      <c r="EM631" s="926" t="str">
        <f t="shared" si="124"/>
        <v/>
      </c>
      <c r="EN631" s="926" t="str">
        <f t="shared" si="125"/>
        <v/>
      </c>
      <c r="EO631" s="926" t="str">
        <f t="shared" si="126"/>
        <v/>
      </c>
      <c r="EP631" s="926" t="str">
        <f t="shared" si="127"/>
        <v/>
      </c>
      <c r="EQ631" s="926" t="str">
        <f t="shared" si="128"/>
        <v/>
      </c>
      <c r="ER631" s="926" t="str">
        <f t="shared" si="129"/>
        <v/>
      </c>
      <c r="ES631" s="926" t="str">
        <f t="shared" si="130"/>
        <v/>
      </c>
      <c r="ET631" s="926" t="str">
        <f t="shared" si="131"/>
        <v/>
      </c>
      <c r="EU631" s="926" t="str">
        <f t="shared" si="132"/>
        <v/>
      </c>
      <c r="EV631" s="2945" t="str">
        <f t="shared" si="133"/>
        <v/>
      </c>
      <c r="EW631" s="2945" t="str">
        <f t="shared" si="134"/>
        <v/>
      </c>
      <c r="EX631" s="2945" t="str">
        <f t="shared" si="135"/>
        <v/>
      </c>
      <c r="EY631" s="2945" t="str">
        <f t="shared" si="136"/>
        <v/>
      </c>
      <c r="EZ631" s="2945" t="str">
        <f t="shared" si="137"/>
        <v/>
      </c>
      <c r="FA631" s="2945" t="str">
        <f t="shared" si="138"/>
        <v/>
      </c>
      <c r="FB631" s="2945" t="str">
        <f t="shared" si="139"/>
        <v/>
      </c>
      <c r="FC631" s="2945" t="str">
        <f t="shared" si="140"/>
        <v/>
      </c>
      <c r="FD631" s="2945" t="str">
        <f t="shared" si="141"/>
        <v/>
      </c>
      <c r="FE631" s="2945" t="str">
        <f t="shared" si="142"/>
        <v/>
      </c>
      <c r="FF631" s="2945" t="str">
        <f t="shared" si="143"/>
        <v/>
      </c>
      <c r="FG631" s="2945" t="str">
        <f t="shared" si="144"/>
        <v/>
      </c>
      <c r="FH631" s="2945" t="str">
        <f t="shared" si="145"/>
        <v/>
      </c>
      <c r="FI631" s="2945" t="str">
        <f t="shared" si="146"/>
        <v/>
      </c>
      <c r="FJ631" s="2945" t="str">
        <f t="shared" si="147"/>
        <v/>
      </c>
      <c r="FK631" s="2945" t="str">
        <f t="shared" si="148"/>
        <v/>
      </c>
      <c r="FL631" s="2945" t="str">
        <f t="shared" si="149"/>
        <v/>
      </c>
      <c r="FM631" s="2945" t="str">
        <f t="shared" si="150"/>
        <v/>
      </c>
      <c r="FN631" s="2945" t="str">
        <f t="shared" si="151"/>
        <v/>
      </c>
      <c r="FO631" s="2945" t="str">
        <f t="shared" si="152"/>
        <v/>
      </c>
      <c r="FP631" s="2945" t="str">
        <f t="shared" si="153"/>
        <v/>
      </c>
      <c r="FQ631" s="2945" t="str">
        <f t="shared" si="154"/>
        <v/>
      </c>
      <c r="FR631" s="2945" t="str">
        <f t="shared" si="155"/>
        <v/>
      </c>
      <c r="FS631" s="2945" t="str">
        <f t="shared" si="156"/>
        <v/>
      </c>
      <c r="FT631" s="2945" t="str">
        <f t="shared" si="157"/>
        <v/>
      </c>
      <c r="FU631" s="2945" t="str">
        <f t="shared" si="158"/>
        <v/>
      </c>
      <c r="FV631" s="2945" t="str">
        <f t="shared" si="159"/>
        <v/>
      </c>
      <c r="FW631" s="2945" t="str">
        <f t="shared" si="160"/>
        <v/>
      </c>
      <c r="FX631" s="2945" t="str">
        <f t="shared" si="161"/>
        <v/>
      </c>
      <c r="FY631" s="2945" t="str">
        <f t="shared" si="162"/>
        <v/>
      </c>
      <c r="FZ631" s="2945" t="str">
        <f t="shared" si="163"/>
        <v/>
      </c>
      <c r="GA631" s="2945" t="str">
        <f t="shared" si="164"/>
        <v/>
      </c>
      <c r="GB631" s="2945" t="str">
        <f t="shared" si="165"/>
        <v/>
      </c>
      <c r="GC631" s="2945" t="str">
        <f t="shared" si="166"/>
        <v/>
      </c>
      <c r="GD631" s="2945" t="str">
        <f t="shared" si="167"/>
        <v/>
      </c>
      <c r="GE631" s="2945" t="str">
        <f t="shared" si="168"/>
        <v/>
      </c>
      <c r="GF631" s="2945" t="str">
        <f t="shared" si="169"/>
        <v/>
      </c>
      <c r="GG631" s="2945">
        <f t="shared" si="170"/>
        <v>6</v>
      </c>
      <c r="GH631" s="2945" t="str">
        <f t="shared" si="171"/>
        <v/>
      </c>
      <c r="GI631" s="2945" t="str">
        <f t="shared" si="172"/>
        <v/>
      </c>
      <c r="GJ631" s="2945" t="str">
        <f t="shared" si="173"/>
        <v/>
      </c>
      <c r="GK631" s="2945" t="str">
        <f t="shared" si="174"/>
        <v/>
      </c>
      <c r="GL631" s="2945" t="str">
        <f t="shared" si="175"/>
        <v/>
      </c>
      <c r="GM631" s="2945" t="str">
        <f t="shared" si="176"/>
        <v/>
      </c>
      <c r="GN631" s="2945" t="str">
        <f t="shared" si="177"/>
        <v/>
      </c>
      <c r="GO631" s="2945" t="str">
        <f t="shared" si="178"/>
        <v/>
      </c>
      <c r="GP631" s="2945" t="str">
        <f t="shared" si="179"/>
        <v/>
      </c>
      <c r="GQ631" s="2945" t="str">
        <f t="shared" si="180"/>
        <v/>
      </c>
      <c r="GR631" s="2945" t="str">
        <f t="shared" si="181"/>
        <v/>
      </c>
      <c r="GS631" s="2945" t="str">
        <f t="shared" si="182"/>
        <v/>
      </c>
      <c r="GT631" s="2945" t="str">
        <f t="shared" si="183"/>
        <v/>
      </c>
      <c r="GU631" s="2945" t="str">
        <f t="shared" si="184"/>
        <v/>
      </c>
      <c r="GV631" s="2945" t="str">
        <f t="shared" si="185"/>
        <v/>
      </c>
      <c r="GW631" s="2945" t="str">
        <f t="shared" si="186"/>
        <v/>
      </c>
      <c r="GX631" s="2945" t="str">
        <f t="shared" si="187"/>
        <v/>
      </c>
      <c r="GY631" s="2945" t="str">
        <f t="shared" si="188"/>
        <v/>
      </c>
      <c r="GZ631" s="2945" t="str">
        <f t="shared" si="189"/>
        <v/>
      </c>
      <c r="HA631" s="2945" t="str">
        <f t="shared" si="190"/>
        <v/>
      </c>
      <c r="HB631" s="2945" t="str">
        <f t="shared" si="191"/>
        <v/>
      </c>
      <c r="HC631" s="2945" t="str">
        <f t="shared" si="192"/>
        <v/>
      </c>
      <c r="HD631" s="2945" t="str">
        <f t="shared" si="193"/>
        <v/>
      </c>
      <c r="HE631" s="2945" t="str">
        <f t="shared" si="194"/>
        <v/>
      </c>
      <c r="HF631" s="2945" t="str">
        <f t="shared" si="195"/>
        <v/>
      </c>
      <c r="HG631" s="2945" t="str">
        <f t="shared" si="196"/>
        <v/>
      </c>
      <c r="HH631" s="2945" t="str">
        <f t="shared" si="197"/>
        <v/>
      </c>
      <c r="HI631" s="2945" t="str">
        <f t="shared" si="198"/>
        <v/>
      </c>
      <c r="HJ631" s="2945" t="str">
        <f t="shared" si="199"/>
        <v/>
      </c>
      <c r="HK631" s="2945" t="str">
        <f t="shared" si="200"/>
        <v/>
      </c>
      <c r="HL631" s="2945" t="str">
        <f t="shared" si="201"/>
        <v/>
      </c>
      <c r="HM631" s="2945" t="str">
        <f t="shared" si="202"/>
        <v/>
      </c>
      <c r="HN631" s="2945" t="str">
        <f t="shared" si="203"/>
        <v/>
      </c>
      <c r="HO631" s="2945" t="str">
        <f t="shared" si="204"/>
        <v/>
      </c>
      <c r="HP631" s="2945" t="str">
        <f t="shared" si="205"/>
        <v/>
      </c>
      <c r="HQ631" s="2945" t="str">
        <f t="shared" si="206"/>
        <v/>
      </c>
      <c r="HR631" s="2945" t="str">
        <f t="shared" si="207"/>
        <v/>
      </c>
      <c r="HS631" s="2945" t="str">
        <f t="shared" si="208"/>
        <v/>
      </c>
      <c r="HT631" s="2945" t="str">
        <f t="shared" si="209"/>
        <v/>
      </c>
      <c r="HU631" s="2945" t="str">
        <f t="shared" si="210"/>
        <v/>
      </c>
      <c r="HV631" s="2945" t="str">
        <f t="shared" si="211"/>
        <v/>
      </c>
      <c r="HW631" s="2945" t="str">
        <f t="shared" si="212"/>
        <v/>
      </c>
      <c r="HX631" s="2945" t="str">
        <f t="shared" si="213"/>
        <v/>
      </c>
      <c r="HY631" s="2945" t="str">
        <f t="shared" si="214"/>
        <v/>
      </c>
      <c r="HZ631" s="2945" t="str">
        <f t="shared" si="215"/>
        <v/>
      </c>
      <c r="IA631" s="2945" t="str">
        <f t="shared" si="216"/>
        <v/>
      </c>
      <c r="IB631" s="2945" t="str">
        <f t="shared" si="217"/>
        <v/>
      </c>
      <c r="IC631" s="2911" t="str">
        <f t="shared" si="218"/>
        <v/>
      </c>
      <c r="ID631" s="2911" t="str">
        <f t="shared" si="219"/>
        <v/>
      </c>
      <c r="IE631" s="2911" t="str">
        <f t="shared" si="220"/>
        <v/>
      </c>
      <c r="IF631" s="2911" t="str">
        <f t="shared" si="221"/>
        <v/>
      </c>
      <c r="IG631" s="2911" t="str">
        <f t="shared" si="222"/>
        <v/>
      </c>
      <c r="IH631" s="926" t="str">
        <f t="shared" si="223"/>
        <v/>
      </c>
      <c r="II631" s="926" t="str">
        <f t="shared" si="224"/>
        <v/>
      </c>
      <c r="IJ631" s="926" t="str">
        <f t="shared" si="225"/>
        <v/>
      </c>
      <c r="IK631" s="926" t="str">
        <f t="shared" si="226"/>
        <v/>
      </c>
      <c r="IL631" s="926" t="str">
        <f t="shared" si="227"/>
        <v/>
      </c>
      <c r="IM631" s="926" t="str">
        <f t="shared" si="228"/>
        <v/>
      </c>
      <c r="IN631" s="926" t="str">
        <f t="shared" si="229"/>
        <v/>
      </c>
      <c r="IO631" s="926" t="str">
        <f t="shared" si="230"/>
        <v/>
      </c>
      <c r="IP631" s="926" t="str">
        <f t="shared" si="231"/>
        <v/>
      </c>
      <c r="IQ631" s="926" t="str">
        <f t="shared" si="232"/>
        <v/>
      </c>
      <c r="IR631" s="926" t="str">
        <f t="shared" si="233"/>
        <v/>
      </c>
      <c r="IS631" s="926" t="str">
        <f t="shared" si="234"/>
        <v/>
      </c>
      <c r="IT631" s="926" t="str">
        <f t="shared" si="235"/>
        <v/>
      </c>
      <c r="IU631" s="926" t="str">
        <f t="shared" si="236"/>
        <v/>
      </c>
      <c r="IV631" s="926" t="str">
        <f t="shared" si="237"/>
        <v/>
      </c>
      <c r="IW631" s="926" t="str">
        <f t="shared" si="238"/>
        <v/>
      </c>
      <c r="IX631" s="926" t="str">
        <f t="shared" si="239"/>
        <v/>
      </c>
      <c r="IY631" s="926" t="str">
        <f t="shared" si="240"/>
        <v/>
      </c>
      <c r="IZ631" s="926" t="str">
        <f t="shared" si="241"/>
        <v/>
      </c>
      <c r="JA631" s="926" t="str">
        <f t="shared" si="242"/>
        <v/>
      </c>
      <c r="JB631" s="2909">
        <f t="shared" ref="JB631:JB667" si="243">IF(AND($C631="Efficiency",$E631&gt;0,OR($N631="1-Story",$N631="2-Story",$N631="3+ Story",$N631="2-Story Walkup",$N631="Townhome"),OR($O631="Acquisition/Rehab",$O631="Rehabilitation"),NOT($P631="Yes")),$E631,0)</f>
        <v>0</v>
      </c>
      <c r="JC631" s="2909">
        <f t="shared" ref="JC631:JC667" si="244">IF(AND($C631=1,$E631&gt;0,OR($N631="1-Story",$N631="2-Story",$N631="3+ Story",$N631="2-Story Walkup",$N631="Townhome"),OR($O631="Acquisition/Rehab",$O631="Rehabilitation"),NOT($P631="Yes")),$E631,0)</f>
        <v>0</v>
      </c>
      <c r="JD631" s="2909">
        <f t="shared" ref="JD631:JD667" si="245">IF(AND($C631=2,$E631&gt;0,OR($N631="1-Story",$N631="2-Story",$N631="3+ Story",$N631="2-Story Walkup",$N631="Townhome"),OR($O631="Acquisition/Rehab",$O631="Rehabilitation"),NOT($P631="Yes")),$E631,0)</f>
        <v>6</v>
      </c>
      <c r="JE631" s="2909">
        <f t="shared" ref="JE631:JE667" si="246">IF(AND($C631=3,$E631&gt;0,OR($N631="1-Story",$N631="2-Story",$N631="3+ Story",$N631="2-Story Walkup",$N631="Townhome"),OR($O631="Acquisition/Rehab",$O631="Rehabilitation"),NOT($P631="Yes")),$E631,0)</f>
        <v>0</v>
      </c>
      <c r="JF631" s="2909">
        <f t="shared" ref="JF631:JF667" si="247">IF(AND($C631=4,$E631&gt;0,OR($N631="1-Story",$N631="2-Story",$N631="3+ Story",$N631="2-Story Walkup",$N631="Townhome"),OR($O631="Acquisition/Rehab",$O631="Rehabilitation"),NOT($P631="Yes")),$E631,0)</f>
        <v>0</v>
      </c>
      <c r="JG631" s="2909">
        <f t="shared" ref="JG631:JG667" si="248">IF(AND($C631="Efficiency",$E631&gt;0,OR($N631="1-Story",$N631="2-Story",$N631="3+ Story",$N631="2-Story Walkup",$N631="Townhome"),$O631="New Construction"),$E631,0)</f>
        <v>0</v>
      </c>
      <c r="JH631" s="2909">
        <f t="shared" ref="JH631:JH667" si="249">IF(AND($C631=1,$E631&gt;0,OR($N631="1-Story",$N631="2-Story",$N631="3+ Story",$N631="2-Story Walkup",$N631="Townhome"),$O631="New Construction"),$E631,0)</f>
        <v>0</v>
      </c>
      <c r="JI631" s="2909">
        <f t="shared" ref="JI631:JI667" si="250">IF(AND($C631=2,$E631&gt;0,OR($N631="1-Story",$N631="2-Story",$N631="3+ Story",$N631="2-Story Walkup",$N631="Townhome"),$O631="New Construction"),$E631,0)</f>
        <v>0</v>
      </c>
      <c r="JJ631" s="2909">
        <f t="shared" ref="JJ631:JJ667" si="251">IF(AND($C631=3,$E631&gt;0,OR($N631="1-Story",$N631="2-Story",$N631="3+ Story",$N631="2-Story Walkup",$N631="Townhome"),$O631="New Construction"),$E631,0)</f>
        <v>0</v>
      </c>
      <c r="JK631" s="2909">
        <f t="shared" ref="JK631:JK667" si="252">IF(AND($C631=4,$E631&gt;0,OR($N631="1-Story",$N631="2-Story",$N631="3+ Story",$N631="2-Story Walkup",$N631="Townhome"),$O631="New Construction"),$E631,0)</f>
        <v>0</v>
      </c>
      <c r="JL631" s="2909">
        <f t="shared" ref="JL631:JL667" si="253">IF(AND($C631="Efficiency",$E631&gt;0,OR($N631="SF Detached",$N631="Duplex",$N631="Mfd Home"),NOT($P631="Yes")),$E631,0)</f>
        <v>0</v>
      </c>
      <c r="JM631" s="2909">
        <f t="shared" ref="JM631:JM667" si="254">IF(AND($C631=1,$E631&gt;0,OR($N631="SF Detached",$N631="Duplex",$N631="Mfd Home"),NOT($P631="Yes")),$E631,0)</f>
        <v>0</v>
      </c>
      <c r="JN631" s="2909">
        <f t="shared" ref="JN631:JN667" si="255">IF(AND($C631=2,$E631&gt;0,OR($N631="SF Detached",$N631="Duplex",$N631="Mfd Home"),NOT($P631="Yes")),$E631,0)</f>
        <v>0</v>
      </c>
      <c r="JO631" s="2909">
        <f t="shared" ref="JO631:JO667" si="256">IF(AND($C631=3,$E631&gt;0,OR($N631="SF Detached",$N631="Duplex",$N631="Mfd Home"),NOT($P631="Yes")),$E631,0)</f>
        <v>0</v>
      </c>
      <c r="JP631" s="2909">
        <f t="shared" ref="JP631:JP667" si="257">IF(AND($C631=4,$E631&gt;0,OR($N631="SF Detached",$N631="Duplex",$N631="Mfd Home"),NOT($P631="Yes")),$E631,0)</f>
        <v>0</v>
      </c>
    </row>
    <row r="632" spans="1:276" ht="12" customHeight="1">
      <c r="A632" s="2924" t="str">
        <f t="shared" si="0"/>
        <v/>
      </c>
      <c r="B632" s="2936" t="str">
        <f>'Part VI-Revenues &amp; Expenses'!B12</f>
        <v>50% AMI</v>
      </c>
      <c r="C632" s="2937">
        <f>'Part VI-Revenues &amp; Expenses'!C12</f>
        <v>3</v>
      </c>
      <c r="D632" s="2938">
        <f>'Part VI-Revenues &amp; Expenses'!D12</f>
        <v>2</v>
      </c>
      <c r="E632" s="2939">
        <f>'Part VI-Revenues &amp; Expenses'!E12</f>
        <v>2</v>
      </c>
      <c r="F632" s="2939">
        <f>'Part VI-Revenues &amp; Expenses'!F12</f>
        <v>1100</v>
      </c>
      <c r="G632" s="2939">
        <f>'Part VI-Revenues &amp; Expenses'!G12</f>
        <v>633</v>
      </c>
      <c r="H632" s="2939">
        <f>'Part VI-Revenues &amp; Expenses'!H12</f>
        <v>603</v>
      </c>
      <c r="I632" s="2939">
        <f>'Part VI-Revenues &amp; Expenses'!I12</f>
        <v>168</v>
      </c>
      <c r="J632" s="2940">
        <f>'Part VI-Revenues &amp; Expenses'!J12</f>
        <v>0</v>
      </c>
      <c r="K632" s="2941">
        <f t="shared" si="1"/>
        <v>435</v>
      </c>
      <c r="L632" s="2941">
        <f t="shared" si="2"/>
        <v>870</v>
      </c>
      <c r="M632" s="2918" t="str">
        <f>'Part VI-Revenues &amp; Expenses'!M12</f>
        <v>No</v>
      </c>
      <c r="N632" s="2918" t="str">
        <f>'Part VI-Revenues &amp; Expenses'!N12</f>
        <v>1-Story</v>
      </c>
      <c r="O632" s="2918" t="str">
        <f>'Part VI-Revenues &amp; Expenses'!O12</f>
        <v>Acquisition/Rehab</v>
      </c>
      <c r="P632" s="2918">
        <f>'Part VI-Revenues &amp; Expenses'!P12</f>
        <v>0</v>
      </c>
      <c r="Q632" s="2942">
        <f>IF(H632="","",P632/($O$626*VLOOKUP(C632,'DCA Underwriting Assumptions'!$J$118:$K$123,2,FALSE)))</f>
        <v>0</v>
      </c>
      <c r="R632" s="2943"/>
      <c r="S632" s="2942"/>
      <c r="T632" s="2944"/>
      <c r="U632" s="2944"/>
      <c r="V632" s="926" t="str">
        <f t="shared" si="3"/>
        <v/>
      </c>
      <c r="W632" s="926" t="str">
        <f t="shared" si="4"/>
        <v/>
      </c>
      <c r="X632" s="926" t="str">
        <f t="shared" si="5"/>
        <v/>
      </c>
      <c r="Y632" s="926" t="str">
        <f t="shared" si="6"/>
        <v/>
      </c>
      <c r="Z632" s="926" t="str">
        <f t="shared" si="7"/>
        <v/>
      </c>
      <c r="AA632" s="926" t="str">
        <f t="shared" si="8"/>
        <v/>
      </c>
      <c r="AB632" s="926" t="str">
        <f t="shared" si="9"/>
        <v/>
      </c>
      <c r="AC632" s="926" t="str">
        <f t="shared" si="10"/>
        <v/>
      </c>
      <c r="AD632" s="926">
        <f t="shared" si="11"/>
        <v>2</v>
      </c>
      <c r="AE632" s="926" t="str">
        <f t="shared" si="12"/>
        <v/>
      </c>
      <c r="AF632" s="926" t="str">
        <f t="shared" si="13"/>
        <v/>
      </c>
      <c r="AG632" s="926" t="str">
        <f t="shared" si="14"/>
        <v/>
      </c>
      <c r="AH632" s="926" t="str">
        <f t="shared" si="15"/>
        <v/>
      </c>
      <c r="AI632" s="926" t="str">
        <f t="shared" si="16"/>
        <v/>
      </c>
      <c r="AJ632" s="926" t="str">
        <f t="shared" si="17"/>
        <v/>
      </c>
      <c r="AK632" s="926" t="str">
        <f t="shared" si="18"/>
        <v/>
      </c>
      <c r="AL632" s="926" t="str">
        <f t="shared" si="19"/>
        <v/>
      </c>
      <c r="AM632" s="926" t="str">
        <f t="shared" si="20"/>
        <v/>
      </c>
      <c r="AN632" s="926" t="str">
        <f t="shared" si="21"/>
        <v/>
      </c>
      <c r="AO632" s="926" t="str">
        <f t="shared" si="22"/>
        <v/>
      </c>
      <c r="AP632" s="926" t="str">
        <f t="shared" si="23"/>
        <v/>
      </c>
      <c r="AQ632" s="926" t="str">
        <f t="shared" si="24"/>
        <v/>
      </c>
      <c r="AR632" s="926" t="str">
        <f t="shared" si="25"/>
        <v/>
      </c>
      <c r="AS632" s="926" t="str">
        <f t="shared" si="26"/>
        <v/>
      </c>
      <c r="AT632" s="926" t="str">
        <f t="shared" si="27"/>
        <v/>
      </c>
      <c r="AU632" s="926" t="str">
        <f t="shared" si="28"/>
        <v/>
      </c>
      <c r="AV632" s="926" t="str">
        <f t="shared" si="29"/>
        <v/>
      </c>
      <c r="AW632" s="926" t="str">
        <f t="shared" si="30"/>
        <v/>
      </c>
      <c r="AX632" s="926" t="str">
        <f t="shared" si="31"/>
        <v/>
      </c>
      <c r="AY632" s="926" t="str">
        <f t="shared" si="32"/>
        <v/>
      </c>
      <c r="AZ632" s="926" t="str">
        <f t="shared" si="33"/>
        <v/>
      </c>
      <c r="BA632" s="926" t="str">
        <f t="shared" si="34"/>
        <v/>
      </c>
      <c r="BB632" s="926" t="str">
        <f t="shared" si="35"/>
        <v/>
      </c>
      <c r="BC632" s="926" t="str">
        <f t="shared" si="36"/>
        <v/>
      </c>
      <c r="BD632" s="926" t="str">
        <f t="shared" si="37"/>
        <v/>
      </c>
      <c r="BE632" s="926" t="str">
        <f t="shared" si="38"/>
        <v/>
      </c>
      <c r="BF632" s="926" t="str">
        <f t="shared" si="39"/>
        <v/>
      </c>
      <c r="BG632" s="926" t="str">
        <f t="shared" si="40"/>
        <v/>
      </c>
      <c r="BH632" s="926" t="str">
        <f t="shared" si="41"/>
        <v/>
      </c>
      <c r="BI632" s="926" t="str">
        <f t="shared" si="42"/>
        <v/>
      </c>
      <c r="BJ632" s="926" t="str">
        <f t="shared" si="43"/>
        <v/>
      </c>
      <c r="BK632" s="926" t="str">
        <f t="shared" si="44"/>
        <v/>
      </c>
      <c r="BL632" s="926" t="str">
        <f t="shared" si="45"/>
        <v/>
      </c>
      <c r="BM632" s="926" t="str">
        <f t="shared" si="46"/>
        <v/>
      </c>
      <c r="BN632" s="926" t="str">
        <f t="shared" si="47"/>
        <v/>
      </c>
      <c r="BO632" s="926" t="str">
        <f t="shared" si="48"/>
        <v/>
      </c>
      <c r="BP632" s="926" t="str">
        <f t="shared" si="49"/>
        <v/>
      </c>
      <c r="BQ632" s="926" t="str">
        <f t="shared" si="50"/>
        <v/>
      </c>
      <c r="BR632" s="926" t="str">
        <f t="shared" si="51"/>
        <v/>
      </c>
      <c r="BS632" s="926" t="str">
        <f t="shared" si="52"/>
        <v/>
      </c>
      <c r="BT632" s="926" t="str">
        <f t="shared" si="53"/>
        <v/>
      </c>
      <c r="BU632" s="926" t="str">
        <f t="shared" si="54"/>
        <v/>
      </c>
      <c r="BV632" s="926" t="str">
        <f t="shared" si="55"/>
        <v/>
      </c>
      <c r="BW632" s="926" t="str">
        <f t="shared" si="56"/>
        <v/>
      </c>
      <c r="BX632" s="926" t="str">
        <f t="shared" si="57"/>
        <v/>
      </c>
      <c r="BY632" s="926" t="str">
        <f t="shared" si="58"/>
        <v/>
      </c>
      <c r="BZ632" s="926" t="str">
        <f t="shared" si="59"/>
        <v/>
      </c>
      <c r="CA632" s="926" t="str">
        <f t="shared" si="60"/>
        <v/>
      </c>
      <c r="CB632" s="926" t="str">
        <f t="shared" si="61"/>
        <v/>
      </c>
      <c r="CC632" s="926" t="str">
        <f t="shared" si="62"/>
        <v/>
      </c>
      <c r="CD632" s="926" t="str">
        <f t="shared" si="63"/>
        <v/>
      </c>
      <c r="CE632" s="926" t="str">
        <f t="shared" si="64"/>
        <v/>
      </c>
      <c r="CF632" s="926" t="str">
        <f t="shared" si="65"/>
        <v/>
      </c>
      <c r="CG632" s="926">
        <f t="shared" si="66"/>
        <v>2200</v>
      </c>
      <c r="CH632" s="926" t="str">
        <f t="shared" si="67"/>
        <v/>
      </c>
      <c r="CI632" s="926" t="str">
        <f t="shared" si="68"/>
        <v/>
      </c>
      <c r="CJ632" s="926" t="str">
        <f t="shared" si="69"/>
        <v/>
      </c>
      <c r="CK632" s="926" t="str">
        <f t="shared" si="70"/>
        <v/>
      </c>
      <c r="CL632" s="926" t="str">
        <f t="shared" si="71"/>
        <v/>
      </c>
      <c r="CM632" s="926" t="str">
        <f t="shared" si="72"/>
        <v/>
      </c>
      <c r="CN632" s="926" t="str">
        <f t="shared" si="73"/>
        <v/>
      </c>
      <c r="CO632" s="926" t="str">
        <f t="shared" si="74"/>
        <v/>
      </c>
      <c r="CP632" s="926" t="str">
        <f t="shared" si="75"/>
        <v/>
      </c>
      <c r="CQ632" s="926" t="str">
        <f t="shared" si="76"/>
        <v/>
      </c>
      <c r="CR632" s="926" t="str">
        <f t="shared" si="77"/>
        <v/>
      </c>
      <c r="CS632" s="926" t="str">
        <f t="shared" si="78"/>
        <v/>
      </c>
      <c r="CT632" s="926" t="str">
        <f t="shared" si="79"/>
        <v/>
      </c>
      <c r="CU632" s="926" t="str">
        <f t="shared" si="80"/>
        <v/>
      </c>
      <c r="CV632" s="926" t="str">
        <f t="shared" si="81"/>
        <v/>
      </c>
      <c r="CW632" s="926" t="str">
        <f t="shared" si="82"/>
        <v/>
      </c>
      <c r="CX632" s="926" t="str">
        <f t="shared" si="83"/>
        <v/>
      </c>
      <c r="CY632" s="926" t="str">
        <f t="shared" si="84"/>
        <v/>
      </c>
      <c r="CZ632" s="926" t="str">
        <f t="shared" si="85"/>
        <v/>
      </c>
      <c r="DA632" s="926" t="str">
        <f t="shared" si="86"/>
        <v/>
      </c>
      <c r="DB632" s="926" t="str">
        <f t="shared" si="87"/>
        <v/>
      </c>
      <c r="DC632" s="926" t="str">
        <f t="shared" si="88"/>
        <v/>
      </c>
      <c r="DD632" s="926" t="str">
        <f t="shared" si="89"/>
        <v/>
      </c>
      <c r="DE632" s="926" t="str">
        <f t="shared" si="90"/>
        <v/>
      </c>
      <c r="DF632" s="926" t="str">
        <f t="shared" si="91"/>
        <v/>
      </c>
      <c r="DG632" s="926" t="str">
        <f t="shared" si="92"/>
        <v/>
      </c>
      <c r="DH632" s="926" t="str">
        <f t="shared" si="93"/>
        <v/>
      </c>
      <c r="DI632" s="926" t="str">
        <f t="shared" si="94"/>
        <v/>
      </c>
      <c r="DJ632" s="926" t="str">
        <f t="shared" si="95"/>
        <v/>
      </c>
      <c r="DK632" s="926" t="str">
        <f t="shared" si="96"/>
        <v/>
      </c>
      <c r="DL632" s="926" t="str">
        <f t="shared" si="97"/>
        <v/>
      </c>
      <c r="DM632" s="926" t="str">
        <f t="shared" si="98"/>
        <v/>
      </c>
      <c r="DN632" s="926" t="str">
        <f t="shared" si="99"/>
        <v/>
      </c>
      <c r="DO632" s="926" t="str">
        <f t="shared" si="100"/>
        <v/>
      </c>
      <c r="DP632" s="926" t="str">
        <f t="shared" si="101"/>
        <v/>
      </c>
      <c r="DQ632" s="926" t="str">
        <f t="shared" si="102"/>
        <v/>
      </c>
      <c r="DR632" s="926" t="str">
        <f t="shared" si="103"/>
        <v/>
      </c>
      <c r="DS632" s="926" t="str">
        <f t="shared" si="104"/>
        <v/>
      </c>
      <c r="DT632" s="926" t="str">
        <f t="shared" si="105"/>
        <v/>
      </c>
      <c r="DU632" s="926">
        <f t="shared" si="106"/>
        <v>2</v>
      </c>
      <c r="DV632" s="926" t="str">
        <f t="shared" si="107"/>
        <v/>
      </c>
      <c r="DW632" s="926" t="str">
        <f t="shared" si="108"/>
        <v/>
      </c>
      <c r="DX632" s="926" t="str">
        <f t="shared" si="109"/>
        <v/>
      </c>
      <c r="DY632" s="926" t="str">
        <f t="shared" si="110"/>
        <v/>
      </c>
      <c r="DZ632" s="926" t="str">
        <f t="shared" si="111"/>
        <v/>
      </c>
      <c r="EA632" s="926" t="str">
        <f t="shared" si="112"/>
        <v/>
      </c>
      <c r="EB632" s="926" t="str">
        <f t="shared" si="113"/>
        <v/>
      </c>
      <c r="EC632" s="926" t="str">
        <f t="shared" si="114"/>
        <v/>
      </c>
      <c r="ED632" s="926" t="str">
        <f t="shared" si="115"/>
        <v/>
      </c>
      <c r="EE632" s="926" t="str">
        <f t="shared" si="116"/>
        <v/>
      </c>
      <c r="EF632" s="926" t="str">
        <f t="shared" si="117"/>
        <v/>
      </c>
      <c r="EG632" s="926" t="str">
        <f t="shared" si="118"/>
        <v/>
      </c>
      <c r="EH632" s="926" t="str">
        <f t="shared" si="119"/>
        <v/>
      </c>
      <c r="EI632" s="926" t="str">
        <f t="shared" si="120"/>
        <v/>
      </c>
      <c r="EJ632" s="926" t="str">
        <f t="shared" si="121"/>
        <v/>
      </c>
      <c r="EK632" s="926" t="str">
        <f t="shared" si="122"/>
        <v/>
      </c>
      <c r="EL632" s="926" t="str">
        <f t="shared" si="123"/>
        <v/>
      </c>
      <c r="EM632" s="926" t="str">
        <f t="shared" si="124"/>
        <v/>
      </c>
      <c r="EN632" s="926" t="str">
        <f t="shared" si="125"/>
        <v/>
      </c>
      <c r="EO632" s="926" t="str">
        <f t="shared" si="126"/>
        <v/>
      </c>
      <c r="EP632" s="926" t="str">
        <f t="shared" si="127"/>
        <v/>
      </c>
      <c r="EQ632" s="926" t="str">
        <f t="shared" si="128"/>
        <v/>
      </c>
      <c r="ER632" s="926" t="str">
        <f t="shared" si="129"/>
        <v/>
      </c>
      <c r="ES632" s="926" t="str">
        <f t="shared" si="130"/>
        <v/>
      </c>
      <c r="ET632" s="926" t="str">
        <f t="shared" si="131"/>
        <v/>
      </c>
      <c r="EU632" s="926" t="str">
        <f t="shared" si="132"/>
        <v/>
      </c>
      <c r="EV632" s="2945" t="str">
        <f t="shared" si="133"/>
        <v/>
      </c>
      <c r="EW632" s="2945" t="str">
        <f t="shared" si="134"/>
        <v/>
      </c>
      <c r="EX632" s="2945" t="str">
        <f t="shared" si="135"/>
        <v/>
      </c>
      <c r="EY632" s="2945">
        <f t="shared" si="136"/>
        <v>2</v>
      </c>
      <c r="EZ632" s="2945" t="str">
        <f t="shared" si="137"/>
        <v/>
      </c>
      <c r="FA632" s="2945" t="str">
        <f t="shared" si="138"/>
        <v/>
      </c>
      <c r="FB632" s="2945" t="str">
        <f t="shared" si="139"/>
        <v/>
      </c>
      <c r="FC632" s="2945" t="str">
        <f t="shared" si="140"/>
        <v/>
      </c>
      <c r="FD632" s="2945" t="str">
        <f t="shared" si="141"/>
        <v/>
      </c>
      <c r="FE632" s="2945" t="str">
        <f t="shared" si="142"/>
        <v/>
      </c>
      <c r="FF632" s="2945" t="str">
        <f t="shared" si="143"/>
        <v/>
      </c>
      <c r="FG632" s="2945" t="str">
        <f t="shared" si="144"/>
        <v/>
      </c>
      <c r="FH632" s="2945" t="str">
        <f t="shared" si="145"/>
        <v/>
      </c>
      <c r="FI632" s="2945" t="str">
        <f t="shared" si="146"/>
        <v/>
      </c>
      <c r="FJ632" s="2945" t="str">
        <f t="shared" si="147"/>
        <v/>
      </c>
      <c r="FK632" s="2945" t="str">
        <f t="shared" si="148"/>
        <v/>
      </c>
      <c r="FL632" s="2945" t="str">
        <f t="shared" si="149"/>
        <v/>
      </c>
      <c r="FM632" s="2945" t="str">
        <f t="shared" si="150"/>
        <v/>
      </c>
      <c r="FN632" s="2945" t="str">
        <f t="shared" si="151"/>
        <v/>
      </c>
      <c r="FO632" s="2945" t="str">
        <f t="shared" si="152"/>
        <v/>
      </c>
      <c r="FP632" s="2945" t="str">
        <f t="shared" si="153"/>
        <v/>
      </c>
      <c r="FQ632" s="2945" t="str">
        <f t="shared" si="154"/>
        <v/>
      </c>
      <c r="FR632" s="2945" t="str">
        <f t="shared" si="155"/>
        <v/>
      </c>
      <c r="FS632" s="2945" t="str">
        <f t="shared" si="156"/>
        <v/>
      </c>
      <c r="FT632" s="2945" t="str">
        <f t="shared" si="157"/>
        <v/>
      </c>
      <c r="FU632" s="2945" t="str">
        <f t="shared" si="158"/>
        <v/>
      </c>
      <c r="FV632" s="2945" t="str">
        <f t="shared" si="159"/>
        <v/>
      </c>
      <c r="FW632" s="2945" t="str">
        <f t="shared" si="160"/>
        <v/>
      </c>
      <c r="FX632" s="2945" t="str">
        <f t="shared" si="161"/>
        <v/>
      </c>
      <c r="FY632" s="2945" t="str">
        <f t="shared" si="162"/>
        <v/>
      </c>
      <c r="FZ632" s="2945" t="str">
        <f t="shared" si="163"/>
        <v/>
      </c>
      <c r="GA632" s="2945" t="str">
        <f t="shared" si="164"/>
        <v/>
      </c>
      <c r="GB632" s="2945" t="str">
        <f t="shared" si="165"/>
        <v/>
      </c>
      <c r="GC632" s="2945" t="str">
        <f t="shared" si="166"/>
        <v/>
      </c>
      <c r="GD632" s="2945" t="str">
        <f t="shared" si="167"/>
        <v/>
      </c>
      <c r="GE632" s="2945" t="str">
        <f t="shared" si="168"/>
        <v/>
      </c>
      <c r="GF632" s="2945" t="str">
        <f t="shared" si="169"/>
        <v/>
      </c>
      <c r="GG632" s="2945" t="str">
        <f t="shared" si="170"/>
        <v/>
      </c>
      <c r="GH632" s="2945" t="str">
        <f t="shared" si="171"/>
        <v/>
      </c>
      <c r="GI632" s="2945" t="str">
        <f t="shared" si="172"/>
        <v/>
      </c>
      <c r="GJ632" s="2945" t="str">
        <f t="shared" si="173"/>
        <v/>
      </c>
      <c r="GK632" s="2945" t="str">
        <f t="shared" si="174"/>
        <v/>
      </c>
      <c r="GL632" s="2945" t="str">
        <f t="shared" si="175"/>
        <v/>
      </c>
      <c r="GM632" s="2945" t="str">
        <f t="shared" si="176"/>
        <v/>
      </c>
      <c r="GN632" s="2945" t="str">
        <f t="shared" si="177"/>
        <v/>
      </c>
      <c r="GO632" s="2945" t="str">
        <f t="shared" si="178"/>
        <v/>
      </c>
      <c r="GP632" s="2945" t="str">
        <f t="shared" si="179"/>
        <v/>
      </c>
      <c r="GQ632" s="2945" t="str">
        <f t="shared" si="180"/>
        <v/>
      </c>
      <c r="GR632" s="2945">
        <f t="shared" si="181"/>
        <v>2</v>
      </c>
      <c r="GS632" s="2945" t="str">
        <f t="shared" si="182"/>
        <v/>
      </c>
      <c r="GT632" s="2945" t="str">
        <f t="shared" si="183"/>
        <v/>
      </c>
      <c r="GU632" s="2945" t="str">
        <f t="shared" si="184"/>
        <v/>
      </c>
      <c r="GV632" s="2945" t="str">
        <f t="shared" si="185"/>
        <v/>
      </c>
      <c r="GW632" s="2945" t="str">
        <f t="shared" si="186"/>
        <v/>
      </c>
      <c r="GX632" s="2945" t="str">
        <f t="shared" si="187"/>
        <v/>
      </c>
      <c r="GY632" s="2945" t="str">
        <f t="shared" si="188"/>
        <v/>
      </c>
      <c r="GZ632" s="2945" t="str">
        <f t="shared" si="189"/>
        <v/>
      </c>
      <c r="HA632" s="2945" t="str">
        <f t="shared" si="190"/>
        <v/>
      </c>
      <c r="HB632" s="2945" t="str">
        <f t="shared" si="191"/>
        <v/>
      </c>
      <c r="HC632" s="2945" t="str">
        <f t="shared" si="192"/>
        <v/>
      </c>
      <c r="HD632" s="2945" t="str">
        <f t="shared" si="193"/>
        <v/>
      </c>
      <c r="HE632" s="2945" t="str">
        <f t="shared" si="194"/>
        <v/>
      </c>
      <c r="HF632" s="2945" t="str">
        <f t="shared" si="195"/>
        <v/>
      </c>
      <c r="HG632" s="2945" t="str">
        <f t="shared" si="196"/>
        <v/>
      </c>
      <c r="HH632" s="2945" t="str">
        <f t="shared" si="197"/>
        <v/>
      </c>
      <c r="HI632" s="2945" t="str">
        <f t="shared" si="198"/>
        <v/>
      </c>
      <c r="HJ632" s="2945" t="str">
        <f t="shared" si="199"/>
        <v/>
      </c>
      <c r="HK632" s="2945" t="str">
        <f t="shared" si="200"/>
        <v/>
      </c>
      <c r="HL632" s="2945" t="str">
        <f t="shared" si="201"/>
        <v/>
      </c>
      <c r="HM632" s="2945" t="str">
        <f t="shared" si="202"/>
        <v/>
      </c>
      <c r="HN632" s="2945" t="str">
        <f t="shared" si="203"/>
        <v/>
      </c>
      <c r="HO632" s="2945" t="str">
        <f t="shared" si="204"/>
        <v/>
      </c>
      <c r="HP632" s="2945" t="str">
        <f t="shared" si="205"/>
        <v/>
      </c>
      <c r="HQ632" s="2945" t="str">
        <f t="shared" si="206"/>
        <v/>
      </c>
      <c r="HR632" s="2945" t="str">
        <f t="shared" si="207"/>
        <v/>
      </c>
      <c r="HS632" s="2945" t="str">
        <f t="shared" si="208"/>
        <v/>
      </c>
      <c r="HT632" s="2945" t="str">
        <f t="shared" si="209"/>
        <v/>
      </c>
      <c r="HU632" s="2945" t="str">
        <f t="shared" si="210"/>
        <v/>
      </c>
      <c r="HV632" s="2945" t="str">
        <f t="shared" si="211"/>
        <v/>
      </c>
      <c r="HW632" s="2945" t="str">
        <f t="shared" si="212"/>
        <v/>
      </c>
      <c r="HX632" s="2945" t="str">
        <f t="shared" si="213"/>
        <v/>
      </c>
      <c r="HY632" s="2945" t="str">
        <f t="shared" si="214"/>
        <v/>
      </c>
      <c r="HZ632" s="2945" t="str">
        <f t="shared" si="215"/>
        <v/>
      </c>
      <c r="IA632" s="2945" t="str">
        <f t="shared" si="216"/>
        <v/>
      </c>
      <c r="IB632" s="2945" t="str">
        <f t="shared" si="217"/>
        <v/>
      </c>
      <c r="IC632" s="2911" t="str">
        <f t="shared" si="218"/>
        <v/>
      </c>
      <c r="ID632" s="2911" t="str">
        <f t="shared" si="219"/>
        <v/>
      </c>
      <c r="IE632" s="2911" t="str">
        <f t="shared" si="220"/>
        <v/>
      </c>
      <c r="IF632" s="2911" t="str">
        <f t="shared" si="221"/>
        <v/>
      </c>
      <c r="IG632" s="2911" t="str">
        <f t="shared" si="222"/>
        <v/>
      </c>
      <c r="IH632" s="926" t="str">
        <f t="shared" si="223"/>
        <v/>
      </c>
      <c r="II632" s="926" t="str">
        <f t="shared" si="224"/>
        <v/>
      </c>
      <c r="IJ632" s="926" t="str">
        <f t="shared" si="225"/>
        <v/>
      </c>
      <c r="IK632" s="926" t="str">
        <f t="shared" si="226"/>
        <v/>
      </c>
      <c r="IL632" s="926" t="str">
        <f t="shared" si="227"/>
        <v/>
      </c>
      <c r="IM632" s="926" t="str">
        <f t="shared" si="228"/>
        <v/>
      </c>
      <c r="IN632" s="926" t="str">
        <f t="shared" si="229"/>
        <v/>
      </c>
      <c r="IO632" s="926" t="str">
        <f t="shared" si="230"/>
        <v/>
      </c>
      <c r="IP632" s="926" t="str">
        <f t="shared" si="231"/>
        <v/>
      </c>
      <c r="IQ632" s="926" t="str">
        <f t="shared" si="232"/>
        <v/>
      </c>
      <c r="IR632" s="926" t="str">
        <f t="shared" si="233"/>
        <v/>
      </c>
      <c r="IS632" s="926" t="str">
        <f t="shared" si="234"/>
        <v/>
      </c>
      <c r="IT632" s="926" t="str">
        <f t="shared" si="235"/>
        <v/>
      </c>
      <c r="IU632" s="926" t="str">
        <f t="shared" si="236"/>
        <v/>
      </c>
      <c r="IV632" s="926" t="str">
        <f t="shared" si="237"/>
        <v/>
      </c>
      <c r="IW632" s="926" t="str">
        <f t="shared" si="238"/>
        <v/>
      </c>
      <c r="IX632" s="926" t="str">
        <f t="shared" si="239"/>
        <v/>
      </c>
      <c r="IY632" s="926" t="str">
        <f t="shared" si="240"/>
        <v/>
      </c>
      <c r="IZ632" s="926" t="str">
        <f t="shared" si="241"/>
        <v/>
      </c>
      <c r="JA632" s="926" t="str">
        <f t="shared" si="242"/>
        <v/>
      </c>
      <c r="JB632" s="2909">
        <f t="shared" si="243"/>
        <v>0</v>
      </c>
      <c r="JC632" s="2909">
        <f t="shared" si="244"/>
        <v>0</v>
      </c>
      <c r="JD632" s="2909">
        <f t="shared" si="245"/>
        <v>0</v>
      </c>
      <c r="JE632" s="2909">
        <f t="shared" si="246"/>
        <v>2</v>
      </c>
      <c r="JF632" s="2909">
        <f t="shared" si="247"/>
        <v>0</v>
      </c>
      <c r="JG632" s="2909">
        <f t="shared" si="248"/>
        <v>0</v>
      </c>
      <c r="JH632" s="2909">
        <f t="shared" si="249"/>
        <v>0</v>
      </c>
      <c r="JI632" s="2909">
        <f t="shared" si="250"/>
        <v>0</v>
      </c>
      <c r="JJ632" s="2909">
        <f t="shared" si="251"/>
        <v>0</v>
      </c>
      <c r="JK632" s="2909">
        <f t="shared" si="252"/>
        <v>0</v>
      </c>
      <c r="JL632" s="2909">
        <f t="shared" si="253"/>
        <v>0</v>
      </c>
      <c r="JM632" s="2909">
        <f t="shared" si="254"/>
        <v>0</v>
      </c>
      <c r="JN632" s="2909">
        <f t="shared" si="255"/>
        <v>0</v>
      </c>
      <c r="JO632" s="2909">
        <f t="shared" si="256"/>
        <v>0</v>
      </c>
      <c r="JP632" s="2909">
        <f t="shared" si="257"/>
        <v>0</v>
      </c>
    </row>
    <row r="633" spans="1:276" ht="12" customHeight="1">
      <c r="A633" s="2924" t="str">
        <f t="shared" si="0"/>
        <v/>
      </c>
      <c r="B633" s="2936" t="str">
        <f>'Part VI-Revenues &amp; Expenses'!B13</f>
        <v>60% AMI</v>
      </c>
      <c r="C633" s="2937">
        <f>'Part VI-Revenues &amp; Expenses'!C13</f>
        <v>1</v>
      </c>
      <c r="D633" s="2938">
        <f>'Part VI-Revenues &amp; Expenses'!D13</f>
        <v>1</v>
      </c>
      <c r="E633" s="2939">
        <f>'Part VI-Revenues &amp; Expenses'!E13</f>
        <v>3</v>
      </c>
      <c r="F633" s="2939">
        <f>'Part VI-Revenues &amp; Expenses'!F13</f>
        <v>608</v>
      </c>
      <c r="G633" s="2939">
        <f>'Part VI-Revenues &amp; Expenses'!G13</f>
        <v>548</v>
      </c>
      <c r="H633" s="2939">
        <f>'Part VI-Revenues &amp; Expenses'!H13</f>
        <v>476</v>
      </c>
      <c r="I633" s="2939">
        <f>'Part VI-Revenues &amp; Expenses'!I13</f>
        <v>116</v>
      </c>
      <c r="J633" s="2940">
        <f>'Part VI-Revenues &amp; Expenses'!J13</f>
        <v>0</v>
      </c>
      <c r="K633" s="2941">
        <f t="shared" si="1"/>
        <v>360</v>
      </c>
      <c r="L633" s="2941">
        <f t="shared" si="2"/>
        <v>1080</v>
      </c>
      <c r="M633" s="2918" t="str">
        <f>'Part VI-Revenues &amp; Expenses'!M13</f>
        <v>No</v>
      </c>
      <c r="N633" s="2918" t="str">
        <f>'Part VI-Revenues &amp; Expenses'!N13</f>
        <v>1-Story</v>
      </c>
      <c r="O633" s="2918" t="str">
        <f>'Part VI-Revenues &amp; Expenses'!O13</f>
        <v>Acquisition/Rehab</v>
      </c>
      <c r="P633" s="2918">
        <f>'Part VI-Revenues &amp; Expenses'!P13</f>
        <v>0</v>
      </c>
      <c r="Q633" s="2942">
        <f>IF(H633="","",P633/($O$626*VLOOKUP(C633,'DCA Underwriting Assumptions'!$J$118:$K$123,2,FALSE)))</f>
        <v>0</v>
      </c>
      <c r="R633" s="2943"/>
      <c r="S633" s="2942"/>
      <c r="T633" s="2944"/>
      <c r="U633" s="2944"/>
      <c r="V633" s="926" t="str">
        <f t="shared" si="3"/>
        <v/>
      </c>
      <c r="W633" s="926">
        <f t="shared" si="4"/>
        <v>3</v>
      </c>
      <c r="X633" s="926" t="str">
        <f t="shared" si="5"/>
        <v/>
      </c>
      <c r="Y633" s="926" t="str">
        <f t="shared" si="6"/>
        <v/>
      </c>
      <c r="Z633" s="926" t="str">
        <f t="shared" si="7"/>
        <v/>
      </c>
      <c r="AA633" s="926" t="str">
        <f t="shared" si="8"/>
        <v/>
      </c>
      <c r="AB633" s="926" t="str">
        <f t="shared" si="9"/>
        <v/>
      </c>
      <c r="AC633" s="926" t="str">
        <f t="shared" si="10"/>
        <v/>
      </c>
      <c r="AD633" s="926" t="str">
        <f t="shared" si="11"/>
        <v/>
      </c>
      <c r="AE633" s="926" t="str">
        <f t="shared" si="12"/>
        <v/>
      </c>
      <c r="AF633" s="926" t="str">
        <f t="shared" si="13"/>
        <v/>
      </c>
      <c r="AG633" s="926" t="str">
        <f t="shared" si="14"/>
        <v/>
      </c>
      <c r="AH633" s="926" t="str">
        <f t="shared" si="15"/>
        <v/>
      </c>
      <c r="AI633" s="926" t="str">
        <f t="shared" si="16"/>
        <v/>
      </c>
      <c r="AJ633" s="926" t="str">
        <f t="shared" si="17"/>
        <v/>
      </c>
      <c r="AK633" s="926" t="str">
        <f t="shared" si="18"/>
        <v/>
      </c>
      <c r="AL633" s="926" t="str">
        <f t="shared" si="19"/>
        <v/>
      </c>
      <c r="AM633" s="926" t="str">
        <f t="shared" si="20"/>
        <v/>
      </c>
      <c r="AN633" s="926" t="str">
        <f t="shared" si="21"/>
        <v/>
      </c>
      <c r="AO633" s="926" t="str">
        <f t="shared" si="22"/>
        <v/>
      </c>
      <c r="AP633" s="926" t="str">
        <f t="shared" si="23"/>
        <v/>
      </c>
      <c r="AQ633" s="926" t="str">
        <f t="shared" si="24"/>
        <v/>
      </c>
      <c r="AR633" s="926" t="str">
        <f t="shared" si="25"/>
        <v/>
      </c>
      <c r="AS633" s="926" t="str">
        <f t="shared" si="26"/>
        <v/>
      </c>
      <c r="AT633" s="926" t="str">
        <f t="shared" si="27"/>
        <v/>
      </c>
      <c r="AU633" s="926" t="str">
        <f t="shared" si="28"/>
        <v/>
      </c>
      <c r="AV633" s="926" t="str">
        <f t="shared" si="29"/>
        <v/>
      </c>
      <c r="AW633" s="926" t="str">
        <f t="shared" si="30"/>
        <v/>
      </c>
      <c r="AX633" s="926" t="str">
        <f t="shared" si="31"/>
        <v/>
      </c>
      <c r="AY633" s="926" t="str">
        <f t="shared" si="32"/>
        <v/>
      </c>
      <c r="AZ633" s="926" t="str">
        <f t="shared" si="33"/>
        <v/>
      </c>
      <c r="BA633" s="926" t="str">
        <f t="shared" si="34"/>
        <v/>
      </c>
      <c r="BB633" s="926" t="str">
        <f t="shared" si="35"/>
        <v/>
      </c>
      <c r="BC633" s="926" t="str">
        <f t="shared" si="36"/>
        <v/>
      </c>
      <c r="BD633" s="926" t="str">
        <f t="shared" si="37"/>
        <v/>
      </c>
      <c r="BE633" s="926" t="str">
        <f t="shared" si="38"/>
        <v/>
      </c>
      <c r="BF633" s="926" t="str">
        <f t="shared" si="39"/>
        <v/>
      </c>
      <c r="BG633" s="926" t="str">
        <f t="shared" si="40"/>
        <v/>
      </c>
      <c r="BH633" s="926" t="str">
        <f t="shared" si="41"/>
        <v/>
      </c>
      <c r="BI633" s="926" t="str">
        <f t="shared" si="42"/>
        <v/>
      </c>
      <c r="BJ633" s="926" t="str">
        <f t="shared" si="43"/>
        <v/>
      </c>
      <c r="BK633" s="926" t="str">
        <f t="shared" si="44"/>
        <v/>
      </c>
      <c r="BL633" s="926" t="str">
        <f t="shared" si="45"/>
        <v/>
      </c>
      <c r="BM633" s="926" t="str">
        <f t="shared" si="46"/>
        <v/>
      </c>
      <c r="BN633" s="926" t="str">
        <f t="shared" si="47"/>
        <v/>
      </c>
      <c r="BO633" s="926" t="str">
        <f t="shared" si="48"/>
        <v/>
      </c>
      <c r="BP633" s="926" t="str">
        <f t="shared" si="49"/>
        <v/>
      </c>
      <c r="BQ633" s="926" t="str">
        <f t="shared" si="50"/>
        <v/>
      </c>
      <c r="BR633" s="926" t="str">
        <f t="shared" si="51"/>
        <v/>
      </c>
      <c r="BS633" s="926" t="str">
        <f t="shared" si="52"/>
        <v/>
      </c>
      <c r="BT633" s="926" t="str">
        <f t="shared" si="53"/>
        <v/>
      </c>
      <c r="BU633" s="926" t="str">
        <f t="shared" si="54"/>
        <v/>
      </c>
      <c r="BV633" s="926" t="str">
        <f t="shared" si="55"/>
        <v/>
      </c>
      <c r="BW633" s="926" t="str">
        <f t="shared" si="56"/>
        <v/>
      </c>
      <c r="BX633" s="926" t="str">
        <f t="shared" si="57"/>
        <v/>
      </c>
      <c r="BY633" s="926" t="str">
        <f t="shared" si="58"/>
        <v/>
      </c>
      <c r="BZ633" s="926">
        <f t="shared" si="59"/>
        <v>1824</v>
      </c>
      <c r="CA633" s="926" t="str">
        <f t="shared" si="60"/>
        <v/>
      </c>
      <c r="CB633" s="926" t="str">
        <f t="shared" si="61"/>
        <v/>
      </c>
      <c r="CC633" s="926" t="str">
        <f t="shared" si="62"/>
        <v/>
      </c>
      <c r="CD633" s="926" t="str">
        <f t="shared" si="63"/>
        <v/>
      </c>
      <c r="CE633" s="926" t="str">
        <f t="shared" si="64"/>
        <v/>
      </c>
      <c r="CF633" s="926" t="str">
        <f t="shared" si="65"/>
        <v/>
      </c>
      <c r="CG633" s="926" t="str">
        <f t="shared" si="66"/>
        <v/>
      </c>
      <c r="CH633" s="926" t="str">
        <f t="shared" si="67"/>
        <v/>
      </c>
      <c r="CI633" s="926" t="str">
        <f t="shared" si="68"/>
        <v/>
      </c>
      <c r="CJ633" s="926" t="str">
        <f t="shared" si="69"/>
        <v/>
      </c>
      <c r="CK633" s="926" t="str">
        <f t="shared" si="70"/>
        <v/>
      </c>
      <c r="CL633" s="926" t="str">
        <f t="shared" si="71"/>
        <v/>
      </c>
      <c r="CM633" s="926" t="str">
        <f t="shared" si="72"/>
        <v/>
      </c>
      <c r="CN633" s="926" t="str">
        <f t="shared" si="73"/>
        <v/>
      </c>
      <c r="CO633" s="926" t="str">
        <f t="shared" si="74"/>
        <v/>
      </c>
      <c r="CP633" s="926" t="str">
        <f t="shared" si="75"/>
        <v/>
      </c>
      <c r="CQ633" s="926" t="str">
        <f t="shared" si="76"/>
        <v/>
      </c>
      <c r="CR633" s="926" t="str">
        <f t="shared" si="77"/>
        <v/>
      </c>
      <c r="CS633" s="926" t="str">
        <f t="shared" si="78"/>
        <v/>
      </c>
      <c r="CT633" s="926" t="str">
        <f t="shared" si="79"/>
        <v/>
      </c>
      <c r="CU633" s="926" t="str">
        <f t="shared" si="80"/>
        <v/>
      </c>
      <c r="CV633" s="926" t="str">
        <f t="shared" si="81"/>
        <v/>
      </c>
      <c r="CW633" s="926" t="str">
        <f t="shared" si="82"/>
        <v/>
      </c>
      <c r="CX633" s="926" t="str">
        <f t="shared" si="83"/>
        <v/>
      </c>
      <c r="CY633" s="926" t="str">
        <f t="shared" si="84"/>
        <v/>
      </c>
      <c r="CZ633" s="926" t="str">
        <f t="shared" si="85"/>
        <v/>
      </c>
      <c r="DA633" s="926" t="str">
        <f t="shared" si="86"/>
        <v/>
      </c>
      <c r="DB633" s="926" t="str">
        <f t="shared" si="87"/>
        <v/>
      </c>
      <c r="DC633" s="926" t="str">
        <f t="shared" si="88"/>
        <v/>
      </c>
      <c r="DD633" s="926" t="str">
        <f t="shared" si="89"/>
        <v/>
      </c>
      <c r="DE633" s="926" t="str">
        <f t="shared" si="90"/>
        <v/>
      </c>
      <c r="DF633" s="926" t="str">
        <f t="shared" si="91"/>
        <v/>
      </c>
      <c r="DG633" s="926" t="str">
        <f t="shared" si="92"/>
        <v/>
      </c>
      <c r="DH633" s="926" t="str">
        <f t="shared" si="93"/>
        <v/>
      </c>
      <c r="DI633" s="926" t="str">
        <f t="shared" si="94"/>
        <v/>
      </c>
      <c r="DJ633" s="926" t="str">
        <f t="shared" si="95"/>
        <v/>
      </c>
      <c r="DK633" s="926" t="str">
        <f t="shared" si="96"/>
        <v/>
      </c>
      <c r="DL633" s="926" t="str">
        <f t="shared" si="97"/>
        <v/>
      </c>
      <c r="DM633" s="926" t="str">
        <f t="shared" si="98"/>
        <v/>
      </c>
      <c r="DN633" s="926" t="str">
        <f t="shared" si="99"/>
        <v/>
      </c>
      <c r="DO633" s="926" t="str">
        <f t="shared" si="100"/>
        <v/>
      </c>
      <c r="DP633" s="926" t="str">
        <f t="shared" si="101"/>
        <v/>
      </c>
      <c r="DQ633" s="926" t="str">
        <f t="shared" si="102"/>
        <v/>
      </c>
      <c r="DR633" s="926" t="str">
        <f t="shared" si="103"/>
        <v/>
      </c>
      <c r="DS633" s="926">
        <f t="shared" si="104"/>
        <v>3</v>
      </c>
      <c r="DT633" s="926" t="str">
        <f t="shared" si="105"/>
        <v/>
      </c>
      <c r="DU633" s="926" t="str">
        <f t="shared" si="106"/>
        <v/>
      </c>
      <c r="DV633" s="926" t="str">
        <f t="shared" si="107"/>
        <v/>
      </c>
      <c r="DW633" s="926" t="str">
        <f t="shared" si="108"/>
        <v/>
      </c>
      <c r="DX633" s="926" t="str">
        <f t="shared" si="109"/>
        <v/>
      </c>
      <c r="DY633" s="926" t="str">
        <f t="shared" si="110"/>
        <v/>
      </c>
      <c r="DZ633" s="926" t="str">
        <f t="shared" si="111"/>
        <v/>
      </c>
      <c r="EA633" s="926" t="str">
        <f t="shared" si="112"/>
        <v/>
      </c>
      <c r="EB633" s="926" t="str">
        <f t="shared" si="113"/>
        <v/>
      </c>
      <c r="EC633" s="926" t="str">
        <f t="shared" si="114"/>
        <v/>
      </c>
      <c r="ED633" s="926" t="str">
        <f t="shared" si="115"/>
        <v/>
      </c>
      <c r="EE633" s="926" t="str">
        <f t="shared" si="116"/>
        <v/>
      </c>
      <c r="EF633" s="926" t="str">
        <f t="shared" si="117"/>
        <v/>
      </c>
      <c r="EG633" s="926" t="str">
        <f t="shared" si="118"/>
        <v/>
      </c>
      <c r="EH633" s="926" t="str">
        <f t="shared" si="119"/>
        <v/>
      </c>
      <c r="EI633" s="926" t="str">
        <f t="shared" si="120"/>
        <v/>
      </c>
      <c r="EJ633" s="926" t="str">
        <f t="shared" si="121"/>
        <v/>
      </c>
      <c r="EK633" s="926" t="str">
        <f t="shared" si="122"/>
        <v/>
      </c>
      <c r="EL633" s="926" t="str">
        <f t="shared" si="123"/>
        <v/>
      </c>
      <c r="EM633" s="926" t="str">
        <f t="shared" si="124"/>
        <v/>
      </c>
      <c r="EN633" s="926" t="str">
        <f t="shared" si="125"/>
        <v/>
      </c>
      <c r="EO633" s="926" t="str">
        <f t="shared" si="126"/>
        <v/>
      </c>
      <c r="EP633" s="926" t="str">
        <f t="shared" si="127"/>
        <v/>
      </c>
      <c r="EQ633" s="926" t="str">
        <f t="shared" si="128"/>
        <v/>
      </c>
      <c r="ER633" s="926" t="str">
        <f t="shared" si="129"/>
        <v/>
      </c>
      <c r="ES633" s="926" t="str">
        <f t="shared" si="130"/>
        <v/>
      </c>
      <c r="ET633" s="926" t="str">
        <f t="shared" si="131"/>
        <v/>
      </c>
      <c r="EU633" s="926" t="str">
        <f t="shared" si="132"/>
        <v/>
      </c>
      <c r="EV633" s="2945" t="str">
        <f t="shared" si="133"/>
        <v/>
      </c>
      <c r="EW633" s="2945">
        <f t="shared" si="134"/>
        <v>3</v>
      </c>
      <c r="EX633" s="2945" t="str">
        <f t="shared" si="135"/>
        <v/>
      </c>
      <c r="EY633" s="2945" t="str">
        <f t="shared" si="136"/>
        <v/>
      </c>
      <c r="EZ633" s="2945" t="str">
        <f t="shared" si="137"/>
        <v/>
      </c>
      <c r="FA633" s="2945" t="str">
        <f t="shared" si="138"/>
        <v/>
      </c>
      <c r="FB633" s="2945" t="str">
        <f t="shared" si="139"/>
        <v/>
      </c>
      <c r="FC633" s="2945" t="str">
        <f t="shared" si="140"/>
        <v/>
      </c>
      <c r="FD633" s="2945" t="str">
        <f t="shared" si="141"/>
        <v/>
      </c>
      <c r="FE633" s="2945" t="str">
        <f t="shared" si="142"/>
        <v/>
      </c>
      <c r="FF633" s="2945" t="str">
        <f t="shared" si="143"/>
        <v/>
      </c>
      <c r="FG633" s="2945" t="str">
        <f t="shared" si="144"/>
        <v/>
      </c>
      <c r="FH633" s="2945" t="str">
        <f t="shared" si="145"/>
        <v/>
      </c>
      <c r="FI633" s="2945" t="str">
        <f t="shared" si="146"/>
        <v/>
      </c>
      <c r="FJ633" s="2945" t="str">
        <f t="shared" si="147"/>
        <v/>
      </c>
      <c r="FK633" s="2945" t="str">
        <f t="shared" si="148"/>
        <v/>
      </c>
      <c r="FL633" s="2945" t="str">
        <f t="shared" si="149"/>
        <v/>
      </c>
      <c r="FM633" s="2945" t="str">
        <f t="shared" si="150"/>
        <v/>
      </c>
      <c r="FN633" s="2945" t="str">
        <f t="shared" si="151"/>
        <v/>
      </c>
      <c r="FO633" s="2945" t="str">
        <f t="shared" si="152"/>
        <v/>
      </c>
      <c r="FP633" s="2945" t="str">
        <f t="shared" si="153"/>
        <v/>
      </c>
      <c r="FQ633" s="2945" t="str">
        <f t="shared" si="154"/>
        <v/>
      </c>
      <c r="FR633" s="2945" t="str">
        <f t="shared" si="155"/>
        <v/>
      </c>
      <c r="FS633" s="2945" t="str">
        <f t="shared" si="156"/>
        <v/>
      </c>
      <c r="FT633" s="2945" t="str">
        <f t="shared" si="157"/>
        <v/>
      </c>
      <c r="FU633" s="2945" t="str">
        <f t="shared" si="158"/>
        <v/>
      </c>
      <c r="FV633" s="2945" t="str">
        <f t="shared" si="159"/>
        <v/>
      </c>
      <c r="FW633" s="2945" t="str">
        <f t="shared" si="160"/>
        <v/>
      </c>
      <c r="FX633" s="2945" t="str">
        <f t="shared" si="161"/>
        <v/>
      </c>
      <c r="FY633" s="2945" t="str">
        <f t="shared" si="162"/>
        <v/>
      </c>
      <c r="FZ633" s="2945" t="str">
        <f t="shared" si="163"/>
        <v/>
      </c>
      <c r="GA633" s="2945" t="str">
        <f t="shared" si="164"/>
        <v/>
      </c>
      <c r="GB633" s="2945" t="str">
        <f t="shared" si="165"/>
        <v/>
      </c>
      <c r="GC633" s="2945" t="str">
        <f t="shared" si="166"/>
        <v/>
      </c>
      <c r="GD633" s="2945" t="str">
        <f t="shared" si="167"/>
        <v/>
      </c>
      <c r="GE633" s="2945" t="str">
        <f t="shared" si="168"/>
        <v/>
      </c>
      <c r="GF633" s="2945" t="str">
        <f t="shared" si="169"/>
        <v/>
      </c>
      <c r="GG633" s="2945" t="str">
        <f t="shared" si="170"/>
        <v/>
      </c>
      <c r="GH633" s="2945" t="str">
        <f t="shared" si="171"/>
        <v/>
      </c>
      <c r="GI633" s="2945" t="str">
        <f t="shared" si="172"/>
        <v/>
      </c>
      <c r="GJ633" s="2945" t="str">
        <f t="shared" si="173"/>
        <v/>
      </c>
      <c r="GK633" s="2945" t="str">
        <f t="shared" si="174"/>
        <v/>
      </c>
      <c r="GL633" s="2945" t="str">
        <f t="shared" si="175"/>
        <v/>
      </c>
      <c r="GM633" s="2945" t="str">
        <f t="shared" si="176"/>
        <v/>
      </c>
      <c r="GN633" s="2945" t="str">
        <f t="shared" si="177"/>
        <v/>
      </c>
      <c r="GO633" s="2945" t="str">
        <f t="shared" si="178"/>
        <v/>
      </c>
      <c r="GP633" s="2945">
        <f t="shared" si="179"/>
        <v>3</v>
      </c>
      <c r="GQ633" s="2945" t="str">
        <f t="shared" si="180"/>
        <v/>
      </c>
      <c r="GR633" s="2945" t="str">
        <f t="shared" si="181"/>
        <v/>
      </c>
      <c r="GS633" s="2945" t="str">
        <f t="shared" si="182"/>
        <v/>
      </c>
      <c r="GT633" s="2945" t="str">
        <f t="shared" si="183"/>
        <v/>
      </c>
      <c r="GU633" s="2945" t="str">
        <f t="shared" si="184"/>
        <v/>
      </c>
      <c r="GV633" s="2945" t="str">
        <f t="shared" si="185"/>
        <v/>
      </c>
      <c r="GW633" s="2945" t="str">
        <f t="shared" si="186"/>
        <v/>
      </c>
      <c r="GX633" s="2945" t="str">
        <f t="shared" si="187"/>
        <v/>
      </c>
      <c r="GY633" s="2945" t="str">
        <f t="shared" si="188"/>
        <v/>
      </c>
      <c r="GZ633" s="2945" t="str">
        <f t="shared" si="189"/>
        <v/>
      </c>
      <c r="HA633" s="2945" t="str">
        <f t="shared" si="190"/>
        <v/>
      </c>
      <c r="HB633" s="2945" t="str">
        <f t="shared" si="191"/>
        <v/>
      </c>
      <c r="HC633" s="2945" t="str">
        <f t="shared" si="192"/>
        <v/>
      </c>
      <c r="HD633" s="2945" t="str">
        <f t="shared" si="193"/>
        <v/>
      </c>
      <c r="HE633" s="2945" t="str">
        <f t="shared" si="194"/>
        <v/>
      </c>
      <c r="HF633" s="2945" t="str">
        <f t="shared" si="195"/>
        <v/>
      </c>
      <c r="HG633" s="2945" t="str">
        <f t="shared" si="196"/>
        <v/>
      </c>
      <c r="HH633" s="2945" t="str">
        <f t="shared" si="197"/>
        <v/>
      </c>
      <c r="HI633" s="2945" t="str">
        <f t="shared" si="198"/>
        <v/>
      </c>
      <c r="HJ633" s="2945" t="str">
        <f t="shared" si="199"/>
        <v/>
      </c>
      <c r="HK633" s="2945" t="str">
        <f t="shared" si="200"/>
        <v/>
      </c>
      <c r="HL633" s="2945" t="str">
        <f t="shared" si="201"/>
        <v/>
      </c>
      <c r="HM633" s="2945" t="str">
        <f t="shared" si="202"/>
        <v/>
      </c>
      <c r="HN633" s="2945" t="str">
        <f t="shared" si="203"/>
        <v/>
      </c>
      <c r="HO633" s="2945" t="str">
        <f t="shared" si="204"/>
        <v/>
      </c>
      <c r="HP633" s="2945" t="str">
        <f t="shared" si="205"/>
        <v/>
      </c>
      <c r="HQ633" s="2945" t="str">
        <f t="shared" si="206"/>
        <v/>
      </c>
      <c r="HR633" s="2945" t="str">
        <f t="shared" si="207"/>
        <v/>
      </c>
      <c r="HS633" s="2945" t="str">
        <f t="shared" si="208"/>
        <v/>
      </c>
      <c r="HT633" s="2945" t="str">
        <f t="shared" si="209"/>
        <v/>
      </c>
      <c r="HU633" s="2945" t="str">
        <f t="shared" si="210"/>
        <v/>
      </c>
      <c r="HV633" s="2945" t="str">
        <f t="shared" si="211"/>
        <v/>
      </c>
      <c r="HW633" s="2945" t="str">
        <f t="shared" si="212"/>
        <v/>
      </c>
      <c r="HX633" s="2945" t="str">
        <f t="shared" si="213"/>
        <v/>
      </c>
      <c r="HY633" s="2945" t="str">
        <f t="shared" si="214"/>
        <v/>
      </c>
      <c r="HZ633" s="2945" t="str">
        <f t="shared" si="215"/>
        <v/>
      </c>
      <c r="IA633" s="2945" t="str">
        <f t="shared" si="216"/>
        <v/>
      </c>
      <c r="IB633" s="2945" t="str">
        <f t="shared" si="217"/>
        <v/>
      </c>
      <c r="IC633" s="2911" t="str">
        <f t="shared" si="218"/>
        <v/>
      </c>
      <c r="ID633" s="2911" t="str">
        <f t="shared" si="219"/>
        <v/>
      </c>
      <c r="IE633" s="2911" t="str">
        <f t="shared" si="220"/>
        <v/>
      </c>
      <c r="IF633" s="2911" t="str">
        <f t="shared" si="221"/>
        <v/>
      </c>
      <c r="IG633" s="2911" t="str">
        <f t="shared" si="222"/>
        <v/>
      </c>
      <c r="IH633" s="926" t="str">
        <f t="shared" si="223"/>
        <v/>
      </c>
      <c r="II633" s="926" t="str">
        <f t="shared" si="224"/>
        <v/>
      </c>
      <c r="IJ633" s="926" t="str">
        <f t="shared" si="225"/>
        <v/>
      </c>
      <c r="IK633" s="926" t="str">
        <f t="shared" si="226"/>
        <v/>
      </c>
      <c r="IL633" s="926" t="str">
        <f t="shared" si="227"/>
        <v/>
      </c>
      <c r="IM633" s="926" t="str">
        <f t="shared" si="228"/>
        <v/>
      </c>
      <c r="IN633" s="926" t="str">
        <f t="shared" si="229"/>
        <v/>
      </c>
      <c r="IO633" s="926" t="str">
        <f t="shared" si="230"/>
        <v/>
      </c>
      <c r="IP633" s="926" t="str">
        <f t="shared" si="231"/>
        <v/>
      </c>
      <c r="IQ633" s="926" t="str">
        <f t="shared" si="232"/>
        <v/>
      </c>
      <c r="IR633" s="926" t="str">
        <f t="shared" si="233"/>
        <v/>
      </c>
      <c r="IS633" s="926" t="str">
        <f t="shared" si="234"/>
        <v/>
      </c>
      <c r="IT633" s="926" t="str">
        <f t="shared" si="235"/>
        <v/>
      </c>
      <c r="IU633" s="926" t="str">
        <f t="shared" si="236"/>
        <v/>
      </c>
      <c r="IV633" s="926" t="str">
        <f t="shared" si="237"/>
        <v/>
      </c>
      <c r="IW633" s="926" t="str">
        <f t="shared" si="238"/>
        <v/>
      </c>
      <c r="IX633" s="926" t="str">
        <f t="shared" si="239"/>
        <v/>
      </c>
      <c r="IY633" s="926" t="str">
        <f t="shared" si="240"/>
        <v/>
      </c>
      <c r="IZ633" s="926" t="str">
        <f t="shared" si="241"/>
        <v/>
      </c>
      <c r="JA633" s="926" t="str">
        <f t="shared" si="242"/>
        <v/>
      </c>
      <c r="JB633" s="2909">
        <f t="shared" si="243"/>
        <v>0</v>
      </c>
      <c r="JC633" s="2909">
        <f t="shared" si="244"/>
        <v>3</v>
      </c>
      <c r="JD633" s="2909">
        <f t="shared" si="245"/>
        <v>0</v>
      </c>
      <c r="JE633" s="2909">
        <f t="shared" si="246"/>
        <v>0</v>
      </c>
      <c r="JF633" s="2909">
        <f t="shared" si="247"/>
        <v>0</v>
      </c>
      <c r="JG633" s="2909">
        <f t="shared" si="248"/>
        <v>0</v>
      </c>
      <c r="JH633" s="2909">
        <f t="shared" si="249"/>
        <v>0</v>
      </c>
      <c r="JI633" s="2909">
        <f t="shared" si="250"/>
        <v>0</v>
      </c>
      <c r="JJ633" s="2909">
        <f t="shared" si="251"/>
        <v>0</v>
      </c>
      <c r="JK633" s="2909">
        <f t="shared" si="252"/>
        <v>0</v>
      </c>
      <c r="JL633" s="2909">
        <f t="shared" si="253"/>
        <v>0</v>
      </c>
      <c r="JM633" s="2909">
        <f t="shared" si="254"/>
        <v>0</v>
      </c>
      <c r="JN633" s="2909">
        <f t="shared" si="255"/>
        <v>0</v>
      </c>
      <c r="JO633" s="2909">
        <f t="shared" si="256"/>
        <v>0</v>
      </c>
      <c r="JP633" s="2909">
        <f t="shared" si="257"/>
        <v>0</v>
      </c>
    </row>
    <row r="634" spans="1:276" ht="12" customHeight="1">
      <c r="A634" s="2924" t="str">
        <f t="shared" si="0"/>
        <v/>
      </c>
      <c r="B634" s="2936" t="str">
        <f>'Part VI-Revenues &amp; Expenses'!B14</f>
        <v>60% AMI</v>
      </c>
      <c r="C634" s="2937">
        <f>'Part VI-Revenues &amp; Expenses'!C14</f>
        <v>2</v>
      </c>
      <c r="D634" s="2938">
        <f>'Part VI-Revenues &amp; Expenses'!D14</f>
        <v>2</v>
      </c>
      <c r="E634" s="2939">
        <f>'Part VI-Revenues &amp; Expenses'!E14</f>
        <v>24</v>
      </c>
      <c r="F634" s="2939">
        <f>'Part VI-Revenues &amp; Expenses'!F14</f>
        <v>837</v>
      </c>
      <c r="G634" s="2939">
        <f>'Part VI-Revenues &amp; Expenses'!G14</f>
        <v>658</v>
      </c>
      <c r="H634" s="2939">
        <f>'Part VI-Revenues &amp; Expenses'!H14</f>
        <v>529</v>
      </c>
      <c r="I634" s="2939">
        <f>'Part VI-Revenues &amp; Expenses'!I14</f>
        <v>129</v>
      </c>
      <c r="J634" s="2940">
        <f>'Part VI-Revenues &amp; Expenses'!J14</f>
        <v>0</v>
      </c>
      <c r="K634" s="2941">
        <f t="shared" si="1"/>
        <v>400</v>
      </c>
      <c r="L634" s="2941">
        <f t="shared" si="2"/>
        <v>9600</v>
      </c>
      <c r="M634" s="2918" t="str">
        <f>'Part VI-Revenues &amp; Expenses'!M14</f>
        <v>No</v>
      </c>
      <c r="N634" s="2918" t="str">
        <f>'Part VI-Revenues &amp; Expenses'!N14</f>
        <v>Townhome</v>
      </c>
      <c r="O634" s="2918" t="str">
        <f>'Part VI-Revenues &amp; Expenses'!O14</f>
        <v>Acquisition/Rehab</v>
      </c>
      <c r="P634" s="2918">
        <f>'Part VI-Revenues &amp; Expenses'!P14</f>
        <v>0</v>
      </c>
      <c r="Q634" s="2942">
        <f>IF(H634="","",P634/($O$626*VLOOKUP(C634,'DCA Underwriting Assumptions'!$J$118:$K$123,2,FALSE)))</f>
        <v>0</v>
      </c>
      <c r="R634" s="2943"/>
      <c r="S634" s="2942"/>
      <c r="T634" s="2944"/>
      <c r="U634" s="2944"/>
      <c r="V634" s="926" t="str">
        <f t="shared" si="3"/>
        <v/>
      </c>
      <c r="W634" s="926" t="str">
        <f t="shared" si="4"/>
        <v/>
      </c>
      <c r="X634" s="926">
        <f t="shared" si="5"/>
        <v>24</v>
      </c>
      <c r="Y634" s="926" t="str">
        <f t="shared" si="6"/>
        <v/>
      </c>
      <c r="Z634" s="926" t="str">
        <f t="shared" si="7"/>
        <v/>
      </c>
      <c r="AA634" s="926" t="str">
        <f t="shared" si="8"/>
        <v/>
      </c>
      <c r="AB634" s="926" t="str">
        <f t="shared" si="9"/>
        <v/>
      </c>
      <c r="AC634" s="926" t="str">
        <f t="shared" si="10"/>
        <v/>
      </c>
      <c r="AD634" s="926" t="str">
        <f t="shared" si="11"/>
        <v/>
      </c>
      <c r="AE634" s="926" t="str">
        <f t="shared" si="12"/>
        <v/>
      </c>
      <c r="AF634" s="926" t="str">
        <f t="shared" si="13"/>
        <v/>
      </c>
      <c r="AG634" s="926" t="str">
        <f t="shared" si="14"/>
        <v/>
      </c>
      <c r="AH634" s="926" t="str">
        <f t="shared" si="15"/>
        <v/>
      </c>
      <c r="AI634" s="926" t="str">
        <f t="shared" si="16"/>
        <v/>
      </c>
      <c r="AJ634" s="926" t="str">
        <f t="shared" si="17"/>
        <v/>
      </c>
      <c r="AK634" s="926" t="str">
        <f t="shared" si="18"/>
        <v/>
      </c>
      <c r="AL634" s="926" t="str">
        <f t="shared" si="19"/>
        <v/>
      </c>
      <c r="AM634" s="926" t="str">
        <f t="shared" si="20"/>
        <v/>
      </c>
      <c r="AN634" s="926" t="str">
        <f t="shared" si="21"/>
        <v/>
      </c>
      <c r="AO634" s="926" t="str">
        <f t="shared" si="22"/>
        <v/>
      </c>
      <c r="AP634" s="926" t="str">
        <f t="shared" si="23"/>
        <v/>
      </c>
      <c r="AQ634" s="926" t="str">
        <f t="shared" si="24"/>
        <v/>
      </c>
      <c r="AR634" s="926" t="str">
        <f t="shared" si="25"/>
        <v/>
      </c>
      <c r="AS634" s="926" t="str">
        <f t="shared" si="26"/>
        <v/>
      </c>
      <c r="AT634" s="926" t="str">
        <f t="shared" si="27"/>
        <v/>
      </c>
      <c r="AU634" s="926" t="str">
        <f t="shared" si="28"/>
        <v/>
      </c>
      <c r="AV634" s="926" t="str">
        <f t="shared" si="29"/>
        <v/>
      </c>
      <c r="AW634" s="926" t="str">
        <f t="shared" si="30"/>
        <v/>
      </c>
      <c r="AX634" s="926" t="str">
        <f t="shared" si="31"/>
        <v/>
      </c>
      <c r="AY634" s="926" t="str">
        <f t="shared" si="32"/>
        <v/>
      </c>
      <c r="AZ634" s="926" t="str">
        <f t="shared" si="33"/>
        <v/>
      </c>
      <c r="BA634" s="926" t="str">
        <f t="shared" si="34"/>
        <v/>
      </c>
      <c r="BB634" s="926" t="str">
        <f t="shared" si="35"/>
        <v/>
      </c>
      <c r="BC634" s="926" t="str">
        <f t="shared" si="36"/>
        <v/>
      </c>
      <c r="BD634" s="926" t="str">
        <f t="shared" si="37"/>
        <v/>
      </c>
      <c r="BE634" s="926" t="str">
        <f t="shared" si="38"/>
        <v/>
      </c>
      <c r="BF634" s="926" t="str">
        <f t="shared" si="39"/>
        <v/>
      </c>
      <c r="BG634" s="926" t="str">
        <f t="shared" si="40"/>
        <v/>
      </c>
      <c r="BH634" s="926" t="str">
        <f t="shared" si="41"/>
        <v/>
      </c>
      <c r="BI634" s="926" t="str">
        <f t="shared" si="42"/>
        <v/>
      </c>
      <c r="BJ634" s="926" t="str">
        <f t="shared" si="43"/>
        <v/>
      </c>
      <c r="BK634" s="926" t="str">
        <f t="shared" si="44"/>
        <v/>
      </c>
      <c r="BL634" s="926" t="str">
        <f t="shared" si="45"/>
        <v/>
      </c>
      <c r="BM634" s="926" t="str">
        <f t="shared" si="46"/>
        <v/>
      </c>
      <c r="BN634" s="926" t="str">
        <f t="shared" si="47"/>
        <v/>
      </c>
      <c r="BO634" s="926" t="str">
        <f t="shared" si="48"/>
        <v/>
      </c>
      <c r="BP634" s="926" t="str">
        <f t="shared" si="49"/>
        <v/>
      </c>
      <c r="BQ634" s="926" t="str">
        <f t="shared" si="50"/>
        <v/>
      </c>
      <c r="BR634" s="926" t="str">
        <f t="shared" si="51"/>
        <v/>
      </c>
      <c r="BS634" s="926" t="str">
        <f t="shared" si="52"/>
        <v/>
      </c>
      <c r="BT634" s="926" t="str">
        <f t="shared" si="53"/>
        <v/>
      </c>
      <c r="BU634" s="926" t="str">
        <f t="shared" si="54"/>
        <v/>
      </c>
      <c r="BV634" s="926" t="str">
        <f t="shared" si="55"/>
        <v/>
      </c>
      <c r="BW634" s="926" t="str">
        <f t="shared" si="56"/>
        <v/>
      </c>
      <c r="BX634" s="926" t="str">
        <f t="shared" si="57"/>
        <v/>
      </c>
      <c r="BY634" s="926" t="str">
        <f t="shared" si="58"/>
        <v/>
      </c>
      <c r="BZ634" s="926" t="str">
        <f t="shared" si="59"/>
        <v/>
      </c>
      <c r="CA634" s="926">
        <f t="shared" si="60"/>
        <v>20088</v>
      </c>
      <c r="CB634" s="926" t="str">
        <f t="shared" si="61"/>
        <v/>
      </c>
      <c r="CC634" s="926" t="str">
        <f t="shared" si="62"/>
        <v/>
      </c>
      <c r="CD634" s="926" t="str">
        <f t="shared" si="63"/>
        <v/>
      </c>
      <c r="CE634" s="926" t="str">
        <f t="shared" si="64"/>
        <v/>
      </c>
      <c r="CF634" s="926" t="str">
        <f t="shared" si="65"/>
        <v/>
      </c>
      <c r="CG634" s="926" t="str">
        <f t="shared" si="66"/>
        <v/>
      </c>
      <c r="CH634" s="926" t="str">
        <f t="shared" si="67"/>
        <v/>
      </c>
      <c r="CI634" s="926" t="str">
        <f t="shared" si="68"/>
        <v/>
      </c>
      <c r="CJ634" s="926" t="str">
        <f t="shared" si="69"/>
        <v/>
      </c>
      <c r="CK634" s="926" t="str">
        <f t="shared" si="70"/>
        <v/>
      </c>
      <c r="CL634" s="926" t="str">
        <f t="shared" si="71"/>
        <v/>
      </c>
      <c r="CM634" s="926" t="str">
        <f t="shared" si="72"/>
        <v/>
      </c>
      <c r="CN634" s="926" t="str">
        <f t="shared" si="73"/>
        <v/>
      </c>
      <c r="CO634" s="926" t="str">
        <f t="shared" si="74"/>
        <v/>
      </c>
      <c r="CP634" s="926" t="str">
        <f t="shared" si="75"/>
        <v/>
      </c>
      <c r="CQ634" s="926" t="str">
        <f t="shared" si="76"/>
        <v/>
      </c>
      <c r="CR634" s="926" t="str">
        <f t="shared" si="77"/>
        <v/>
      </c>
      <c r="CS634" s="926" t="str">
        <f t="shared" si="78"/>
        <v/>
      </c>
      <c r="CT634" s="926" t="str">
        <f t="shared" si="79"/>
        <v/>
      </c>
      <c r="CU634" s="926" t="str">
        <f t="shared" si="80"/>
        <v/>
      </c>
      <c r="CV634" s="926" t="str">
        <f t="shared" si="81"/>
        <v/>
      </c>
      <c r="CW634" s="926" t="str">
        <f t="shared" si="82"/>
        <v/>
      </c>
      <c r="CX634" s="926" t="str">
        <f t="shared" si="83"/>
        <v/>
      </c>
      <c r="CY634" s="926" t="str">
        <f t="shared" si="84"/>
        <v/>
      </c>
      <c r="CZ634" s="926" t="str">
        <f t="shared" si="85"/>
        <v/>
      </c>
      <c r="DA634" s="926" t="str">
        <f t="shared" si="86"/>
        <v/>
      </c>
      <c r="DB634" s="926" t="str">
        <f t="shared" si="87"/>
        <v/>
      </c>
      <c r="DC634" s="926" t="str">
        <f t="shared" si="88"/>
        <v/>
      </c>
      <c r="DD634" s="926" t="str">
        <f t="shared" si="89"/>
        <v/>
      </c>
      <c r="DE634" s="926" t="str">
        <f t="shared" si="90"/>
        <v/>
      </c>
      <c r="DF634" s="926" t="str">
        <f t="shared" si="91"/>
        <v/>
      </c>
      <c r="DG634" s="926" t="str">
        <f t="shared" si="92"/>
        <v/>
      </c>
      <c r="DH634" s="926" t="str">
        <f t="shared" si="93"/>
        <v/>
      </c>
      <c r="DI634" s="926" t="str">
        <f t="shared" si="94"/>
        <v/>
      </c>
      <c r="DJ634" s="926" t="str">
        <f t="shared" si="95"/>
        <v/>
      </c>
      <c r="DK634" s="926" t="str">
        <f t="shared" si="96"/>
        <v/>
      </c>
      <c r="DL634" s="926" t="str">
        <f t="shared" si="97"/>
        <v/>
      </c>
      <c r="DM634" s="926" t="str">
        <f t="shared" si="98"/>
        <v/>
      </c>
      <c r="DN634" s="926" t="str">
        <f t="shared" si="99"/>
        <v/>
      </c>
      <c r="DO634" s="926" t="str">
        <f t="shared" si="100"/>
        <v/>
      </c>
      <c r="DP634" s="926" t="str">
        <f t="shared" si="101"/>
        <v/>
      </c>
      <c r="DQ634" s="926" t="str">
        <f t="shared" si="102"/>
        <v/>
      </c>
      <c r="DR634" s="926" t="str">
        <f t="shared" si="103"/>
        <v/>
      </c>
      <c r="DS634" s="926" t="str">
        <f t="shared" si="104"/>
        <v/>
      </c>
      <c r="DT634" s="926">
        <f t="shared" si="105"/>
        <v>24</v>
      </c>
      <c r="DU634" s="926" t="str">
        <f t="shared" si="106"/>
        <v/>
      </c>
      <c r="DV634" s="926" t="str">
        <f t="shared" si="107"/>
        <v/>
      </c>
      <c r="DW634" s="926" t="str">
        <f t="shared" si="108"/>
        <v/>
      </c>
      <c r="DX634" s="926" t="str">
        <f t="shared" si="109"/>
        <v/>
      </c>
      <c r="DY634" s="926" t="str">
        <f t="shared" si="110"/>
        <v/>
      </c>
      <c r="DZ634" s="926" t="str">
        <f t="shared" si="111"/>
        <v/>
      </c>
      <c r="EA634" s="926" t="str">
        <f t="shared" si="112"/>
        <v/>
      </c>
      <c r="EB634" s="926" t="str">
        <f t="shared" si="113"/>
        <v/>
      </c>
      <c r="EC634" s="926" t="str">
        <f t="shared" si="114"/>
        <v/>
      </c>
      <c r="ED634" s="926" t="str">
        <f t="shared" si="115"/>
        <v/>
      </c>
      <c r="EE634" s="926" t="str">
        <f t="shared" si="116"/>
        <v/>
      </c>
      <c r="EF634" s="926" t="str">
        <f t="shared" si="117"/>
        <v/>
      </c>
      <c r="EG634" s="926" t="str">
        <f t="shared" si="118"/>
        <v/>
      </c>
      <c r="EH634" s="926" t="str">
        <f t="shared" si="119"/>
        <v/>
      </c>
      <c r="EI634" s="926" t="str">
        <f t="shared" si="120"/>
        <v/>
      </c>
      <c r="EJ634" s="926" t="str">
        <f t="shared" si="121"/>
        <v/>
      </c>
      <c r="EK634" s="926" t="str">
        <f t="shared" si="122"/>
        <v/>
      </c>
      <c r="EL634" s="926" t="str">
        <f t="shared" si="123"/>
        <v/>
      </c>
      <c r="EM634" s="926" t="str">
        <f t="shared" si="124"/>
        <v/>
      </c>
      <c r="EN634" s="926" t="str">
        <f t="shared" si="125"/>
        <v/>
      </c>
      <c r="EO634" s="926" t="str">
        <f t="shared" si="126"/>
        <v/>
      </c>
      <c r="EP634" s="926" t="str">
        <f t="shared" si="127"/>
        <v/>
      </c>
      <c r="EQ634" s="926" t="str">
        <f t="shared" si="128"/>
        <v/>
      </c>
      <c r="ER634" s="926" t="str">
        <f t="shared" si="129"/>
        <v/>
      </c>
      <c r="ES634" s="926" t="str">
        <f t="shared" si="130"/>
        <v/>
      </c>
      <c r="ET634" s="926" t="str">
        <f t="shared" si="131"/>
        <v/>
      </c>
      <c r="EU634" s="926" t="str">
        <f t="shared" si="132"/>
        <v/>
      </c>
      <c r="EV634" s="2945" t="str">
        <f t="shared" si="133"/>
        <v/>
      </c>
      <c r="EW634" s="2945" t="str">
        <f t="shared" si="134"/>
        <v/>
      </c>
      <c r="EX634" s="2945" t="str">
        <f t="shared" si="135"/>
        <v/>
      </c>
      <c r="EY634" s="2945" t="str">
        <f t="shared" si="136"/>
        <v/>
      </c>
      <c r="EZ634" s="2945" t="str">
        <f t="shared" si="137"/>
        <v/>
      </c>
      <c r="FA634" s="2945" t="str">
        <f t="shared" si="138"/>
        <v/>
      </c>
      <c r="FB634" s="2945" t="str">
        <f t="shared" si="139"/>
        <v/>
      </c>
      <c r="FC634" s="2945" t="str">
        <f t="shared" si="140"/>
        <v/>
      </c>
      <c r="FD634" s="2945" t="str">
        <f t="shared" si="141"/>
        <v/>
      </c>
      <c r="FE634" s="2945" t="str">
        <f t="shared" si="142"/>
        <v/>
      </c>
      <c r="FF634" s="2945" t="str">
        <f t="shared" si="143"/>
        <v/>
      </c>
      <c r="FG634" s="2945" t="str">
        <f t="shared" si="144"/>
        <v/>
      </c>
      <c r="FH634" s="2945" t="str">
        <f t="shared" si="145"/>
        <v/>
      </c>
      <c r="FI634" s="2945" t="str">
        <f t="shared" si="146"/>
        <v/>
      </c>
      <c r="FJ634" s="2945" t="str">
        <f t="shared" si="147"/>
        <v/>
      </c>
      <c r="FK634" s="2945" t="str">
        <f t="shared" si="148"/>
        <v/>
      </c>
      <c r="FL634" s="2945" t="str">
        <f t="shared" si="149"/>
        <v/>
      </c>
      <c r="FM634" s="2945" t="str">
        <f t="shared" si="150"/>
        <v/>
      </c>
      <c r="FN634" s="2945" t="str">
        <f t="shared" si="151"/>
        <v/>
      </c>
      <c r="FO634" s="2945" t="str">
        <f t="shared" si="152"/>
        <v/>
      </c>
      <c r="FP634" s="2945" t="str">
        <f t="shared" si="153"/>
        <v/>
      </c>
      <c r="FQ634" s="2945" t="str">
        <f t="shared" si="154"/>
        <v/>
      </c>
      <c r="FR634" s="2945" t="str">
        <f t="shared" si="155"/>
        <v/>
      </c>
      <c r="FS634" s="2945" t="str">
        <f t="shared" si="156"/>
        <v/>
      </c>
      <c r="FT634" s="2945" t="str">
        <f t="shared" si="157"/>
        <v/>
      </c>
      <c r="FU634" s="2945" t="str">
        <f t="shared" si="158"/>
        <v/>
      </c>
      <c r="FV634" s="2945" t="str">
        <f t="shared" si="159"/>
        <v/>
      </c>
      <c r="FW634" s="2945" t="str">
        <f t="shared" si="160"/>
        <v/>
      </c>
      <c r="FX634" s="2945" t="str">
        <f t="shared" si="161"/>
        <v/>
      </c>
      <c r="FY634" s="2945" t="str">
        <f t="shared" si="162"/>
        <v/>
      </c>
      <c r="FZ634" s="2945" t="str">
        <f t="shared" si="163"/>
        <v/>
      </c>
      <c r="GA634" s="2945" t="str">
        <f t="shared" si="164"/>
        <v/>
      </c>
      <c r="GB634" s="2945" t="str">
        <f t="shared" si="165"/>
        <v/>
      </c>
      <c r="GC634" s="2945" t="str">
        <f t="shared" si="166"/>
        <v/>
      </c>
      <c r="GD634" s="2945" t="str">
        <f t="shared" si="167"/>
        <v/>
      </c>
      <c r="GE634" s="2945" t="str">
        <f t="shared" si="168"/>
        <v/>
      </c>
      <c r="GF634" s="2945" t="str">
        <f t="shared" si="169"/>
        <v/>
      </c>
      <c r="GG634" s="2945">
        <f t="shared" si="170"/>
        <v>24</v>
      </c>
      <c r="GH634" s="2945" t="str">
        <f t="shared" si="171"/>
        <v/>
      </c>
      <c r="GI634" s="2945" t="str">
        <f t="shared" si="172"/>
        <v/>
      </c>
      <c r="GJ634" s="2945" t="str">
        <f t="shared" si="173"/>
        <v/>
      </c>
      <c r="GK634" s="2945" t="str">
        <f t="shared" si="174"/>
        <v/>
      </c>
      <c r="GL634" s="2945" t="str">
        <f t="shared" si="175"/>
        <v/>
      </c>
      <c r="GM634" s="2945" t="str">
        <f t="shared" si="176"/>
        <v/>
      </c>
      <c r="GN634" s="2945" t="str">
        <f t="shared" si="177"/>
        <v/>
      </c>
      <c r="GO634" s="2945" t="str">
        <f t="shared" si="178"/>
        <v/>
      </c>
      <c r="GP634" s="2945" t="str">
        <f t="shared" si="179"/>
        <v/>
      </c>
      <c r="GQ634" s="2945" t="str">
        <f t="shared" si="180"/>
        <v/>
      </c>
      <c r="GR634" s="2945" t="str">
        <f t="shared" si="181"/>
        <v/>
      </c>
      <c r="GS634" s="2945" t="str">
        <f t="shared" si="182"/>
        <v/>
      </c>
      <c r="GT634" s="2945" t="str">
        <f t="shared" si="183"/>
        <v/>
      </c>
      <c r="GU634" s="2945" t="str">
        <f t="shared" si="184"/>
        <v/>
      </c>
      <c r="GV634" s="2945" t="str">
        <f t="shared" si="185"/>
        <v/>
      </c>
      <c r="GW634" s="2945" t="str">
        <f t="shared" si="186"/>
        <v/>
      </c>
      <c r="GX634" s="2945" t="str">
        <f t="shared" si="187"/>
        <v/>
      </c>
      <c r="GY634" s="2945" t="str">
        <f t="shared" si="188"/>
        <v/>
      </c>
      <c r="GZ634" s="2945" t="str">
        <f t="shared" si="189"/>
        <v/>
      </c>
      <c r="HA634" s="2945" t="str">
        <f t="shared" si="190"/>
        <v/>
      </c>
      <c r="HB634" s="2945" t="str">
        <f t="shared" si="191"/>
        <v/>
      </c>
      <c r="HC634" s="2945" t="str">
        <f t="shared" si="192"/>
        <v/>
      </c>
      <c r="HD634" s="2945" t="str">
        <f t="shared" si="193"/>
        <v/>
      </c>
      <c r="HE634" s="2945" t="str">
        <f t="shared" si="194"/>
        <v/>
      </c>
      <c r="HF634" s="2945" t="str">
        <f t="shared" si="195"/>
        <v/>
      </c>
      <c r="HG634" s="2945" t="str">
        <f t="shared" si="196"/>
        <v/>
      </c>
      <c r="HH634" s="2945" t="str">
        <f t="shared" si="197"/>
        <v/>
      </c>
      <c r="HI634" s="2945" t="str">
        <f t="shared" si="198"/>
        <v/>
      </c>
      <c r="HJ634" s="2945" t="str">
        <f t="shared" si="199"/>
        <v/>
      </c>
      <c r="HK634" s="2945" t="str">
        <f t="shared" si="200"/>
        <v/>
      </c>
      <c r="HL634" s="2945" t="str">
        <f t="shared" si="201"/>
        <v/>
      </c>
      <c r="HM634" s="2945" t="str">
        <f t="shared" si="202"/>
        <v/>
      </c>
      <c r="HN634" s="2945" t="str">
        <f t="shared" si="203"/>
        <v/>
      </c>
      <c r="HO634" s="2945" t="str">
        <f t="shared" si="204"/>
        <v/>
      </c>
      <c r="HP634" s="2945" t="str">
        <f t="shared" si="205"/>
        <v/>
      </c>
      <c r="HQ634" s="2945" t="str">
        <f t="shared" si="206"/>
        <v/>
      </c>
      <c r="HR634" s="2945" t="str">
        <f t="shared" si="207"/>
        <v/>
      </c>
      <c r="HS634" s="2945" t="str">
        <f t="shared" si="208"/>
        <v/>
      </c>
      <c r="HT634" s="2945" t="str">
        <f t="shared" si="209"/>
        <v/>
      </c>
      <c r="HU634" s="2945" t="str">
        <f t="shared" si="210"/>
        <v/>
      </c>
      <c r="HV634" s="2945" t="str">
        <f t="shared" si="211"/>
        <v/>
      </c>
      <c r="HW634" s="2945" t="str">
        <f t="shared" si="212"/>
        <v/>
      </c>
      <c r="HX634" s="2945" t="str">
        <f t="shared" si="213"/>
        <v/>
      </c>
      <c r="HY634" s="2945" t="str">
        <f t="shared" si="214"/>
        <v/>
      </c>
      <c r="HZ634" s="2945" t="str">
        <f t="shared" si="215"/>
        <v/>
      </c>
      <c r="IA634" s="2945" t="str">
        <f t="shared" si="216"/>
        <v/>
      </c>
      <c r="IB634" s="2945" t="str">
        <f t="shared" si="217"/>
        <v/>
      </c>
      <c r="IC634" s="2911" t="str">
        <f t="shared" si="218"/>
        <v/>
      </c>
      <c r="ID634" s="2911" t="str">
        <f t="shared" si="219"/>
        <v/>
      </c>
      <c r="IE634" s="2911" t="str">
        <f t="shared" si="220"/>
        <v/>
      </c>
      <c r="IF634" s="2911" t="str">
        <f t="shared" si="221"/>
        <v/>
      </c>
      <c r="IG634" s="2911" t="str">
        <f t="shared" si="222"/>
        <v/>
      </c>
      <c r="IH634" s="926" t="str">
        <f t="shared" si="223"/>
        <v/>
      </c>
      <c r="II634" s="926" t="str">
        <f t="shared" si="224"/>
        <v/>
      </c>
      <c r="IJ634" s="926" t="str">
        <f t="shared" si="225"/>
        <v/>
      </c>
      <c r="IK634" s="926" t="str">
        <f t="shared" si="226"/>
        <v/>
      </c>
      <c r="IL634" s="926" t="str">
        <f t="shared" si="227"/>
        <v/>
      </c>
      <c r="IM634" s="926" t="str">
        <f t="shared" si="228"/>
        <v/>
      </c>
      <c r="IN634" s="926" t="str">
        <f t="shared" si="229"/>
        <v/>
      </c>
      <c r="IO634" s="926" t="str">
        <f t="shared" si="230"/>
        <v/>
      </c>
      <c r="IP634" s="926" t="str">
        <f t="shared" si="231"/>
        <v/>
      </c>
      <c r="IQ634" s="926" t="str">
        <f t="shared" si="232"/>
        <v/>
      </c>
      <c r="IR634" s="926" t="str">
        <f t="shared" si="233"/>
        <v/>
      </c>
      <c r="IS634" s="926" t="str">
        <f t="shared" si="234"/>
        <v/>
      </c>
      <c r="IT634" s="926" t="str">
        <f t="shared" si="235"/>
        <v/>
      </c>
      <c r="IU634" s="926" t="str">
        <f t="shared" si="236"/>
        <v/>
      </c>
      <c r="IV634" s="926" t="str">
        <f t="shared" si="237"/>
        <v/>
      </c>
      <c r="IW634" s="926" t="str">
        <f t="shared" si="238"/>
        <v/>
      </c>
      <c r="IX634" s="926" t="str">
        <f t="shared" si="239"/>
        <v/>
      </c>
      <c r="IY634" s="926" t="str">
        <f t="shared" si="240"/>
        <v/>
      </c>
      <c r="IZ634" s="926" t="str">
        <f t="shared" si="241"/>
        <v/>
      </c>
      <c r="JA634" s="926" t="str">
        <f t="shared" si="242"/>
        <v/>
      </c>
      <c r="JB634" s="2909">
        <f t="shared" si="243"/>
        <v>0</v>
      </c>
      <c r="JC634" s="2909">
        <f t="shared" si="244"/>
        <v>0</v>
      </c>
      <c r="JD634" s="2909">
        <f t="shared" si="245"/>
        <v>24</v>
      </c>
      <c r="JE634" s="2909">
        <f t="shared" si="246"/>
        <v>0</v>
      </c>
      <c r="JF634" s="2909">
        <f t="shared" si="247"/>
        <v>0</v>
      </c>
      <c r="JG634" s="2909">
        <f t="shared" si="248"/>
        <v>0</v>
      </c>
      <c r="JH634" s="2909">
        <f t="shared" si="249"/>
        <v>0</v>
      </c>
      <c r="JI634" s="2909">
        <f t="shared" si="250"/>
        <v>0</v>
      </c>
      <c r="JJ634" s="2909">
        <f t="shared" si="251"/>
        <v>0</v>
      </c>
      <c r="JK634" s="2909">
        <f t="shared" si="252"/>
        <v>0</v>
      </c>
      <c r="JL634" s="2909">
        <f t="shared" si="253"/>
        <v>0</v>
      </c>
      <c r="JM634" s="2909">
        <f t="shared" si="254"/>
        <v>0</v>
      </c>
      <c r="JN634" s="2909">
        <f t="shared" si="255"/>
        <v>0</v>
      </c>
      <c r="JO634" s="2909">
        <f t="shared" si="256"/>
        <v>0</v>
      </c>
      <c r="JP634" s="2909">
        <f t="shared" si="257"/>
        <v>0</v>
      </c>
    </row>
    <row r="635" spans="1:276" ht="12" customHeight="1">
      <c r="A635" s="2924" t="str">
        <f t="shared" si="0"/>
        <v/>
      </c>
      <c r="B635" s="2936" t="str">
        <f>'Part VI-Revenues &amp; Expenses'!B15</f>
        <v>60% AMI</v>
      </c>
      <c r="C635" s="2937">
        <f>'Part VI-Revenues &amp; Expenses'!C15</f>
        <v>3</v>
      </c>
      <c r="D635" s="2938">
        <f>'Part VI-Revenues &amp; Expenses'!D15</f>
        <v>2</v>
      </c>
      <c r="E635" s="2939">
        <f>'Part VI-Revenues &amp; Expenses'!E15</f>
        <v>6</v>
      </c>
      <c r="F635" s="2939">
        <f>'Part VI-Revenues &amp; Expenses'!F15</f>
        <v>1100</v>
      </c>
      <c r="G635" s="2939">
        <f>'Part VI-Revenues &amp; Expenses'!G15</f>
        <v>759</v>
      </c>
      <c r="H635" s="2939">
        <f>'Part VI-Revenues &amp; Expenses'!H15</f>
        <v>603</v>
      </c>
      <c r="I635" s="2939">
        <f>'Part VI-Revenues &amp; Expenses'!I15</f>
        <v>168</v>
      </c>
      <c r="J635" s="2940">
        <f>'Part VI-Revenues &amp; Expenses'!J15</f>
        <v>0</v>
      </c>
      <c r="K635" s="2941">
        <f t="shared" si="1"/>
        <v>435</v>
      </c>
      <c r="L635" s="2941">
        <f t="shared" si="2"/>
        <v>2610</v>
      </c>
      <c r="M635" s="2918" t="str">
        <f>'Part VI-Revenues &amp; Expenses'!M15</f>
        <v>No</v>
      </c>
      <c r="N635" s="2918" t="str">
        <f>'Part VI-Revenues &amp; Expenses'!N15</f>
        <v>1-Story</v>
      </c>
      <c r="O635" s="2918" t="str">
        <f>'Part VI-Revenues &amp; Expenses'!O15</f>
        <v>Acquisition/Rehab</v>
      </c>
      <c r="P635" s="2918">
        <f>'Part VI-Revenues &amp; Expenses'!P15</f>
        <v>0</v>
      </c>
      <c r="Q635" s="2942">
        <f>IF(H635="","",P635/($O$626*VLOOKUP(C635,'DCA Underwriting Assumptions'!$J$118:$K$123,2,FALSE)))</f>
        <v>0</v>
      </c>
      <c r="R635" s="2943"/>
      <c r="S635" s="2942"/>
      <c r="T635" s="2944"/>
      <c r="U635" s="2944"/>
      <c r="V635" s="926" t="str">
        <f t="shared" si="3"/>
        <v/>
      </c>
      <c r="W635" s="926" t="str">
        <f t="shared" si="4"/>
        <v/>
      </c>
      <c r="X635" s="926" t="str">
        <f t="shared" si="5"/>
        <v/>
      </c>
      <c r="Y635" s="926">
        <f t="shared" si="6"/>
        <v>6</v>
      </c>
      <c r="Z635" s="926" t="str">
        <f t="shared" si="7"/>
        <v/>
      </c>
      <c r="AA635" s="926" t="str">
        <f t="shared" si="8"/>
        <v/>
      </c>
      <c r="AB635" s="926" t="str">
        <f t="shared" si="9"/>
        <v/>
      </c>
      <c r="AC635" s="926" t="str">
        <f t="shared" si="10"/>
        <v/>
      </c>
      <c r="AD635" s="926" t="str">
        <f t="shared" si="11"/>
        <v/>
      </c>
      <c r="AE635" s="926" t="str">
        <f t="shared" si="12"/>
        <v/>
      </c>
      <c r="AF635" s="926" t="str">
        <f t="shared" si="13"/>
        <v/>
      </c>
      <c r="AG635" s="926" t="str">
        <f t="shared" si="14"/>
        <v/>
      </c>
      <c r="AH635" s="926" t="str">
        <f t="shared" si="15"/>
        <v/>
      </c>
      <c r="AI635" s="926" t="str">
        <f t="shared" si="16"/>
        <v/>
      </c>
      <c r="AJ635" s="926" t="str">
        <f t="shared" si="17"/>
        <v/>
      </c>
      <c r="AK635" s="926" t="str">
        <f t="shared" si="18"/>
        <v/>
      </c>
      <c r="AL635" s="926" t="str">
        <f t="shared" si="19"/>
        <v/>
      </c>
      <c r="AM635" s="926" t="str">
        <f t="shared" si="20"/>
        <v/>
      </c>
      <c r="AN635" s="926" t="str">
        <f t="shared" si="21"/>
        <v/>
      </c>
      <c r="AO635" s="926" t="str">
        <f t="shared" si="22"/>
        <v/>
      </c>
      <c r="AP635" s="926" t="str">
        <f t="shared" si="23"/>
        <v/>
      </c>
      <c r="AQ635" s="926" t="str">
        <f t="shared" si="24"/>
        <v/>
      </c>
      <c r="AR635" s="926" t="str">
        <f t="shared" si="25"/>
        <v/>
      </c>
      <c r="AS635" s="926" t="str">
        <f t="shared" si="26"/>
        <v/>
      </c>
      <c r="AT635" s="926" t="str">
        <f t="shared" si="27"/>
        <v/>
      </c>
      <c r="AU635" s="926" t="str">
        <f t="shared" si="28"/>
        <v/>
      </c>
      <c r="AV635" s="926" t="str">
        <f t="shared" si="29"/>
        <v/>
      </c>
      <c r="AW635" s="926" t="str">
        <f t="shared" si="30"/>
        <v/>
      </c>
      <c r="AX635" s="926" t="str">
        <f t="shared" si="31"/>
        <v/>
      </c>
      <c r="AY635" s="926" t="str">
        <f t="shared" si="32"/>
        <v/>
      </c>
      <c r="AZ635" s="926" t="str">
        <f t="shared" si="33"/>
        <v/>
      </c>
      <c r="BA635" s="926" t="str">
        <f t="shared" si="34"/>
        <v/>
      </c>
      <c r="BB635" s="926" t="str">
        <f t="shared" si="35"/>
        <v/>
      </c>
      <c r="BC635" s="926" t="str">
        <f t="shared" si="36"/>
        <v/>
      </c>
      <c r="BD635" s="926" t="str">
        <f t="shared" si="37"/>
        <v/>
      </c>
      <c r="BE635" s="926" t="str">
        <f t="shared" si="38"/>
        <v/>
      </c>
      <c r="BF635" s="926" t="str">
        <f t="shared" si="39"/>
        <v/>
      </c>
      <c r="BG635" s="926" t="str">
        <f t="shared" si="40"/>
        <v/>
      </c>
      <c r="BH635" s="926" t="str">
        <f t="shared" si="41"/>
        <v/>
      </c>
      <c r="BI635" s="926" t="str">
        <f t="shared" si="42"/>
        <v/>
      </c>
      <c r="BJ635" s="926" t="str">
        <f t="shared" si="43"/>
        <v/>
      </c>
      <c r="BK635" s="926" t="str">
        <f t="shared" si="44"/>
        <v/>
      </c>
      <c r="BL635" s="926" t="str">
        <f t="shared" si="45"/>
        <v/>
      </c>
      <c r="BM635" s="926" t="str">
        <f t="shared" si="46"/>
        <v/>
      </c>
      <c r="BN635" s="926" t="str">
        <f t="shared" si="47"/>
        <v/>
      </c>
      <c r="BO635" s="926" t="str">
        <f t="shared" si="48"/>
        <v/>
      </c>
      <c r="BP635" s="926" t="str">
        <f t="shared" si="49"/>
        <v/>
      </c>
      <c r="BQ635" s="926" t="str">
        <f t="shared" si="50"/>
        <v/>
      </c>
      <c r="BR635" s="926" t="str">
        <f t="shared" si="51"/>
        <v/>
      </c>
      <c r="BS635" s="926" t="str">
        <f t="shared" si="52"/>
        <v/>
      </c>
      <c r="BT635" s="926" t="str">
        <f t="shared" si="53"/>
        <v/>
      </c>
      <c r="BU635" s="926" t="str">
        <f t="shared" si="54"/>
        <v/>
      </c>
      <c r="BV635" s="926" t="str">
        <f t="shared" si="55"/>
        <v/>
      </c>
      <c r="BW635" s="926" t="str">
        <f t="shared" si="56"/>
        <v/>
      </c>
      <c r="BX635" s="926" t="str">
        <f t="shared" si="57"/>
        <v/>
      </c>
      <c r="BY635" s="926" t="str">
        <f t="shared" si="58"/>
        <v/>
      </c>
      <c r="BZ635" s="926" t="str">
        <f t="shared" si="59"/>
        <v/>
      </c>
      <c r="CA635" s="926" t="str">
        <f t="shared" si="60"/>
        <v/>
      </c>
      <c r="CB635" s="926">
        <f t="shared" si="61"/>
        <v>6600</v>
      </c>
      <c r="CC635" s="926" t="str">
        <f t="shared" si="62"/>
        <v/>
      </c>
      <c r="CD635" s="926" t="str">
        <f t="shared" si="63"/>
        <v/>
      </c>
      <c r="CE635" s="926" t="str">
        <f t="shared" si="64"/>
        <v/>
      </c>
      <c r="CF635" s="926" t="str">
        <f t="shared" si="65"/>
        <v/>
      </c>
      <c r="CG635" s="926" t="str">
        <f t="shared" si="66"/>
        <v/>
      </c>
      <c r="CH635" s="926" t="str">
        <f t="shared" si="67"/>
        <v/>
      </c>
      <c r="CI635" s="926" t="str">
        <f t="shared" si="68"/>
        <v/>
      </c>
      <c r="CJ635" s="926" t="str">
        <f t="shared" si="69"/>
        <v/>
      </c>
      <c r="CK635" s="926" t="str">
        <f t="shared" si="70"/>
        <v/>
      </c>
      <c r="CL635" s="926" t="str">
        <f t="shared" si="71"/>
        <v/>
      </c>
      <c r="CM635" s="926" t="str">
        <f t="shared" si="72"/>
        <v/>
      </c>
      <c r="CN635" s="926" t="str">
        <f t="shared" si="73"/>
        <v/>
      </c>
      <c r="CO635" s="926" t="str">
        <f t="shared" si="74"/>
        <v/>
      </c>
      <c r="CP635" s="926" t="str">
        <f t="shared" si="75"/>
        <v/>
      </c>
      <c r="CQ635" s="926" t="str">
        <f t="shared" si="76"/>
        <v/>
      </c>
      <c r="CR635" s="926" t="str">
        <f t="shared" si="77"/>
        <v/>
      </c>
      <c r="CS635" s="926" t="str">
        <f t="shared" si="78"/>
        <v/>
      </c>
      <c r="CT635" s="926" t="str">
        <f t="shared" si="79"/>
        <v/>
      </c>
      <c r="CU635" s="926" t="str">
        <f t="shared" si="80"/>
        <v/>
      </c>
      <c r="CV635" s="926" t="str">
        <f t="shared" si="81"/>
        <v/>
      </c>
      <c r="CW635" s="926" t="str">
        <f t="shared" si="82"/>
        <v/>
      </c>
      <c r="CX635" s="926" t="str">
        <f t="shared" si="83"/>
        <v/>
      </c>
      <c r="CY635" s="926" t="str">
        <f t="shared" si="84"/>
        <v/>
      </c>
      <c r="CZ635" s="926" t="str">
        <f t="shared" si="85"/>
        <v/>
      </c>
      <c r="DA635" s="926" t="str">
        <f t="shared" si="86"/>
        <v/>
      </c>
      <c r="DB635" s="926" t="str">
        <f t="shared" si="87"/>
        <v/>
      </c>
      <c r="DC635" s="926" t="str">
        <f t="shared" si="88"/>
        <v/>
      </c>
      <c r="DD635" s="926" t="str">
        <f t="shared" si="89"/>
        <v/>
      </c>
      <c r="DE635" s="926" t="str">
        <f t="shared" si="90"/>
        <v/>
      </c>
      <c r="DF635" s="926" t="str">
        <f t="shared" si="91"/>
        <v/>
      </c>
      <c r="DG635" s="926" t="str">
        <f t="shared" si="92"/>
        <v/>
      </c>
      <c r="DH635" s="926" t="str">
        <f t="shared" si="93"/>
        <v/>
      </c>
      <c r="DI635" s="926" t="str">
        <f t="shared" si="94"/>
        <v/>
      </c>
      <c r="DJ635" s="926" t="str">
        <f t="shared" si="95"/>
        <v/>
      </c>
      <c r="DK635" s="926" t="str">
        <f t="shared" si="96"/>
        <v/>
      </c>
      <c r="DL635" s="926" t="str">
        <f t="shared" si="97"/>
        <v/>
      </c>
      <c r="DM635" s="926" t="str">
        <f t="shared" si="98"/>
        <v/>
      </c>
      <c r="DN635" s="926" t="str">
        <f t="shared" si="99"/>
        <v/>
      </c>
      <c r="DO635" s="926" t="str">
        <f t="shared" si="100"/>
        <v/>
      </c>
      <c r="DP635" s="926" t="str">
        <f t="shared" si="101"/>
        <v/>
      </c>
      <c r="DQ635" s="926" t="str">
        <f t="shared" si="102"/>
        <v/>
      </c>
      <c r="DR635" s="926" t="str">
        <f t="shared" si="103"/>
        <v/>
      </c>
      <c r="DS635" s="926" t="str">
        <f t="shared" si="104"/>
        <v/>
      </c>
      <c r="DT635" s="926" t="str">
        <f t="shared" si="105"/>
        <v/>
      </c>
      <c r="DU635" s="926">
        <f t="shared" si="106"/>
        <v>6</v>
      </c>
      <c r="DV635" s="926" t="str">
        <f t="shared" si="107"/>
        <v/>
      </c>
      <c r="DW635" s="926" t="str">
        <f t="shared" si="108"/>
        <v/>
      </c>
      <c r="DX635" s="926" t="str">
        <f t="shared" si="109"/>
        <v/>
      </c>
      <c r="DY635" s="926" t="str">
        <f t="shared" si="110"/>
        <v/>
      </c>
      <c r="DZ635" s="926" t="str">
        <f t="shared" si="111"/>
        <v/>
      </c>
      <c r="EA635" s="926" t="str">
        <f t="shared" si="112"/>
        <v/>
      </c>
      <c r="EB635" s="926" t="str">
        <f t="shared" si="113"/>
        <v/>
      </c>
      <c r="EC635" s="926" t="str">
        <f t="shared" si="114"/>
        <v/>
      </c>
      <c r="ED635" s="926" t="str">
        <f t="shared" si="115"/>
        <v/>
      </c>
      <c r="EE635" s="926" t="str">
        <f t="shared" si="116"/>
        <v/>
      </c>
      <c r="EF635" s="926" t="str">
        <f t="shared" si="117"/>
        <v/>
      </c>
      <c r="EG635" s="926" t="str">
        <f t="shared" si="118"/>
        <v/>
      </c>
      <c r="EH635" s="926" t="str">
        <f t="shared" si="119"/>
        <v/>
      </c>
      <c r="EI635" s="926" t="str">
        <f t="shared" si="120"/>
        <v/>
      </c>
      <c r="EJ635" s="926" t="str">
        <f t="shared" si="121"/>
        <v/>
      </c>
      <c r="EK635" s="926" t="str">
        <f t="shared" si="122"/>
        <v/>
      </c>
      <c r="EL635" s="926" t="str">
        <f t="shared" si="123"/>
        <v/>
      </c>
      <c r="EM635" s="926" t="str">
        <f t="shared" si="124"/>
        <v/>
      </c>
      <c r="EN635" s="926" t="str">
        <f t="shared" si="125"/>
        <v/>
      </c>
      <c r="EO635" s="926" t="str">
        <f t="shared" si="126"/>
        <v/>
      </c>
      <c r="EP635" s="926" t="str">
        <f t="shared" si="127"/>
        <v/>
      </c>
      <c r="EQ635" s="926" t="str">
        <f t="shared" si="128"/>
        <v/>
      </c>
      <c r="ER635" s="926" t="str">
        <f t="shared" si="129"/>
        <v/>
      </c>
      <c r="ES635" s="926" t="str">
        <f t="shared" si="130"/>
        <v/>
      </c>
      <c r="ET635" s="926" t="str">
        <f t="shared" si="131"/>
        <v/>
      </c>
      <c r="EU635" s="926" t="str">
        <f t="shared" si="132"/>
        <v/>
      </c>
      <c r="EV635" s="2945" t="str">
        <f t="shared" si="133"/>
        <v/>
      </c>
      <c r="EW635" s="2945" t="str">
        <f t="shared" si="134"/>
        <v/>
      </c>
      <c r="EX635" s="2945" t="str">
        <f t="shared" si="135"/>
        <v/>
      </c>
      <c r="EY635" s="2945">
        <f t="shared" si="136"/>
        <v>6</v>
      </c>
      <c r="EZ635" s="2945" t="str">
        <f t="shared" si="137"/>
        <v/>
      </c>
      <c r="FA635" s="2945" t="str">
        <f t="shared" si="138"/>
        <v/>
      </c>
      <c r="FB635" s="2945" t="str">
        <f t="shared" si="139"/>
        <v/>
      </c>
      <c r="FC635" s="2945" t="str">
        <f t="shared" si="140"/>
        <v/>
      </c>
      <c r="FD635" s="2945" t="str">
        <f t="shared" si="141"/>
        <v/>
      </c>
      <c r="FE635" s="2945" t="str">
        <f t="shared" si="142"/>
        <v/>
      </c>
      <c r="FF635" s="2945" t="str">
        <f t="shared" si="143"/>
        <v/>
      </c>
      <c r="FG635" s="2945" t="str">
        <f t="shared" si="144"/>
        <v/>
      </c>
      <c r="FH635" s="2945" t="str">
        <f t="shared" si="145"/>
        <v/>
      </c>
      <c r="FI635" s="2945" t="str">
        <f t="shared" si="146"/>
        <v/>
      </c>
      <c r="FJ635" s="2945" t="str">
        <f t="shared" si="147"/>
        <v/>
      </c>
      <c r="FK635" s="2945" t="str">
        <f t="shared" si="148"/>
        <v/>
      </c>
      <c r="FL635" s="2945" t="str">
        <f t="shared" si="149"/>
        <v/>
      </c>
      <c r="FM635" s="2945" t="str">
        <f t="shared" si="150"/>
        <v/>
      </c>
      <c r="FN635" s="2945" t="str">
        <f t="shared" si="151"/>
        <v/>
      </c>
      <c r="FO635" s="2945" t="str">
        <f t="shared" si="152"/>
        <v/>
      </c>
      <c r="FP635" s="2945" t="str">
        <f t="shared" si="153"/>
        <v/>
      </c>
      <c r="FQ635" s="2945" t="str">
        <f t="shared" si="154"/>
        <v/>
      </c>
      <c r="FR635" s="2945" t="str">
        <f t="shared" si="155"/>
        <v/>
      </c>
      <c r="FS635" s="2945" t="str">
        <f t="shared" si="156"/>
        <v/>
      </c>
      <c r="FT635" s="2945" t="str">
        <f t="shared" si="157"/>
        <v/>
      </c>
      <c r="FU635" s="2945" t="str">
        <f t="shared" si="158"/>
        <v/>
      </c>
      <c r="FV635" s="2945" t="str">
        <f t="shared" si="159"/>
        <v/>
      </c>
      <c r="FW635" s="2945" t="str">
        <f t="shared" si="160"/>
        <v/>
      </c>
      <c r="FX635" s="2945" t="str">
        <f t="shared" si="161"/>
        <v/>
      </c>
      <c r="FY635" s="2945" t="str">
        <f t="shared" si="162"/>
        <v/>
      </c>
      <c r="FZ635" s="2945" t="str">
        <f t="shared" si="163"/>
        <v/>
      </c>
      <c r="GA635" s="2945" t="str">
        <f t="shared" si="164"/>
        <v/>
      </c>
      <c r="GB635" s="2945" t="str">
        <f t="shared" si="165"/>
        <v/>
      </c>
      <c r="GC635" s="2945" t="str">
        <f t="shared" si="166"/>
        <v/>
      </c>
      <c r="GD635" s="2945" t="str">
        <f t="shared" si="167"/>
        <v/>
      </c>
      <c r="GE635" s="2945" t="str">
        <f t="shared" si="168"/>
        <v/>
      </c>
      <c r="GF635" s="2945" t="str">
        <f t="shared" si="169"/>
        <v/>
      </c>
      <c r="GG635" s="2945" t="str">
        <f t="shared" si="170"/>
        <v/>
      </c>
      <c r="GH635" s="2945" t="str">
        <f t="shared" si="171"/>
        <v/>
      </c>
      <c r="GI635" s="2945" t="str">
        <f t="shared" si="172"/>
        <v/>
      </c>
      <c r="GJ635" s="2945" t="str">
        <f t="shared" si="173"/>
        <v/>
      </c>
      <c r="GK635" s="2945" t="str">
        <f t="shared" si="174"/>
        <v/>
      </c>
      <c r="GL635" s="2945" t="str">
        <f t="shared" si="175"/>
        <v/>
      </c>
      <c r="GM635" s="2945" t="str">
        <f t="shared" si="176"/>
        <v/>
      </c>
      <c r="GN635" s="2945" t="str">
        <f t="shared" si="177"/>
        <v/>
      </c>
      <c r="GO635" s="2945" t="str">
        <f t="shared" si="178"/>
        <v/>
      </c>
      <c r="GP635" s="2945" t="str">
        <f t="shared" si="179"/>
        <v/>
      </c>
      <c r="GQ635" s="2945" t="str">
        <f t="shared" si="180"/>
        <v/>
      </c>
      <c r="GR635" s="2945">
        <f t="shared" si="181"/>
        <v>6</v>
      </c>
      <c r="GS635" s="2945" t="str">
        <f t="shared" si="182"/>
        <v/>
      </c>
      <c r="GT635" s="2945" t="str">
        <f t="shared" si="183"/>
        <v/>
      </c>
      <c r="GU635" s="2945" t="str">
        <f t="shared" si="184"/>
        <v/>
      </c>
      <c r="GV635" s="2945" t="str">
        <f t="shared" si="185"/>
        <v/>
      </c>
      <c r="GW635" s="2945" t="str">
        <f t="shared" si="186"/>
        <v/>
      </c>
      <c r="GX635" s="2945" t="str">
        <f t="shared" si="187"/>
        <v/>
      </c>
      <c r="GY635" s="2945" t="str">
        <f t="shared" si="188"/>
        <v/>
      </c>
      <c r="GZ635" s="2945" t="str">
        <f t="shared" si="189"/>
        <v/>
      </c>
      <c r="HA635" s="2945" t="str">
        <f t="shared" si="190"/>
        <v/>
      </c>
      <c r="HB635" s="2945" t="str">
        <f t="shared" si="191"/>
        <v/>
      </c>
      <c r="HC635" s="2945" t="str">
        <f t="shared" si="192"/>
        <v/>
      </c>
      <c r="HD635" s="2945" t="str">
        <f t="shared" si="193"/>
        <v/>
      </c>
      <c r="HE635" s="2945" t="str">
        <f t="shared" si="194"/>
        <v/>
      </c>
      <c r="HF635" s="2945" t="str">
        <f t="shared" si="195"/>
        <v/>
      </c>
      <c r="HG635" s="2945" t="str">
        <f t="shared" si="196"/>
        <v/>
      </c>
      <c r="HH635" s="2945" t="str">
        <f t="shared" si="197"/>
        <v/>
      </c>
      <c r="HI635" s="2945" t="str">
        <f t="shared" si="198"/>
        <v/>
      </c>
      <c r="HJ635" s="2945" t="str">
        <f t="shared" si="199"/>
        <v/>
      </c>
      <c r="HK635" s="2945" t="str">
        <f t="shared" si="200"/>
        <v/>
      </c>
      <c r="HL635" s="2945" t="str">
        <f t="shared" si="201"/>
        <v/>
      </c>
      <c r="HM635" s="2945" t="str">
        <f t="shared" si="202"/>
        <v/>
      </c>
      <c r="HN635" s="2945" t="str">
        <f t="shared" si="203"/>
        <v/>
      </c>
      <c r="HO635" s="2945" t="str">
        <f t="shared" si="204"/>
        <v/>
      </c>
      <c r="HP635" s="2945" t="str">
        <f t="shared" si="205"/>
        <v/>
      </c>
      <c r="HQ635" s="2945" t="str">
        <f t="shared" si="206"/>
        <v/>
      </c>
      <c r="HR635" s="2945" t="str">
        <f t="shared" si="207"/>
        <v/>
      </c>
      <c r="HS635" s="2945" t="str">
        <f t="shared" si="208"/>
        <v/>
      </c>
      <c r="HT635" s="2945" t="str">
        <f t="shared" si="209"/>
        <v/>
      </c>
      <c r="HU635" s="2945" t="str">
        <f t="shared" si="210"/>
        <v/>
      </c>
      <c r="HV635" s="2945" t="str">
        <f t="shared" si="211"/>
        <v/>
      </c>
      <c r="HW635" s="2945" t="str">
        <f t="shared" si="212"/>
        <v/>
      </c>
      <c r="HX635" s="2945" t="str">
        <f t="shared" si="213"/>
        <v/>
      </c>
      <c r="HY635" s="2945" t="str">
        <f t="shared" si="214"/>
        <v/>
      </c>
      <c r="HZ635" s="2945" t="str">
        <f t="shared" si="215"/>
        <v/>
      </c>
      <c r="IA635" s="2945" t="str">
        <f t="shared" si="216"/>
        <v/>
      </c>
      <c r="IB635" s="2945" t="str">
        <f t="shared" si="217"/>
        <v/>
      </c>
      <c r="IC635" s="2911" t="str">
        <f t="shared" si="218"/>
        <v/>
      </c>
      <c r="ID635" s="2911" t="str">
        <f t="shared" si="219"/>
        <v/>
      </c>
      <c r="IE635" s="2911" t="str">
        <f t="shared" si="220"/>
        <v/>
      </c>
      <c r="IF635" s="2911" t="str">
        <f t="shared" si="221"/>
        <v/>
      </c>
      <c r="IG635" s="2911" t="str">
        <f t="shared" si="222"/>
        <v/>
      </c>
      <c r="IH635" s="926" t="str">
        <f t="shared" si="223"/>
        <v/>
      </c>
      <c r="II635" s="926" t="str">
        <f t="shared" si="224"/>
        <v/>
      </c>
      <c r="IJ635" s="926" t="str">
        <f t="shared" si="225"/>
        <v/>
      </c>
      <c r="IK635" s="926" t="str">
        <f t="shared" si="226"/>
        <v/>
      </c>
      <c r="IL635" s="926" t="str">
        <f t="shared" si="227"/>
        <v/>
      </c>
      <c r="IM635" s="926" t="str">
        <f t="shared" si="228"/>
        <v/>
      </c>
      <c r="IN635" s="926" t="str">
        <f t="shared" si="229"/>
        <v/>
      </c>
      <c r="IO635" s="926" t="str">
        <f t="shared" si="230"/>
        <v/>
      </c>
      <c r="IP635" s="926" t="str">
        <f t="shared" si="231"/>
        <v/>
      </c>
      <c r="IQ635" s="926" t="str">
        <f t="shared" si="232"/>
        <v/>
      </c>
      <c r="IR635" s="926" t="str">
        <f t="shared" si="233"/>
        <v/>
      </c>
      <c r="IS635" s="926" t="str">
        <f t="shared" si="234"/>
        <v/>
      </c>
      <c r="IT635" s="926" t="str">
        <f t="shared" si="235"/>
        <v/>
      </c>
      <c r="IU635" s="926" t="str">
        <f t="shared" si="236"/>
        <v/>
      </c>
      <c r="IV635" s="926" t="str">
        <f t="shared" si="237"/>
        <v/>
      </c>
      <c r="IW635" s="926" t="str">
        <f t="shared" si="238"/>
        <v/>
      </c>
      <c r="IX635" s="926" t="str">
        <f t="shared" si="239"/>
        <v/>
      </c>
      <c r="IY635" s="926" t="str">
        <f t="shared" si="240"/>
        <v/>
      </c>
      <c r="IZ635" s="926" t="str">
        <f t="shared" si="241"/>
        <v/>
      </c>
      <c r="JA635" s="926" t="str">
        <f t="shared" si="242"/>
        <v/>
      </c>
      <c r="JB635" s="2909">
        <f t="shared" si="243"/>
        <v>0</v>
      </c>
      <c r="JC635" s="2909">
        <f t="shared" si="244"/>
        <v>0</v>
      </c>
      <c r="JD635" s="2909">
        <f t="shared" si="245"/>
        <v>0</v>
      </c>
      <c r="JE635" s="2909">
        <f t="shared" si="246"/>
        <v>6</v>
      </c>
      <c r="JF635" s="2909">
        <f t="shared" si="247"/>
        <v>0</v>
      </c>
      <c r="JG635" s="2909">
        <f t="shared" si="248"/>
        <v>0</v>
      </c>
      <c r="JH635" s="2909">
        <f t="shared" si="249"/>
        <v>0</v>
      </c>
      <c r="JI635" s="2909">
        <f t="shared" si="250"/>
        <v>0</v>
      </c>
      <c r="JJ635" s="2909">
        <f t="shared" si="251"/>
        <v>0</v>
      </c>
      <c r="JK635" s="2909">
        <f t="shared" si="252"/>
        <v>0</v>
      </c>
      <c r="JL635" s="2909">
        <f t="shared" si="253"/>
        <v>0</v>
      </c>
      <c r="JM635" s="2909">
        <f t="shared" si="254"/>
        <v>0</v>
      </c>
      <c r="JN635" s="2909">
        <f t="shared" si="255"/>
        <v>0</v>
      </c>
      <c r="JO635" s="2909">
        <f t="shared" si="256"/>
        <v>0</v>
      </c>
      <c r="JP635" s="2909">
        <f t="shared" si="257"/>
        <v>0</v>
      </c>
    </row>
    <row r="636" spans="1:276" ht="12" customHeight="1">
      <c r="A636" s="2924" t="str">
        <f t="shared" si="0"/>
        <v/>
      </c>
      <c r="B636" s="2936" t="str">
        <f>'Part VI-Revenues &amp; Expenses'!B16</f>
        <v>&lt;&lt;Select&gt;&gt;</v>
      </c>
      <c r="C636" s="2937">
        <f>'Part VI-Revenues &amp; Expenses'!C16</f>
        <v>0</v>
      </c>
      <c r="D636" s="2938">
        <f>'Part VI-Revenues &amp; Expenses'!D16</f>
        <v>0</v>
      </c>
      <c r="E636" s="2939">
        <f>'Part VI-Revenues &amp; Expenses'!E16</f>
        <v>0</v>
      </c>
      <c r="F636" s="2939">
        <f>'Part VI-Revenues &amp; Expenses'!F16</f>
        <v>0</v>
      </c>
      <c r="G636" s="2939">
        <f>'Part VI-Revenues &amp; Expenses'!G16</f>
        <v>0</v>
      </c>
      <c r="H636" s="2939">
        <f>'Part VI-Revenues &amp; Expenses'!H16</f>
        <v>0</v>
      </c>
      <c r="I636" s="2939">
        <f>'Part VI-Revenues &amp; Expenses'!I16</f>
        <v>0</v>
      </c>
      <c r="J636" s="2940">
        <f>'Part VI-Revenues &amp; Expenses'!J16</f>
        <v>0</v>
      </c>
      <c r="K636" s="2941">
        <f t="shared" si="1"/>
        <v>0</v>
      </c>
      <c r="L636" s="2941">
        <f t="shared" si="2"/>
        <v>0</v>
      </c>
      <c r="M636" s="2918">
        <f>'Part VI-Revenues &amp; Expenses'!M16</f>
        <v>0</v>
      </c>
      <c r="N636" s="2918">
        <f>'Part VI-Revenues &amp; Expenses'!N16</f>
        <v>0</v>
      </c>
      <c r="O636" s="2918">
        <f>'Part VI-Revenues &amp; Expenses'!O16</f>
        <v>0</v>
      </c>
      <c r="P636" s="2918">
        <f>'Part VI-Revenues &amp; Expenses'!P16</f>
        <v>0</v>
      </c>
      <c r="Q636" s="2942">
        <f>IF(H636="","",P636/($O$626*VLOOKUP(C636,'DCA Underwriting Assumptions'!$J$118:$K$123,2,FALSE)))</f>
        <v>0</v>
      </c>
      <c r="R636" s="2943"/>
      <c r="S636" s="2942"/>
      <c r="T636" s="2944"/>
      <c r="U636" s="2944"/>
      <c r="V636" s="926" t="str">
        <f t="shared" si="3"/>
        <v/>
      </c>
      <c r="W636" s="926" t="str">
        <f t="shared" si="4"/>
        <v/>
      </c>
      <c r="X636" s="926" t="str">
        <f t="shared" si="5"/>
        <v/>
      </c>
      <c r="Y636" s="926" t="str">
        <f t="shared" si="6"/>
        <v/>
      </c>
      <c r="Z636" s="926" t="str">
        <f t="shared" si="7"/>
        <v/>
      </c>
      <c r="AA636" s="926" t="str">
        <f t="shared" si="8"/>
        <v/>
      </c>
      <c r="AB636" s="926" t="str">
        <f t="shared" si="9"/>
        <v/>
      </c>
      <c r="AC636" s="926" t="str">
        <f t="shared" si="10"/>
        <v/>
      </c>
      <c r="AD636" s="926" t="str">
        <f t="shared" si="11"/>
        <v/>
      </c>
      <c r="AE636" s="926" t="str">
        <f t="shared" si="12"/>
        <v/>
      </c>
      <c r="AF636" s="926" t="str">
        <f t="shared" si="13"/>
        <v/>
      </c>
      <c r="AG636" s="926" t="str">
        <f t="shared" si="14"/>
        <v/>
      </c>
      <c r="AH636" s="926" t="str">
        <f t="shared" si="15"/>
        <v/>
      </c>
      <c r="AI636" s="926" t="str">
        <f t="shared" si="16"/>
        <v/>
      </c>
      <c r="AJ636" s="926" t="str">
        <f t="shared" si="17"/>
        <v/>
      </c>
      <c r="AK636" s="926" t="str">
        <f t="shared" si="18"/>
        <v/>
      </c>
      <c r="AL636" s="926" t="str">
        <f t="shared" si="19"/>
        <v/>
      </c>
      <c r="AM636" s="926" t="str">
        <f t="shared" si="20"/>
        <v/>
      </c>
      <c r="AN636" s="926" t="str">
        <f t="shared" si="21"/>
        <v/>
      </c>
      <c r="AO636" s="926" t="str">
        <f t="shared" si="22"/>
        <v/>
      </c>
      <c r="AP636" s="926" t="str">
        <f t="shared" si="23"/>
        <v/>
      </c>
      <c r="AQ636" s="926" t="str">
        <f t="shared" si="24"/>
        <v/>
      </c>
      <c r="AR636" s="926" t="str">
        <f t="shared" si="25"/>
        <v/>
      </c>
      <c r="AS636" s="926" t="str">
        <f t="shared" si="26"/>
        <v/>
      </c>
      <c r="AT636" s="926" t="str">
        <f t="shared" si="27"/>
        <v/>
      </c>
      <c r="AU636" s="926" t="str">
        <f t="shared" si="28"/>
        <v/>
      </c>
      <c r="AV636" s="926" t="str">
        <f t="shared" si="29"/>
        <v/>
      </c>
      <c r="AW636" s="926" t="str">
        <f t="shared" si="30"/>
        <v/>
      </c>
      <c r="AX636" s="926" t="str">
        <f t="shared" si="31"/>
        <v/>
      </c>
      <c r="AY636" s="926" t="str">
        <f t="shared" si="32"/>
        <v/>
      </c>
      <c r="AZ636" s="926" t="str">
        <f t="shared" si="33"/>
        <v/>
      </c>
      <c r="BA636" s="926" t="str">
        <f t="shared" si="34"/>
        <v/>
      </c>
      <c r="BB636" s="926" t="str">
        <f t="shared" si="35"/>
        <v/>
      </c>
      <c r="BC636" s="926" t="str">
        <f t="shared" si="36"/>
        <v/>
      </c>
      <c r="BD636" s="926" t="str">
        <f t="shared" si="37"/>
        <v/>
      </c>
      <c r="BE636" s="926" t="str">
        <f t="shared" si="38"/>
        <v/>
      </c>
      <c r="BF636" s="926" t="str">
        <f t="shared" si="39"/>
        <v/>
      </c>
      <c r="BG636" s="926" t="str">
        <f t="shared" si="40"/>
        <v/>
      </c>
      <c r="BH636" s="926" t="str">
        <f t="shared" si="41"/>
        <v/>
      </c>
      <c r="BI636" s="926" t="str">
        <f t="shared" si="42"/>
        <v/>
      </c>
      <c r="BJ636" s="926" t="str">
        <f t="shared" si="43"/>
        <v/>
      </c>
      <c r="BK636" s="926" t="str">
        <f t="shared" si="44"/>
        <v/>
      </c>
      <c r="BL636" s="926" t="str">
        <f t="shared" si="45"/>
        <v/>
      </c>
      <c r="BM636" s="926" t="str">
        <f t="shared" si="46"/>
        <v/>
      </c>
      <c r="BN636" s="926" t="str">
        <f t="shared" si="47"/>
        <v/>
      </c>
      <c r="BO636" s="926" t="str">
        <f t="shared" si="48"/>
        <v/>
      </c>
      <c r="BP636" s="926" t="str">
        <f t="shared" si="49"/>
        <v/>
      </c>
      <c r="BQ636" s="926" t="str">
        <f t="shared" si="50"/>
        <v/>
      </c>
      <c r="BR636" s="926" t="str">
        <f t="shared" si="51"/>
        <v/>
      </c>
      <c r="BS636" s="926" t="str">
        <f t="shared" si="52"/>
        <v/>
      </c>
      <c r="BT636" s="926" t="str">
        <f t="shared" si="53"/>
        <v/>
      </c>
      <c r="BU636" s="926" t="str">
        <f t="shared" si="54"/>
        <v/>
      </c>
      <c r="BV636" s="926" t="str">
        <f t="shared" si="55"/>
        <v/>
      </c>
      <c r="BW636" s="926" t="str">
        <f t="shared" si="56"/>
        <v/>
      </c>
      <c r="BX636" s="926" t="str">
        <f t="shared" si="57"/>
        <v/>
      </c>
      <c r="BY636" s="926" t="str">
        <f t="shared" si="58"/>
        <v/>
      </c>
      <c r="BZ636" s="926" t="str">
        <f t="shared" si="59"/>
        <v/>
      </c>
      <c r="CA636" s="926" t="str">
        <f t="shared" si="60"/>
        <v/>
      </c>
      <c r="CB636" s="926" t="str">
        <f t="shared" si="61"/>
        <v/>
      </c>
      <c r="CC636" s="926" t="str">
        <f t="shared" si="62"/>
        <v/>
      </c>
      <c r="CD636" s="926" t="str">
        <f t="shared" si="63"/>
        <v/>
      </c>
      <c r="CE636" s="926" t="str">
        <f t="shared" si="64"/>
        <v/>
      </c>
      <c r="CF636" s="926" t="str">
        <f t="shared" si="65"/>
        <v/>
      </c>
      <c r="CG636" s="926" t="str">
        <f t="shared" si="66"/>
        <v/>
      </c>
      <c r="CH636" s="926" t="str">
        <f t="shared" si="67"/>
        <v/>
      </c>
      <c r="CI636" s="926" t="str">
        <f t="shared" si="68"/>
        <v/>
      </c>
      <c r="CJ636" s="926" t="str">
        <f t="shared" si="69"/>
        <v/>
      </c>
      <c r="CK636" s="926" t="str">
        <f t="shared" si="70"/>
        <v/>
      </c>
      <c r="CL636" s="926" t="str">
        <f t="shared" si="71"/>
        <v/>
      </c>
      <c r="CM636" s="926" t="str">
        <f t="shared" si="72"/>
        <v/>
      </c>
      <c r="CN636" s="926" t="str">
        <f t="shared" si="73"/>
        <v/>
      </c>
      <c r="CO636" s="926" t="str">
        <f t="shared" si="74"/>
        <v/>
      </c>
      <c r="CP636" s="926" t="str">
        <f t="shared" si="75"/>
        <v/>
      </c>
      <c r="CQ636" s="926" t="str">
        <f t="shared" si="76"/>
        <v/>
      </c>
      <c r="CR636" s="926" t="str">
        <f t="shared" si="77"/>
        <v/>
      </c>
      <c r="CS636" s="926" t="str">
        <f t="shared" si="78"/>
        <v/>
      </c>
      <c r="CT636" s="926" t="str">
        <f t="shared" si="79"/>
        <v/>
      </c>
      <c r="CU636" s="926" t="str">
        <f t="shared" si="80"/>
        <v/>
      </c>
      <c r="CV636" s="926" t="str">
        <f t="shared" si="81"/>
        <v/>
      </c>
      <c r="CW636" s="926" t="str">
        <f t="shared" si="82"/>
        <v/>
      </c>
      <c r="CX636" s="926" t="str">
        <f t="shared" si="83"/>
        <v/>
      </c>
      <c r="CY636" s="926" t="str">
        <f t="shared" si="84"/>
        <v/>
      </c>
      <c r="CZ636" s="926" t="str">
        <f t="shared" si="85"/>
        <v/>
      </c>
      <c r="DA636" s="926" t="str">
        <f t="shared" si="86"/>
        <v/>
      </c>
      <c r="DB636" s="926" t="str">
        <f t="shared" si="87"/>
        <v/>
      </c>
      <c r="DC636" s="926" t="str">
        <f t="shared" si="88"/>
        <v/>
      </c>
      <c r="DD636" s="926" t="str">
        <f t="shared" si="89"/>
        <v/>
      </c>
      <c r="DE636" s="926" t="str">
        <f t="shared" si="90"/>
        <v/>
      </c>
      <c r="DF636" s="926" t="str">
        <f t="shared" si="91"/>
        <v/>
      </c>
      <c r="DG636" s="926" t="str">
        <f t="shared" si="92"/>
        <v/>
      </c>
      <c r="DH636" s="926" t="str">
        <f t="shared" si="93"/>
        <v/>
      </c>
      <c r="DI636" s="926" t="str">
        <f t="shared" si="94"/>
        <v/>
      </c>
      <c r="DJ636" s="926" t="str">
        <f t="shared" si="95"/>
        <v/>
      </c>
      <c r="DK636" s="926" t="str">
        <f t="shared" si="96"/>
        <v/>
      </c>
      <c r="DL636" s="926" t="str">
        <f t="shared" si="97"/>
        <v/>
      </c>
      <c r="DM636" s="926" t="str">
        <f t="shared" si="98"/>
        <v/>
      </c>
      <c r="DN636" s="926" t="str">
        <f t="shared" si="99"/>
        <v/>
      </c>
      <c r="DO636" s="926" t="str">
        <f t="shared" si="100"/>
        <v/>
      </c>
      <c r="DP636" s="926" t="str">
        <f t="shared" si="101"/>
        <v/>
      </c>
      <c r="DQ636" s="926" t="str">
        <f t="shared" si="102"/>
        <v/>
      </c>
      <c r="DR636" s="926" t="str">
        <f t="shared" si="103"/>
        <v/>
      </c>
      <c r="DS636" s="926" t="str">
        <f t="shared" si="104"/>
        <v/>
      </c>
      <c r="DT636" s="926" t="str">
        <f t="shared" si="105"/>
        <v/>
      </c>
      <c r="DU636" s="926" t="str">
        <f t="shared" si="106"/>
        <v/>
      </c>
      <c r="DV636" s="926" t="str">
        <f t="shared" si="107"/>
        <v/>
      </c>
      <c r="DW636" s="926" t="str">
        <f t="shared" si="108"/>
        <v/>
      </c>
      <c r="DX636" s="926" t="str">
        <f t="shared" si="109"/>
        <v/>
      </c>
      <c r="DY636" s="926" t="str">
        <f t="shared" si="110"/>
        <v/>
      </c>
      <c r="DZ636" s="926" t="str">
        <f t="shared" si="111"/>
        <v/>
      </c>
      <c r="EA636" s="926" t="str">
        <f t="shared" si="112"/>
        <v/>
      </c>
      <c r="EB636" s="926" t="str">
        <f t="shared" si="113"/>
        <v/>
      </c>
      <c r="EC636" s="926" t="str">
        <f t="shared" si="114"/>
        <v/>
      </c>
      <c r="ED636" s="926" t="str">
        <f t="shared" si="115"/>
        <v/>
      </c>
      <c r="EE636" s="926" t="str">
        <f t="shared" si="116"/>
        <v/>
      </c>
      <c r="EF636" s="926" t="str">
        <f t="shared" si="117"/>
        <v/>
      </c>
      <c r="EG636" s="926" t="str">
        <f t="shared" si="118"/>
        <v/>
      </c>
      <c r="EH636" s="926" t="str">
        <f t="shared" si="119"/>
        <v/>
      </c>
      <c r="EI636" s="926" t="str">
        <f t="shared" si="120"/>
        <v/>
      </c>
      <c r="EJ636" s="926" t="str">
        <f t="shared" si="121"/>
        <v/>
      </c>
      <c r="EK636" s="926" t="str">
        <f t="shared" si="122"/>
        <v/>
      </c>
      <c r="EL636" s="926" t="str">
        <f t="shared" si="123"/>
        <v/>
      </c>
      <c r="EM636" s="926" t="str">
        <f t="shared" si="124"/>
        <v/>
      </c>
      <c r="EN636" s="926" t="str">
        <f t="shared" si="125"/>
        <v/>
      </c>
      <c r="EO636" s="926" t="str">
        <f t="shared" si="126"/>
        <v/>
      </c>
      <c r="EP636" s="926" t="str">
        <f t="shared" si="127"/>
        <v/>
      </c>
      <c r="EQ636" s="926" t="str">
        <f t="shared" si="128"/>
        <v/>
      </c>
      <c r="ER636" s="926" t="str">
        <f t="shared" si="129"/>
        <v/>
      </c>
      <c r="ES636" s="926" t="str">
        <f t="shared" si="130"/>
        <v/>
      </c>
      <c r="ET636" s="926" t="str">
        <f t="shared" si="131"/>
        <v/>
      </c>
      <c r="EU636" s="926" t="str">
        <f t="shared" si="132"/>
        <v/>
      </c>
      <c r="EV636" s="2945" t="str">
        <f t="shared" si="133"/>
        <v/>
      </c>
      <c r="EW636" s="2945" t="str">
        <f t="shared" si="134"/>
        <v/>
      </c>
      <c r="EX636" s="2945" t="str">
        <f t="shared" si="135"/>
        <v/>
      </c>
      <c r="EY636" s="2945" t="str">
        <f t="shared" si="136"/>
        <v/>
      </c>
      <c r="EZ636" s="2945" t="str">
        <f t="shared" si="137"/>
        <v/>
      </c>
      <c r="FA636" s="2945" t="str">
        <f t="shared" si="138"/>
        <v/>
      </c>
      <c r="FB636" s="2945" t="str">
        <f t="shared" si="139"/>
        <v/>
      </c>
      <c r="FC636" s="2945" t="str">
        <f t="shared" si="140"/>
        <v/>
      </c>
      <c r="FD636" s="2945" t="str">
        <f t="shared" si="141"/>
        <v/>
      </c>
      <c r="FE636" s="2945" t="str">
        <f t="shared" si="142"/>
        <v/>
      </c>
      <c r="FF636" s="2945" t="str">
        <f t="shared" si="143"/>
        <v/>
      </c>
      <c r="FG636" s="2945" t="str">
        <f t="shared" si="144"/>
        <v/>
      </c>
      <c r="FH636" s="2945" t="str">
        <f t="shared" si="145"/>
        <v/>
      </c>
      <c r="FI636" s="2945" t="str">
        <f t="shared" si="146"/>
        <v/>
      </c>
      <c r="FJ636" s="2945" t="str">
        <f t="shared" si="147"/>
        <v/>
      </c>
      <c r="FK636" s="2945" t="str">
        <f t="shared" si="148"/>
        <v/>
      </c>
      <c r="FL636" s="2945" t="str">
        <f t="shared" si="149"/>
        <v/>
      </c>
      <c r="FM636" s="2945" t="str">
        <f t="shared" si="150"/>
        <v/>
      </c>
      <c r="FN636" s="2945" t="str">
        <f t="shared" si="151"/>
        <v/>
      </c>
      <c r="FO636" s="2945" t="str">
        <f t="shared" si="152"/>
        <v/>
      </c>
      <c r="FP636" s="2945" t="str">
        <f t="shared" si="153"/>
        <v/>
      </c>
      <c r="FQ636" s="2945" t="str">
        <f t="shared" si="154"/>
        <v/>
      </c>
      <c r="FR636" s="2945" t="str">
        <f t="shared" si="155"/>
        <v/>
      </c>
      <c r="FS636" s="2945" t="str">
        <f t="shared" si="156"/>
        <v/>
      </c>
      <c r="FT636" s="2945" t="str">
        <f t="shared" si="157"/>
        <v/>
      </c>
      <c r="FU636" s="2945" t="str">
        <f t="shared" si="158"/>
        <v/>
      </c>
      <c r="FV636" s="2945" t="str">
        <f t="shared" si="159"/>
        <v/>
      </c>
      <c r="FW636" s="2945" t="str">
        <f t="shared" si="160"/>
        <v/>
      </c>
      <c r="FX636" s="2945" t="str">
        <f t="shared" si="161"/>
        <v/>
      </c>
      <c r="FY636" s="2945" t="str">
        <f t="shared" si="162"/>
        <v/>
      </c>
      <c r="FZ636" s="2945" t="str">
        <f t="shared" si="163"/>
        <v/>
      </c>
      <c r="GA636" s="2945" t="str">
        <f t="shared" si="164"/>
        <v/>
      </c>
      <c r="GB636" s="2945" t="str">
        <f t="shared" si="165"/>
        <v/>
      </c>
      <c r="GC636" s="2945" t="str">
        <f t="shared" si="166"/>
        <v/>
      </c>
      <c r="GD636" s="2945" t="str">
        <f t="shared" si="167"/>
        <v/>
      </c>
      <c r="GE636" s="2945" t="str">
        <f t="shared" si="168"/>
        <v/>
      </c>
      <c r="GF636" s="2945" t="str">
        <f t="shared" si="169"/>
        <v/>
      </c>
      <c r="GG636" s="2945" t="str">
        <f t="shared" si="170"/>
        <v/>
      </c>
      <c r="GH636" s="2945" t="str">
        <f t="shared" si="171"/>
        <v/>
      </c>
      <c r="GI636" s="2945" t="str">
        <f t="shared" si="172"/>
        <v/>
      </c>
      <c r="GJ636" s="2945" t="str">
        <f t="shared" si="173"/>
        <v/>
      </c>
      <c r="GK636" s="2945" t="str">
        <f t="shared" si="174"/>
        <v/>
      </c>
      <c r="GL636" s="2945" t="str">
        <f t="shared" si="175"/>
        <v/>
      </c>
      <c r="GM636" s="2945" t="str">
        <f t="shared" si="176"/>
        <v/>
      </c>
      <c r="GN636" s="2945" t="str">
        <f t="shared" si="177"/>
        <v/>
      </c>
      <c r="GO636" s="2945" t="str">
        <f t="shared" si="178"/>
        <v/>
      </c>
      <c r="GP636" s="2945" t="str">
        <f t="shared" si="179"/>
        <v/>
      </c>
      <c r="GQ636" s="2945" t="str">
        <f t="shared" si="180"/>
        <v/>
      </c>
      <c r="GR636" s="2945" t="str">
        <f t="shared" si="181"/>
        <v/>
      </c>
      <c r="GS636" s="2945" t="str">
        <f t="shared" si="182"/>
        <v/>
      </c>
      <c r="GT636" s="2945" t="str">
        <f t="shared" si="183"/>
        <v/>
      </c>
      <c r="GU636" s="2945" t="str">
        <f t="shared" si="184"/>
        <v/>
      </c>
      <c r="GV636" s="2945" t="str">
        <f t="shared" si="185"/>
        <v/>
      </c>
      <c r="GW636" s="2945" t="str">
        <f t="shared" si="186"/>
        <v/>
      </c>
      <c r="GX636" s="2945" t="str">
        <f t="shared" si="187"/>
        <v/>
      </c>
      <c r="GY636" s="2945" t="str">
        <f t="shared" si="188"/>
        <v/>
      </c>
      <c r="GZ636" s="2945" t="str">
        <f t="shared" si="189"/>
        <v/>
      </c>
      <c r="HA636" s="2945" t="str">
        <f t="shared" si="190"/>
        <v/>
      </c>
      <c r="HB636" s="2945" t="str">
        <f t="shared" si="191"/>
        <v/>
      </c>
      <c r="HC636" s="2945" t="str">
        <f t="shared" si="192"/>
        <v/>
      </c>
      <c r="HD636" s="2945" t="str">
        <f t="shared" si="193"/>
        <v/>
      </c>
      <c r="HE636" s="2945" t="str">
        <f t="shared" si="194"/>
        <v/>
      </c>
      <c r="HF636" s="2945" t="str">
        <f t="shared" si="195"/>
        <v/>
      </c>
      <c r="HG636" s="2945" t="str">
        <f t="shared" si="196"/>
        <v/>
      </c>
      <c r="HH636" s="2945" t="str">
        <f t="shared" si="197"/>
        <v/>
      </c>
      <c r="HI636" s="2945" t="str">
        <f t="shared" si="198"/>
        <v/>
      </c>
      <c r="HJ636" s="2945" t="str">
        <f t="shared" si="199"/>
        <v/>
      </c>
      <c r="HK636" s="2945" t="str">
        <f t="shared" si="200"/>
        <v/>
      </c>
      <c r="HL636" s="2945" t="str">
        <f t="shared" si="201"/>
        <v/>
      </c>
      <c r="HM636" s="2945" t="str">
        <f t="shared" si="202"/>
        <v/>
      </c>
      <c r="HN636" s="2945" t="str">
        <f t="shared" si="203"/>
        <v/>
      </c>
      <c r="HO636" s="2945" t="str">
        <f t="shared" si="204"/>
        <v/>
      </c>
      <c r="HP636" s="2945" t="str">
        <f t="shared" si="205"/>
        <v/>
      </c>
      <c r="HQ636" s="2945" t="str">
        <f t="shared" si="206"/>
        <v/>
      </c>
      <c r="HR636" s="2945" t="str">
        <f t="shared" si="207"/>
        <v/>
      </c>
      <c r="HS636" s="2945" t="str">
        <f t="shared" si="208"/>
        <v/>
      </c>
      <c r="HT636" s="2945" t="str">
        <f t="shared" si="209"/>
        <v/>
      </c>
      <c r="HU636" s="2945" t="str">
        <f t="shared" si="210"/>
        <v/>
      </c>
      <c r="HV636" s="2945" t="str">
        <f t="shared" si="211"/>
        <v/>
      </c>
      <c r="HW636" s="2945" t="str">
        <f t="shared" si="212"/>
        <v/>
      </c>
      <c r="HX636" s="2945" t="str">
        <f t="shared" si="213"/>
        <v/>
      </c>
      <c r="HY636" s="2945" t="str">
        <f t="shared" si="214"/>
        <v/>
      </c>
      <c r="HZ636" s="2945" t="str">
        <f t="shared" si="215"/>
        <v/>
      </c>
      <c r="IA636" s="2945" t="str">
        <f t="shared" si="216"/>
        <v/>
      </c>
      <c r="IB636" s="2945" t="str">
        <f t="shared" si="217"/>
        <v/>
      </c>
      <c r="IC636" s="2911" t="str">
        <f t="shared" si="218"/>
        <v/>
      </c>
      <c r="ID636" s="2911" t="str">
        <f t="shared" si="219"/>
        <v/>
      </c>
      <c r="IE636" s="2911" t="str">
        <f t="shared" si="220"/>
        <v/>
      </c>
      <c r="IF636" s="2911" t="str">
        <f t="shared" si="221"/>
        <v/>
      </c>
      <c r="IG636" s="2911" t="str">
        <f t="shared" si="222"/>
        <v/>
      </c>
      <c r="IH636" s="926" t="str">
        <f t="shared" si="223"/>
        <v/>
      </c>
      <c r="II636" s="926" t="str">
        <f t="shared" si="224"/>
        <v/>
      </c>
      <c r="IJ636" s="926" t="str">
        <f t="shared" si="225"/>
        <v/>
      </c>
      <c r="IK636" s="926" t="str">
        <f t="shared" si="226"/>
        <v/>
      </c>
      <c r="IL636" s="926" t="str">
        <f t="shared" si="227"/>
        <v/>
      </c>
      <c r="IM636" s="926" t="str">
        <f t="shared" si="228"/>
        <v/>
      </c>
      <c r="IN636" s="926" t="str">
        <f t="shared" si="229"/>
        <v/>
      </c>
      <c r="IO636" s="926" t="str">
        <f t="shared" si="230"/>
        <v/>
      </c>
      <c r="IP636" s="926" t="str">
        <f t="shared" si="231"/>
        <v/>
      </c>
      <c r="IQ636" s="926" t="str">
        <f t="shared" si="232"/>
        <v/>
      </c>
      <c r="IR636" s="926" t="str">
        <f t="shared" si="233"/>
        <v/>
      </c>
      <c r="IS636" s="926" t="str">
        <f t="shared" si="234"/>
        <v/>
      </c>
      <c r="IT636" s="926" t="str">
        <f t="shared" si="235"/>
        <v/>
      </c>
      <c r="IU636" s="926" t="str">
        <f t="shared" si="236"/>
        <v/>
      </c>
      <c r="IV636" s="926" t="str">
        <f t="shared" si="237"/>
        <v/>
      </c>
      <c r="IW636" s="926" t="str">
        <f t="shared" si="238"/>
        <v/>
      </c>
      <c r="IX636" s="926" t="str">
        <f t="shared" si="239"/>
        <v/>
      </c>
      <c r="IY636" s="926" t="str">
        <f t="shared" si="240"/>
        <v/>
      </c>
      <c r="IZ636" s="926" t="str">
        <f t="shared" si="241"/>
        <v/>
      </c>
      <c r="JA636" s="926" t="str">
        <f t="shared" si="242"/>
        <v/>
      </c>
      <c r="JB636" s="2909">
        <f t="shared" si="243"/>
        <v>0</v>
      </c>
      <c r="JC636" s="2909">
        <f t="shared" si="244"/>
        <v>0</v>
      </c>
      <c r="JD636" s="2909">
        <f t="shared" si="245"/>
        <v>0</v>
      </c>
      <c r="JE636" s="2909">
        <f t="shared" si="246"/>
        <v>0</v>
      </c>
      <c r="JF636" s="2909">
        <f t="shared" si="247"/>
        <v>0</v>
      </c>
      <c r="JG636" s="2909">
        <f t="shared" si="248"/>
        <v>0</v>
      </c>
      <c r="JH636" s="2909">
        <f t="shared" si="249"/>
        <v>0</v>
      </c>
      <c r="JI636" s="2909">
        <f t="shared" si="250"/>
        <v>0</v>
      </c>
      <c r="JJ636" s="2909">
        <f t="shared" si="251"/>
        <v>0</v>
      </c>
      <c r="JK636" s="2909">
        <f t="shared" si="252"/>
        <v>0</v>
      </c>
      <c r="JL636" s="2909">
        <f t="shared" si="253"/>
        <v>0</v>
      </c>
      <c r="JM636" s="2909">
        <f t="shared" si="254"/>
        <v>0</v>
      </c>
      <c r="JN636" s="2909">
        <f t="shared" si="255"/>
        <v>0</v>
      </c>
      <c r="JO636" s="2909">
        <f t="shared" si="256"/>
        <v>0</v>
      </c>
      <c r="JP636" s="2909">
        <f t="shared" si="257"/>
        <v>0</v>
      </c>
    </row>
    <row r="637" spans="1:276" ht="12" customHeight="1">
      <c r="A637" s="2924" t="str">
        <f t="shared" si="0"/>
        <v/>
      </c>
      <c r="B637" s="2936" t="str">
        <f>'Part VI-Revenues &amp; Expenses'!B17</f>
        <v>&lt;&lt;Select&gt;&gt;</v>
      </c>
      <c r="C637" s="2937">
        <f>'Part VI-Revenues &amp; Expenses'!C17</f>
        <v>0</v>
      </c>
      <c r="D637" s="2938">
        <f>'Part VI-Revenues &amp; Expenses'!D17</f>
        <v>0</v>
      </c>
      <c r="E637" s="2939">
        <f>'Part VI-Revenues &amp; Expenses'!E17</f>
        <v>0</v>
      </c>
      <c r="F637" s="2939">
        <f>'Part VI-Revenues &amp; Expenses'!F17</f>
        <v>0</v>
      </c>
      <c r="G637" s="2939">
        <f>'Part VI-Revenues &amp; Expenses'!G17</f>
        <v>0</v>
      </c>
      <c r="H637" s="2939">
        <f>'Part VI-Revenues &amp; Expenses'!H17</f>
        <v>0</v>
      </c>
      <c r="I637" s="2939">
        <f>'Part VI-Revenues &amp; Expenses'!I17</f>
        <v>0</v>
      </c>
      <c r="J637" s="2940">
        <f>'Part VI-Revenues &amp; Expenses'!J17</f>
        <v>0</v>
      </c>
      <c r="K637" s="2941">
        <f t="shared" si="1"/>
        <v>0</v>
      </c>
      <c r="L637" s="2941">
        <f t="shared" si="2"/>
        <v>0</v>
      </c>
      <c r="M637" s="2918">
        <f>'Part VI-Revenues &amp; Expenses'!M17</f>
        <v>0</v>
      </c>
      <c r="N637" s="2918">
        <f>'Part VI-Revenues &amp; Expenses'!N17</f>
        <v>0</v>
      </c>
      <c r="O637" s="2918">
        <f>'Part VI-Revenues &amp; Expenses'!O17</f>
        <v>0</v>
      </c>
      <c r="P637" s="2918">
        <f>'Part VI-Revenues &amp; Expenses'!P17</f>
        <v>0</v>
      </c>
      <c r="Q637" s="2942">
        <f>IF(H637="","",P637/($O$626*VLOOKUP(C637,'DCA Underwriting Assumptions'!$J$118:$K$123,2,FALSE)))</f>
        <v>0</v>
      </c>
      <c r="R637" s="2943"/>
      <c r="S637" s="2942"/>
      <c r="T637" s="2944"/>
      <c r="U637" s="2944"/>
      <c r="V637" s="926" t="str">
        <f t="shared" si="3"/>
        <v/>
      </c>
      <c r="W637" s="926" t="str">
        <f t="shared" si="4"/>
        <v/>
      </c>
      <c r="X637" s="926" t="str">
        <f t="shared" si="5"/>
        <v/>
      </c>
      <c r="Y637" s="926" t="str">
        <f t="shared" si="6"/>
        <v/>
      </c>
      <c r="Z637" s="926" t="str">
        <f t="shared" si="7"/>
        <v/>
      </c>
      <c r="AA637" s="926" t="str">
        <f t="shared" si="8"/>
        <v/>
      </c>
      <c r="AB637" s="926" t="str">
        <f t="shared" si="9"/>
        <v/>
      </c>
      <c r="AC637" s="926" t="str">
        <f t="shared" si="10"/>
        <v/>
      </c>
      <c r="AD637" s="926" t="str">
        <f t="shared" si="11"/>
        <v/>
      </c>
      <c r="AE637" s="926" t="str">
        <f t="shared" si="12"/>
        <v/>
      </c>
      <c r="AF637" s="926" t="str">
        <f t="shared" si="13"/>
        <v/>
      </c>
      <c r="AG637" s="926" t="str">
        <f t="shared" si="14"/>
        <v/>
      </c>
      <c r="AH637" s="926" t="str">
        <f t="shared" si="15"/>
        <v/>
      </c>
      <c r="AI637" s="926" t="str">
        <f t="shared" si="16"/>
        <v/>
      </c>
      <c r="AJ637" s="926" t="str">
        <f t="shared" si="17"/>
        <v/>
      </c>
      <c r="AK637" s="926" t="str">
        <f t="shared" si="18"/>
        <v/>
      </c>
      <c r="AL637" s="926" t="str">
        <f t="shared" si="19"/>
        <v/>
      </c>
      <c r="AM637" s="926" t="str">
        <f t="shared" si="20"/>
        <v/>
      </c>
      <c r="AN637" s="926" t="str">
        <f t="shared" si="21"/>
        <v/>
      </c>
      <c r="AO637" s="926" t="str">
        <f t="shared" si="22"/>
        <v/>
      </c>
      <c r="AP637" s="926" t="str">
        <f t="shared" si="23"/>
        <v/>
      </c>
      <c r="AQ637" s="926" t="str">
        <f t="shared" si="24"/>
        <v/>
      </c>
      <c r="AR637" s="926" t="str">
        <f t="shared" si="25"/>
        <v/>
      </c>
      <c r="AS637" s="926" t="str">
        <f t="shared" si="26"/>
        <v/>
      </c>
      <c r="AT637" s="926" t="str">
        <f t="shared" si="27"/>
        <v/>
      </c>
      <c r="AU637" s="926" t="str">
        <f t="shared" si="28"/>
        <v/>
      </c>
      <c r="AV637" s="926" t="str">
        <f t="shared" si="29"/>
        <v/>
      </c>
      <c r="AW637" s="926" t="str">
        <f t="shared" si="30"/>
        <v/>
      </c>
      <c r="AX637" s="926" t="str">
        <f t="shared" si="31"/>
        <v/>
      </c>
      <c r="AY637" s="926" t="str">
        <f t="shared" si="32"/>
        <v/>
      </c>
      <c r="AZ637" s="926" t="str">
        <f t="shared" si="33"/>
        <v/>
      </c>
      <c r="BA637" s="926" t="str">
        <f t="shared" si="34"/>
        <v/>
      </c>
      <c r="BB637" s="926" t="str">
        <f t="shared" si="35"/>
        <v/>
      </c>
      <c r="BC637" s="926" t="str">
        <f t="shared" si="36"/>
        <v/>
      </c>
      <c r="BD637" s="926" t="str">
        <f t="shared" si="37"/>
        <v/>
      </c>
      <c r="BE637" s="926" t="str">
        <f t="shared" si="38"/>
        <v/>
      </c>
      <c r="BF637" s="926" t="str">
        <f t="shared" si="39"/>
        <v/>
      </c>
      <c r="BG637" s="926" t="str">
        <f t="shared" si="40"/>
        <v/>
      </c>
      <c r="BH637" s="926" t="str">
        <f t="shared" si="41"/>
        <v/>
      </c>
      <c r="BI637" s="926" t="str">
        <f t="shared" si="42"/>
        <v/>
      </c>
      <c r="BJ637" s="926" t="str">
        <f t="shared" si="43"/>
        <v/>
      </c>
      <c r="BK637" s="926" t="str">
        <f t="shared" si="44"/>
        <v/>
      </c>
      <c r="BL637" s="926" t="str">
        <f t="shared" si="45"/>
        <v/>
      </c>
      <c r="BM637" s="926" t="str">
        <f t="shared" si="46"/>
        <v/>
      </c>
      <c r="BN637" s="926" t="str">
        <f t="shared" si="47"/>
        <v/>
      </c>
      <c r="BO637" s="926" t="str">
        <f t="shared" si="48"/>
        <v/>
      </c>
      <c r="BP637" s="926" t="str">
        <f t="shared" si="49"/>
        <v/>
      </c>
      <c r="BQ637" s="926" t="str">
        <f t="shared" si="50"/>
        <v/>
      </c>
      <c r="BR637" s="926" t="str">
        <f t="shared" si="51"/>
        <v/>
      </c>
      <c r="BS637" s="926" t="str">
        <f t="shared" si="52"/>
        <v/>
      </c>
      <c r="BT637" s="926" t="str">
        <f t="shared" si="53"/>
        <v/>
      </c>
      <c r="BU637" s="926" t="str">
        <f t="shared" si="54"/>
        <v/>
      </c>
      <c r="BV637" s="926" t="str">
        <f t="shared" si="55"/>
        <v/>
      </c>
      <c r="BW637" s="926" t="str">
        <f t="shared" si="56"/>
        <v/>
      </c>
      <c r="BX637" s="926" t="str">
        <f t="shared" si="57"/>
        <v/>
      </c>
      <c r="BY637" s="926" t="str">
        <f t="shared" si="58"/>
        <v/>
      </c>
      <c r="BZ637" s="926" t="str">
        <f t="shared" si="59"/>
        <v/>
      </c>
      <c r="CA637" s="926" t="str">
        <f t="shared" si="60"/>
        <v/>
      </c>
      <c r="CB637" s="926" t="str">
        <f t="shared" si="61"/>
        <v/>
      </c>
      <c r="CC637" s="926" t="str">
        <f t="shared" si="62"/>
        <v/>
      </c>
      <c r="CD637" s="926" t="str">
        <f t="shared" si="63"/>
        <v/>
      </c>
      <c r="CE637" s="926" t="str">
        <f t="shared" si="64"/>
        <v/>
      </c>
      <c r="CF637" s="926" t="str">
        <f t="shared" si="65"/>
        <v/>
      </c>
      <c r="CG637" s="926" t="str">
        <f t="shared" si="66"/>
        <v/>
      </c>
      <c r="CH637" s="926" t="str">
        <f t="shared" si="67"/>
        <v/>
      </c>
      <c r="CI637" s="926" t="str">
        <f t="shared" si="68"/>
        <v/>
      </c>
      <c r="CJ637" s="926" t="str">
        <f t="shared" si="69"/>
        <v/>
      </c>
      <c r="CK637" s="926" t="str">
        <f t="shared" si="70"/>
        <v/>
      </c>
      <c r="CL637" s="926" t="str">
        <f t="shared" si="71"/>
        <v/>
      </c>
      <c r="CM637" s="926" t="str">
        <f t="shared" si="72"/>
        <v/>
      </c>
      <c r="CN637" s="926" t="str">
        <f t="shared" si="73"/>
        <v/>
      </c>
      <c r="CO637" s="926" t="str">
        <f t="shared" si="74"/>
        <v/>
      </c>
      <c r="CP637" s="926" t="str">
        <f t="shared" si="75"/>
        <v/>
      </c>
      <c r="CQ637" s="926" t="str">
        <f t="shared" si="76"/>
        <v/>
      </c>
      <c r="CR637" s="926" t="str">
        <f t="shared" si="77"/>
        <v/>
      </c>
      <c r="CS637" s="926" t="str">
        <f t="shared" si="78"/>
        <v/>
      </c>
      <c r="CT637" s="926" t="str">
        <f t="shared" si="79"/>
        <v/>
      </c>
      <c r="CU637" s="926" t="str">
        <f t="shared" si="80"/>
        <v/>
      </c>
      <c r="CV637" s="926" t="str">
        <f t="shared" si="81"/>
        <v/>
      </c>
      <c r="CW637" s="926" t="str">
        <f t="shared" si="82"/>
        <v/>
      </c>
      <c r="CX637" s="926" t="str">
        <f t="shared" si="83"/>
        <v/>
      </c>
      <c r="CY637" s="926" t="str">
        <f t="shared" si="84"/>
        <v/>
      </c>
      <c r="CZ637" s="926" t="str">
        <f t="shared" si="85"/>
        <v/>
      </c>
      <c r="DA637" s="926" t="str">
        <f t="shared" si="86"/>
        <v/>
      </c>
      <c r="DB637" s="926" t="str">
        <f t="shared" si="87"/>
        <v/>
      </c>
      <c r="DC637" s="926" t="str">
        <f t="shared" si="88"/>
        <v/>
      </c>
      <c r="DD637" s="926" t="str">
        <f t="shared" si="89"/>
        <v/>
      </c>
      <c r="DE637" s="926" t="str">
        <f t="shared" si="90"/>
        <v/>
      </c>
      <c r="DF637" s="926" t="str">
        <f t="shared" si="91"/>
        <v/>
      </c>
      <c r="DG637" s="926" t="str">
        <f t="shared" si="92"/>
        <v/>
      </c>
      <c r="DH637" s="926" t="str">
        <f t="shared" si="93"/>
        <v/>
      </c>
      <c r="DI637" s="926" t="str">
        <f t="shared" si="94"/>
        <v/>
      </c>
      <c r="DJ637" s="926" t="str">
        <f t="shared" si="95"/>
        <v/>
      </c>
      <c r="DK637" s="926" t="str">
        <f t="shared" si="96"/>
        <v/>
      </c>
      <c r="DL637" s="926" t="str">
        <f t="shared" si="97"/>
        <v/>
      </c>
      <c r="DM637" s="926" t="str">
        <f t="shared" si="98"/>
        <v/>
      </c>
      <c r="DN637" s="926" t="str">
        <f t="shared" si="99"/>
        <v/>
      </c>
      <c r="DO637" s="926" t="str">
        <f t="shared" si="100"/>
        <v/>
      </c>
      <c r="DP637" s="926" t="str">
        <f t="shared" si="101"/>
        <v/>
      </c>
      <c r="DQ637" s="926" t="str">
        <f t="shared" si="102"/>
        <v/>
      </c>
      <c r="DR637" s="926" t="str">
        <f t="shared" si="103"/>
        <v/>
      </c>
      <c r="DS637" s="926" t="str">
        <f t="shared" si="104"/>
        <v/>
      </c>
      <c r="DT637" s="926" t="str">
        <f t="shared" si="105"/>
        <v/>
      </c>
      <c r="DU637" s="926" t="str">
        <f t="shared" si="106"/>
        <v/>
      </c>
      <c r="DV637" s="926" t="str">
        <f t="shared" si="107"/>
        <v/>
      </c>
      <c r="DW637" s="926" t="str">
        <f t="shared" si="108"/>
        <v/>
      </c>
      <c r="DX637" s="926" t="str">
        <f t="shared" si="109"/>
        <v/>
      </c>
      <c r="DY637" s="926" t="str">
        <f t="shared" si="110"/>
        <v/>
      </c>
      <c r="DZ637" s="926" t="str">
        <f t="shared" si="111"/>
        <v/>
      </c>
      <c r="EA637" s="926" t="str">
        <f t="shared" si="112"/>
        <v/>
      </c>
      <c r="EB637" s="926" t="str">
        <f t="shared" si="113"/>
        <v/>
      </c>
      <c r="EC637" s="926" t="str">
        <f t="shared" si="114"/>
        <v/>
      </c>
      <c r="ED637" s="926" t="str">
        <f t="shared" si="115"/>
        <v/>
      </c>
      <c r="EE637" s="926" t="str">
        <f t="shared" si="116"/>
        <v/>
      </c>
      <c r="EF637" s="926" t="str">
        <f t="shared" si="117"/>
        <v/>
      </c>
      <c r="EG637" s="926" t="str">
        <f t="shared" si="118"/>
        <v/>
      </c>
      <c r="EH637" s="926" t="str">
        <f t="shared" si="119"/>
        <v/>
      </c>
      <c r="EI637" s="926" t="str">
        <f t="shared" si="120"/>
        <v/>
      </c>
      <c r="EJ637" s="926" t="str">
        <f t="shared" si="121"/>
        <v/>
      </c>
      <c r="EK637" s="926" t="str">
        <f t="shared" si="122"/>
        <v/>
      </c>
      <c r="EL637" s="926" t="str">
        <f t="shared" si="123"/>
        <v/>
      </c>
      <c r="EM637" s="926" t="str">
        <f t="shared" si="124"/>
        <v/>
      </c>
      <c r="EN637" s="926" t="str">
        <f t="shared" si="125"/>
        <v/>
      </c>
      <c r="EO637" s="926" t="str">
        <f t="shared" si="126"/>
        <v/>
      </c>
      <c r="EP637" s="926" t="str">
        <f t="shared" si="127"/>
        <v/>
      </c>
      <c r="EQ637" s="926" t="str">
        <f t="shared" si="128"/>
        <v/>
      </c>
      <c r="ER637" s="926" t="str">
        <f t="shared" si="129"/>
        <v/>
      </c>
      <c r="ES637" s="926" t="str">
        <f t="shared" si="130"/>
        <v/>
      </c>
      <c r="ET637" s="926" t="str">
        <f t="shared" si="131"/>
        <v/>
      </c>
      <c r="EU637" s="926" t="str">
        <f t="shared" si="132"/>
        <v/>
      </c>
      <c r="EV637" s="2945" t="str">
        <f t="shared" si="133"/>
        <v/>
      </c>
      <c r="EW637" s="2945" t="str">
        <f t="shared" si="134"/>
        <v/>
      </c>
      <c r="EX637" s="2945" t="str">
        <f t="shared" si="135"/>
        <v/>
      </c>
      <c r="EY637" s="2945" t="str">
        <f t="shared" si="136"/>
        <v/>
      </c>
      <c r="EZ637" s="2945" t="str">
        <f t="shared" si="137"/>
        <v/>
      </c>
      <c r="FA637" s="2945" t="str">
        <f t="shared" si="138"/>
        <v/>
      </c>
      <c r="FB637" s="2945" t="str">
        <f t="shared" si="139"/>
        <v/>
      </c>
      <c r="FC637" s="2945" t="str">
        <f t="shared" si="140"/>
        <v/>
      </c>
      <c r="FD637" s="2945" t="str">
        <f t="shared" si="141"/>
        <v/>
      </c>
      <c r="FE637" s="2945" t="str">
        <f t="shared" si="142"/>
        <v/>
      </c>
      <c r="FF637" s="2945" t="str">
        <f t="shared" si="143"/>
        <v/>
      </c>
      <c r="FG637" s="2945" t="str">
        <f t="shared" si="144"/>
        <v/>
      </c>
      <c r="FH637" s="2945" t="str">
        <f t="shared" si="145"/>
        <v/>
      </c>
      <c r="FI637" s="2945" t="str">
        <f t="shared" si="146"/>
        <v/>
      </c>
      <c r="FJ637" s="2945" t="str">
        <f t="shared" si="147"/>
        <v/>
      </c>
      <c r="FK637" s="2945" t="str">
        <f t="shared" si="148"/>
        <v/>
      </c>
      <c r="FL637" s="2945" t="str">
        <f t="shared" si="149"/>
        <v/>
      </c>
      <c r="FM637" s="2945" t="str">
        <f t="shared" si="150"/>
        <v/>
      </c>
      <c r="FN637" s="2945" t="str">
        <f t="shared" si="151"/>
        <v/>
      </c>
      <c r="FO637" s="2945" t="str">
        <f t="shared" si="152"/>
        <v/>
      </c>
      <c r="FP637" s="2945" t="str">
        <f t="shared" si="153"/>
        <v/>
      </c>
      <c r="FQ637" s="2945" t="str">
        <f t="shared" si="154"/>
        <v/>
      </c>
      <c r="FR637" s="2945" t="str">
        <f t="shared" si="155"/>
        <v/>
      </c>
      <c r="FS637" s="2945" t="str">
        <f t="shared" si="156"/>
        <v/>
      </c>
      <c r="FT637" s="2945" t="str">
        <f t="shared" si="157"/>
        <v/>
      </c>
      <c r="FU637" s="2945" t="str">
        <f t="shared" si="158"/>
        <v/>
      </c>
      <c r="FV637" s="2945" t="str">
        <f t="shared" si="159"/>
        <v/>
      </c>
      <c r="FW637" s="2945" t="str">
        <f t="shared" si="160"/>
        <v/>
      </c>
      <c r="FX637" s="2945" t="str">
        <f t="shared" si="161"/>
        <v/>
      </c>
      <c r="FY637" s="2945" t="str">
        <f t="shared" si="162"/>
        <v/>
      </c>
      <c r="FZ637" s="2945" t="str">
        <f t="shared" si="163"/>
        <v/>
      </c>
      <c r="GA637" s="2945" t="str">
        <f t="shared" si="164"/>
        <v/>
      </c>
      <c r="GB637" s="2945" t="str">
        <f t="shared" si="165"/>
        <v/>
      </c>
      <c r="GC637" s="2945" t="str">
        <f t="shared" si="166"/>
        <v/>
      </c>
      <c r="GD637" s="2945" t="str">
        <f t="shared" si="167"/>
        <v/>
      </c>
      <c r="GE637" s="2945" t="str">
        <f t="shared" si="168"/>
        <v/>
      </c>
      <c r="GF637" s="2945" t="str">
        <f t="shared" si="169"/>
        <v/>
      </c>
      <c r="GG637" s="2945" t="str">
        <f t="shared" si="170"/>
        <v/>
      </c>
      <c r="GH637" s="2945" t="str">
        <f t="shared" si="171"/>
        <v/>
      </c>
      <c r="GI637" s="2945" t="str">
        <f t="shared" si="172"/>
        <v/>
      </c>
      <c r="GJ637" s="2945" t="str">
        <f t="shared" si="173"/>
        <v/>
      </c>
      <c r="GK637" s="2945" t="str">
        <f t="shared" si="174"/>
        <v/>
      </c>
      <c r="GL637" s="2945" t="str">
        <f t="shared" si="175"/>
        <v/>
      </c>
      <c r="GM637" s="2945" t="str">
        <f t="shared" si="176"/>
        <v/>
      </c>
      <c r="GN637" s="2945" t="str">
        <f t="shared" si="177"/>
        <v/>
      </c>
      <c r="GO637" s="2945" t="str">
        <f t="shared" si="178"/>
        <v/>
      </c>
      <c r="GP637" s="2945" t="str">
        <f t="shared" si="179"/>
        <v/>
      </c>
      <c r="GQ637" s="2945" t="str">
        <f t="shared" si="180"/>
        <v/>
      </c>
      <c r="GR637" s="2945" t="str">
        <f t="shared" si="181"/>
        <v/>
      </c>
      <c r="GS637" s="2945" t="str">
        <f t="shared" si="182"/>
        <v/>
      </c>
      <c r="GT637" s="2945" t="str">
        <f t="shared" si="183"/>
        <v/>
      </c>
      <c r="GU637" s="2945" t="str">
        <f t="shared" si="184"/>
        <v/>
      </c>
      <c r="GV637" s="2945" t="str">
        <f t="shared" si="185"/>
        <v/>
      </c>
      <c r="GW637" s="2945" t="str">
        <f t="shared" si="186"/>
        <v/>
      </c>
      <c r="GX637" s="2945" t="str">
        <f t="shared" si="187"/>
        <v/>
      </c>
      <c r="GY637" s="2945" t="str">
        <f t="shared" si="188"/>
        <v/>
      </c>
      <c r="GZ637" s="2945" t="str">
        <f t="shared" si="189"/>
        <v/>
      </c>
      <c r="HA637" s="2945" t="str">
        <f t="shared" si="190"/>
        <v/>
      </c>
      <c r="HB637" s="2945" t="str">
        <f t="shared" si="191"/>
        <v/>
      </c>
      <c r="HC637" s="2945" t="str">
        <f t="shared" si="192"/>
        <v/>
      </c>
      <c r="HD637" s="2945" t="str">
        <f t="shared" si="193"/>
        <v/>
      </c>
      <c r="HE637" s="2945" t="str">
        <f t="shared" si="194"/>
        <v/>
      </c>
      <c r="HF637" s="2945" t="str">
        <f t="shared" si="195"/>
        <v/>
      </c>
      <c r="HG637" s="2945" t="str">
        <f t="shared" si="196"/>
        <v/>
      </c>
      <c r="HH637" s="2945" t="str">
        <f t="shared" si="197"/>
        <v/>
      </c>
      <c r="HI637" s="2945" t="str">
        <f t="shared" si="198"/>
        <v/>
      </c>
      <c r="HJ637" s="2945" t="str">
        <f t="shared" si="199"/>
        <v/>
      </c>
      <c r="HK637" s="2945" t="str">
        <f t="shared" si="200"/>
        <v/>
      </c>
      <c r="HL637" s="2945" t="str">
        <f t="shared" si="201"/>
        <v/>
      </c>
      <c r="HM637" s="2945" t="str">
        <f t="shared" si="202"/>
        <v/>
      </c>
      <c r="HN637" s="2945" t="str">
        <f t="shared" si="203"/>
        <v/>
      </c>
      <c r="HO637" s="2945" t="str">
        <f t="shared" si="204"/>
        <v/>
      </c>
      <c r="HP637" s="2945" t="str">
        <f t="shared" si="205"/>
        <v/>
      </c>
      <c r="HQ637" s="2945" t="str">
        <f t="shared" si="206"/>
        <v/>
      </c>
      <c r="HR637" s="2945" t="str">
        <f t="shared" si="207"/>
        <v/>
      </c>
      <c r="HS637" s="2945" t="str">
        <f t="shared" si="208"/>
        <v/>
      </c>
      <c r="HT637" s="2945" t="str">
        <f t="shared" si="209"/>
        <v/>
      </c>
      <c r="HU637" s="2945" t="str">
        <f t="shared" si="210"/>
        <v/>
      </c>
      <c r="HV637" s="2945" t="str">
        <f t="shared" si="211"/>
        <v/>
      </c>
      <c r="HW637" s="2945" t="str">
        <f t="shared" si="212"/>
        <v/>
      </c>
      <c r="HX637" s="2945" t="str">
        <f t="shared" si="213"/>
        <v/>
      </c>
      <c r="HY637" s="2945" t="str">
        <f t="shared" si="214"/>
        <v/>
      </c>
      <c r="HZ637" s="2945" t="str">
        <f t="shared" si="215"/>
        <v/>
      </c>
      <c r="IA637" s="2945" t="str">
        <f t="shared" si="216"/>
        <v/>
      </c>
      <c r="IB637" s="2945" t="str">
        <f t="shared" si="217"/>
        <v/>
      </c>
      <c r="IC637" s="2911" t="str">
        <f t="shared" si="218"/>
        <v/>
      </c>
      <c r="ID637" s="2911" t="str">
        <f t="shared" si="219"/>
        <v/>
      </c>
      <c r="IE637" s="2911" t="str">
        <f t="shared" si="220"/>
        <v/>
      </c>
      <c r="IF637" s="2911" t="str">
        <f t="shared" si="221"/>
        <v/>
      </c>
      <c r="IG637" s="2911" t="str">
        <f t="shared" si="222"/>
        <v/>
      </c>
      <c r="IH637" s="926" t="str">
        <f t="shared" si="223"/>
        <v/>
      </c>
      <c r="II637" s="926" t="str">
        <f t="shared" si="224"/>
        <v/>
      </c>
      <c r="IJ637" s="926" t="str">
        <f t="shared" si="225"/>
        <v/>
      </c>
      <c r="IK637" s="926" t="str">
        <f t="shared" si="226"/>
        <v/>
      </c>
      <c r="IL637" s="926" t="str">
        <f t="shared" si="227"/>
        <v/>
      </c>
      <c r="IM637" s="926" t="str">
        <f t="shared" si="228"/>
        <v/>
      </c>
      <c r="IN637" s="926" t="str">
        <f t="shared" si="229"/>
        <v/>
      </c>
      <c r="IO637" s="926" t="str">
        <f t="shared" si="230"/>
        <v/>
      </c>
      <c r="IP637" s="926" t="str">
        <f t="shared" si="231"/>
        <v/>
      </c>
      <c r="IQ637" s="926" t="str">
        <f t="shared" si="232"/>
        <v/>
      </c>
      <c r="IR637" s="926" t="str">
        <f t="shared" si="233"/>
        <v/>
      </c>
      <c r="IS637" s="926" t="str">
        <f t="shared" si="234"/>
        <v/>
      </c>
      <c r="IT637" s="926" t="str">
        <f t="shared" si="235"/>
        <v/>
      </c>
      <c r="IU637" s="926" t="str">
        <f t="shared" si="236"/>
        <v/>
      </c>
      <c r="IV637" s="926" t="str">
        <f t="shared" si="237"/>
        <v/>
      </c>
      <c r="IW637" s="926" t="str">
        <f t="shared" si="238"/>
        <v/>
      </c>
      <c r="IX637" s="926" t="str">
        <f t="shared" si="239"/>
        <v/>
      </c>
      <c r="IY637" s="926" t="str">
        <f t="shared" si="240"/>
        <v/>
      </c>
      <c r="IZ637" s="926" t="str">
        <f t="shared" si="241"/>
        <v/>
      </c>
      <c r="JA637" s="926" t="str">
        <f t="shared" si="242"/>
        <v/>
      </c>
      <c r="JB637" s="2909">
        <f t="shared" si="243"/>
        <v>0</v>
      </c>
      <c r="JC637" s="2909">
        <f t="shared" si="244"/>
        <v>0</v>
      </c>
      <c r="JD637" s="2909">
        <f t="shared" si="245"/>
        <v>0</v>
      </c>
      <c r="JE637" s="2909">
        <f t="shared" si="246"/>
        <v>0</v>
      </c>
      <c r="JF637" s="2909">
        <f t="shared" si="247"/>
        <v>0</v>
      </c>
      <c r="JG637" s="2909">
        <f t="shared" si="248"/>
        <v>0</v>
      </c>
      <c r="JH637" s="2909">
        <f t="shared" si="249"/>
        <v>0</v>
      </c>
      <c r="JI637" s="2909">
        <f t="shared" si="250"/>
        <v>0</v>
      </c>
      <c r="JJ637" s="2909">
        <f t="shared" si="251"/>
        <v>0</v>
      </c>
      <c r="JK637" s="2909">
        <f t="shared" si="252"/>
        <v>0</v>
      </c>
      <c r="JL637" s="2909">
        <f t="shared" si="253"/>
        <v>0</v>
      </c>
      <c r="JM637" s="2909">
        <f t="shared" si="254"/>
        <v>0</v>
      </c>
      <c r="JN637" s="2909">
        <f t="shared" si="255"/>
        <v>0</v>
      </c>
      <c r="JO637" s="2909">
        <f t="shared" si="256"/>
        <v>0</v>
      </c>
      <c r="JP637" s="2909">
        <f t="shared" si="257"/>
        <v>0</v>
      </c>
    </row>
    <row r="638" spans="1:276" ht="12" customHeight="1">
      <c r="A638" s="2924" t="str">
        <f t="shared" si="0"/>
        <v/>
      </c>
      <c r="B638" s="2936" t="str">
        <f>'Part VI-Revenues &amp; Expenses'!B18</f>
        <v>&lt;&lt;Select&gt;&gt;</v>
      </c>
      <c r="C638" s="2937">
        <f>'Part VI-Revenues &amp; Expenses'!C18</f>
        <v>0</v>
      </c>
      <c r="D638" s="2938">
        <f>'Part VI-Revenues &amp; Expenses'!D18</f>
        <v>0</v>
      </c>
      <c r="E638" s="2939">
        <f>'Part VI-Revenues &amp; Expenses'!E18</f>
        <v>0</v>
      </c>
      <c r="F638" s="2939">
        <f>'Part VI-Revenues &amp; Expenses'!F18</f>
        <v>0</v>
      </c>
      <c r="G638" s="2939">
        <f>'Part VI-Revenues &amp; Expenses'!G18</f>
        <v>0</v>
      </c>
      <c r="H638" s="2939">
        <f>'Part VI-Revenues &amp; Expenses'!H18</f>
        <v>0</v>
      </c>
      <c r="I638" s="2939">
        <f>'Part VI-Revenues &amp; Expenses'!I18</f>
        <v>0</v>
      </c>
      <c r="J638" s="2940">
        <f>'Part VI-Revenues &amp; Expenses'!J18</f>
        <v>0</v>
      </c>
      <c r="K638" s="2941">
        <f t="shared" si="1"/>
        <v>0</v>
      </c>
      <c r="L638" s="2941">
        <f t="shared" si="2"/>
        <v>0</v>
      </c>
      <c r="M638" s="2918">
        <f>'Part VI-Revenues &amp; Expenses'!M18</f>
        <v>0</v>
      </c>
      <c r="N638" s="2918">
        <f>'Part VI-Revenues &amp; Expenses'!N18</f>
        <v>0</v>
      </c>
      <c r="O638" s="2918">
        <f>'Part VI-Revenues &amp; Expenses'!O18</f>
        <v>0</v>
      </c>
      <c r="P638" s="2918">
        <f>'Part VI-Revenues &amp; Expenses'!P18</f>
        <v>0</v>
      </c>
      <c r="Q638" s="2942">
        <f>IF(H638="","",P638/($O$626*VLOOKUP(C638,'DCA Underwriting Assumptions'!$J$118:$K$123,2,FALSE)))</f>
        <v>0</v>
      </c>
      <c r="R638" s="2943"/>
      <c r="S638" s="2942"/>
      <c r="T638" s="2944"/>
      <c r="U638" s="2944"/>
      <c r="V638" s="926" t="str">
        <f t="shared" si="3"/>
        <v/>
      </c>
      <c r="W638" s="926" t="str">
        <f t="shared" si="4"/>
        <v/>
      </c>
      <c r="X638" s="926" t="str">
        <f t="shared" si="5"/>
        <v/>
      </c>
      <c r="Y638" s="926" t="str">
        <f t="shared" si="6"/>
        <v/>
      </c>
      <c r="Z638" s="926" t="str">
        <f t="shared" si="7"/>
        <v/>
      </c>
      <c r="AA638" s="926" t="str">
        <f t="shared" si="8"/>
        <v/>
      </c>
      <c r="AB638" s="926" t="str">
        <f t="shared" si="9"/>
        <v/>
      </c>
      <c r="AC638" s="926" t="str">
        <f t="shared" si="10"/>
        <v/>
      </c>
      <c r="AD638" s="926" t="str">
        <f t="shared" si="11"/>
        <v/>
      </c>
      <c r="AE638" s="926" t="str">
        <f t="shared" si="12"/>
        <v/>
      </c>
      <c r="AF638" s="926" t="str">
        <f t="shared" si="13"/>
        <v/>
      </c>
      <c r="AG638" s="926" t="str">
        <f t="shared" si="14"/>
        <v/>
      </c>
      <c r="AH638" s="926" t="str">
        <f t="shared" si="15"/>
        <v/>
      </c>
      <c r="AI638" s="926" t="str">
        <f t="shared" si="16"/>
        <v/>
      </c>
      <c r="AJ638" s="926" t="str">
        <f t="shared" si="17"/>
        <v/>
      </c>
      <c r="AK638" s="926" t="str">
        <f t="shared" si="18"/>
        <v/>
      </c>
      <c r="AL638" s="926" t="str">
        <f t="shared" si="19"/>
        <v/>
      </c>
      <c r="AM638" s="926" t="str">
        <f t="shared" si="20"/>
        <v/>
      </c>
      <c r="AN638" s="926" t="str">
        <f t="shared" si="21"/>
        <v/>
      </c>
      <c r="AO638" s="926" t="str">
        <f t="shared" si="22"/>
        <v/>
      </c>
      <c r="AP638" s="926" t="str">
        <f t="shared" si="23"/>
        <v/>
      </c>
      <c r="AQ638" s="926" t="str">
        <f t="shared" si="24"/>
        <v/>
      </c>
      <c r="AR638" s="926" t="str">
        <f t="shared" si="25"/>
        <v/>
      </c>
      <c r="AS638" s="926" t="str">
        <f t="shared" si="26"/>
        <v/>
      </c>
      <c r="AT638" s="926" t="str">
        <f t="shared" si="27"/>
        <v/>
      </c>
      <c r="AU638" s="926" t="str">
        <f t="shared" si="28"/>
        <v/>
      </c>
      <c r="AV638" s="926" t="str">
        <f t="shared" si="29"/>
        <v/>
      </c>
      <c r="AW638" s="926" t="str">
        <f t="shared" si="30"/>
        <v/>
      </c>
      <c r="AX638" s="926" t="str">
        <f t="shared" si="31"/>
        <v/>
      </c>
      <c r="AY638" s="926" t="str">
        <f t="shared" si="32"/>
        <v/>
      </c>
      <c r="AZ638" s="926" t="str">
        <f t="shared" si="33"/>
        <v/>
      </c>
      <c r="BA638" s="926" t="str">
        <f t="shared" si="34"/>
        <v/>
      </c>
      <c r="BB638" s="926" t="str">
        <f t="shared" si="35"/>
        <v/>
      </c>
      <c r="BC638" s="926" t="str">
        <f t="shared" si="36"/>
        <v/>
      </c>
      <c r="BD638" s="926" t="str">
        <f t="shared" si="37"/>
        <v/>
      </c>
      <c r="BE638" s="926" t="str">
        <f t="shared" si="38"/>
        <v/>
      </c>
      <c r="BF638" s="926" t="str">
        <f t="shared" si="39"/>
        <v/>
      </c>
      <c r="BG638" s="926" t="str">
        <f t="shared" si="40"/>
        <v/>
      </c>
      <c r="BH638" s="926" t="str">
        <f t="shared" si="41"/>
        <v/>
      </c>
      <c r="BI638" s="926" t="str">
        <f t="shared" si="42"/>
        <v/>
      </c>
      <c r="BJ638" s="926" t="str">
        <f t="shared" si="43"/>
        <v/>
      </c>
      <c r="BK638" s="926" t="str">
        <f t="shared" si="44"/>
        <v/>
      </c>
      <c r="BL638" s="926" t="str">
        <f t="shared" si="45"/>
        <v/>
      </c>
      <c r="BM638" s="926" t="str">
        <f t="shared" si="46"/>
        <v/>
      </c>
      <c r="BN638" s="926" t="str">
        <f t="shared" si="47"/>
        <v/>
      </c>
      <c r="BO638" s="926" t="str">
        <f t="shared" si="48"/>
        <v/>
      </c>
      <c r="BP638" s="926" t="str">
        <f t="shared" si="49"/>
        <v/>
      </c>
      <c r="BQ638" s="926" t="str">
        <f t="shared" si="50"/>
        <v/>
      </c>
      <c r="BR638" s="926" t="str">
        <f t="shared" si="51"/>
        <v/>
      </c>
      <c r="BS638" s="926" t="str">
        <f t="shared" si="52"/>
        <v/>
      </c>
      <c r="BT638" s="926" t="str">
        <f t="shared" si="53"/>
        <v/>
      </c>
      <c r="BU638" s="926" t="str">
        <f t="shared" si="54"/>
        <v/>
      </c>
      <c r="BV638" s="926" t="str">
        <f t="shared" si="55"/>
        <v/>
      </c>
      <c r="BW638" s="926" t="str">
        <f t="shared" si="56"/>
        <v/>
      </c>
      <c r="BX638" s="926" t="str">
        <f t="shared" si="57"/>
        <v/>
      </c>
      <c r="BY638" s="926" t="str">
        <f t="shared" si="58"/>
        <v/>
      </c>
      <c r="BZ638" s="926" t="str">
        <f t="shared" si="59"/>
        <v/>
      </c>
      <c r="CA638" s="926" t="str">
        <f t="shared" si="60"/>
        <v/>
      </c>
      <c r="CB638" s="926" t="str">
        <f t="shared" si="61"/>
        <v/>
      </c>
      <c r="CC638" s="926" t="str">
        <f t="shared" si="62"/>
        <v/>
      </c>
      <c r="CD638" s="926" t="str">
        <f t="shared" si="63"/>
        <v/>
      </c>
      <c r="CE638" s="926" t="str">
        <f t="shared" si="64"/>
        <v/>
      </c>
      <c r="CF638" s="926" t="str">
        <f t="shared" si="65"/>
        <v/>
      </c>
      <c r="CG638" s="926" t="str">
        <f t="shared" si="66"/>
        <v/>
      </c>
      <c r="CH638" s="926" t="str">
        <f t="shared" si="67"/>
        <v/>
      </c>
      <c r="CI638" s="926" t="str">
        <f t="shared" si="68"/>
        <v/>
      </c>
      <c r="CJ638" s="926" t="str">
        <f t="shared" si="69"/>
        <v/>
      </c>
      <c r="CK638" s="926" t="str">
        <f t="shared" si="70"/>
        <v/>
      </c>
      <c r="CL638" s="926" t="str">
        <f t="shared" si="71"/>
        <v/>
      </c>
      <c r="CM638" s="926" t="str">
        <f t="shared" si="72"/>
        <v/>
      </c>
      <c r="CN638" s="926" t="str">
        <f t="shared" si="73"/>
        <v/>
      </c>
      <c r="CO638" s="926" t="str">
        <f t="shared" si="74"/>
        <v/>
      </c>
      <c r="CP638" s="926" t="str">
        <f t="shared" si="75"/>
        <v/>
      </c>
      <c r="CQ638" s="926" t="str">
        <f t="shared" si="76"/>
        <v/>
      </c>
      <c r="CR638" s="926" t="str">
        <f t="shared" si="77"/>
        <v/>
      </c>
      <c r="CS638" s="926" t="str">
        <f t="shared" si="78"/>
        <v/>
      </c>
      <c r="CT638" s="926" t="str">
        <f t="shared" si="79"/>
        <v/>
      </c>
      <c r="CU638" s="926" t="str">
        <f t="shared" si="80"/>
        <v/>
      </c>
      <c r="CV638" s="926" t="str">
        <f t="shared" si="81"/>
        <v/>
      </c>
      <c r="CW638" s="926" t="str">
        <f t="shared" si="82"/>
        <v/>
      </c>
      <c r="CX638" s="926" t="str">
        <f t="shared" si="83"/>
        <v/>
      </c>
      <c r="CY638" s="926" t="str">
        <f t="shared" si="84"/>
        <v/>
      </c>
      <c r="CZ638" s="926" t="str">
        <f t="shared" si="85"/>
        <v/>
      </c>
      <c r="DA638" s="926" t="str">
        <f t="shared" si="86"/>
        <v/>
      </c>
      <c r="DB638" s="926" t="str">
        <f t="shared" si="87"/>
        <v/>
      </c>
      <c r="DC638" s="926" t="str">
        <f t="shared" si="88"/>
        <v/>
      </c>
      <c r="DD638" s="926" t="str">
        <f t="shared" si="89"/>
        <v/>
      </c>
      <c r="DE638" s="926" t="str">
        <f t="shared" si="90"/>
        <v/>
      </c>
      <c r="DF638" s="926" t="str">
        <f t="shared" si="91"/>
        <v/>
      </c>
      <c r="DG638" s="926" t="str">
        <f t="shared" si="92"/>
        <v/>
      </c>
      <c r="DH638" s="926" t="str">
        <f t="shared" si="93"/>
        <v/>
      </c>
      <c r="DI638" s="926" t="str">
        <f t="shared" si="94"/>
        <v/>
      </c>
      <c r="DJ638" s="926" t="str">
        <f t="shared" si="95"/>
        <v/>
      </c>
      <c r="DK638" s="926" t="str">
        <f t="shared" si="96"/>
        <v/>
      </c>
      <c r="DL638" s="926" t="str">
        <f t="shared" si="97"/>
        <v/>
      </c>
      <c r="DM638" s="926" t="str">
        <f t="shared" si="98"/>
        <v/>
      </c>
      <c r="DN638" s="926" t="str">
        <f t="shared" si="99"/>
        <v/>
      </c>
      <c r="DO638" s="926" t="str">
        <f t="shared" si="100"/>
        <v/>
      </c>
      <c r="DP638" s="926" t="str">
        <f t="shared" si="101"/>
        <v/>
      </c>
      <c r="DQ638" s="926" t="str">
        <f t="shared" si="102"/>
        <v/>
      </c>
      <c r="DR638" s="926" t="str">
        <f t="shared" si="103"/>
        <v/>
      </c>
      <c r="DS638" s="926" t="str">
        <f t="shared" si="104"/>
        <v/>
      </c>
      <c r="DT638" s="926" t="str">
        <f t="shared" si="105"/>
        <v/>
      </c>
      <c r="DU638" s="926" t="str">
        <f t="shared" si="106"/>
        <v/>
      </c>
      <c r="DV638" s="926" t="str">
        <f t="shared" si="107"/>
        <v/>
      </c>
      <c r="DW638" s="926" t="str">
        <f t="shared" si="108"/>
        <v/>
      </c>
      <c r="DX638" s="926" t="str">
        <f t="shared" si="109"/>
        <v/>
      </c>
      <c r="DY638" s="926" t="str">
        <f t="shared" si="110"/>
        <v/>
      </c>
      <c r="DZ638" s="926" t="str">
        <f t="shared" si="111"/>
        <v/>
      </c>
      <c r="EA638" s="926" t="str">
        <f t="shared" si="112"/>
        <v/>
      </c>
      <c r="EB638" s="926" t="str">
        <f t="shared" si="113"/>
        <v/>
      </c>
      <c r="EC638" s="926" t="str">
        <f t="shared" si="114"/>
        <v/>
      </c>
      <c r="ED638" s="926" t="str">
        <f t="shared" si="115"/>
        <v/>
      </c>
      <c r="EE638" s="926" t="str">
        <f t="shared" si="116"/>
        <v/>
      </c>
      <c r="EF638" s="926" t="str">
        <f t="shared" si="117"/>
        <v/>
      </c>
      <c r="EG638" s="926" t="str">
        <f t="shared" si="118"/>
        <v/>
      </c>
      <c r="EH638" s="926" t="str">
        <f t="shared" si="119"/>
        <v/>
      </c>
      <c r="EI638" s="926" t="str">
        <f t="shared" si="120"/>
        <v/>
      </c>
      <c r="EJ638" s="926" t="str">
        <f t="shared" si="121"/>
        <v/>
      </c>
      <c r="EK638" s="926" t="str">
        <f t="shared" si="122"/>
        <v/>
      </c>
      <c r="EL638" s="926" t="str">
        <f t="shared" si="123"/>
        <v/>
      </c>
      <c r="EM638" s="926" t="str">
        <f t="shared" si="124"/>
        <v/>
      </c>
      <c r="EN638" s="926" t="str">
        <f t="shared" si="125"/>
        <v/>
      </c>
      <c r="EO638" s="926" t="str">
        <f t="shared" si="126"/>
        <v/>
      </c>
      <c r="EP638" s="926" t="str">
        <f t="shared" si="127"/>
        <v/>
      </c>
      <c r="EQ638" s="926" t="str">
        <f t="shared" si="128"/>
        <v/>
      </c>
      <c r="ER638" s="926" t="str">
        <f t="shared" si="129"/>
        <v/>
      </c>
      <c r="ES638" s="926" t="str">
        <f t="shared" si="130"/>
        <v/>
      </c>
      <c r="ET638" s="926" t="str">
        <f t="shared" si="131"/>
        <v/>
      </c>
      <c r="EU638" s="926" t="str">
        <f t="shared" si="132"/>
        <v/>
      </c>
      <c r="EV638" s="2945" t="str">
        <f t="shared" si="133"/>
        <v/>
      </c>
      <c r="EW638" s="2945" t="str">
        <f t="shared" si="134"/>
        <v/>
      </c>
      <c r="EX638" s="2945" t="str">
        <f t="shared" si="135"/>
        <v/>
      </c>
      <c r="EY638" s="2945" t="str">
        <f t="shared" si="136"/>
        <v/>
      </c>
      <c r="EZ638" s="2945" t="str">
        <f t="shared" si="137"/>
        <v/>
      </c>
      <c r="FA638" s="2945" t="str">
        <f t="shared" si="138"/>
        <v/>
      </c>
      <c r="FB638" s="2945" t="str">
        <f t="shared" si="139"/>
        <v/>
      </c>
      <c r="FC638" s="2945" t="str">
        <f t="shared" si="140"/>
        <v/>
      </c>
      <c r="FD638" s="2945" t="str">
        <f t="shared" si="141"/>
        <v/>
      </c>
      <c r="FE638" s="2945" t="str">
        <f t="shared" si="142"/>
        <v/>
      </c>
      <c r="FF638" s="2945" t="str">
        <f t="shared" si="143"/>
        <v/>
      </c>
      <c r="FG638" s="2945" t="str">
        <f t="shared" si="144"/>
        <v/>
      </c>
      <c r="FH638" s="2945" t="str">
        <f t="shared" si="145"/>
        <v/>
      </c>
      <c r="FI638" s="2945" t="str">
        <f t="shared" si="146"/>
        <v/>
      </c>
      <c r="FJ638" s="2945" t="str">
        <f t="shared" si="147"/>
        <v/>
      </c>
      <c r="FK638" s="2945" t="str">
        <f t="shared" si="148"/>
        <v/>
      </c>
      <c r="FL638" s="2945" t="str">
        <f t="shared" si="149"/>
        <v/>
      </c>
      <c r="FM638" s="2945" t="str">
        <f t="shared" si="150"/>
        <v/>
      </c>
      <c r="FN638" s="2945" t="str">
        <f t="shared" si="151"/>
        <v/>
      </c>
      <c r="FO638" s="2945" t="str">
        <f t="shared" si="152"/>
        <v/>
      </c>
      <c r="FP638" s="2945" t="str">
        <f t="shared" si="153"/>
        <v/>
      </c>
      <c r="FQ638" s="2945" t="str">
        <f t="shared" si="154"/>
        <v/>
      </c>
      <c r="FR638" s="2945" t="str">
        <f t="shared" si="155"/>
        <v/>
      </c>
      <c r="FS638" s="2945" t="str">
        <f t="shared" si="156"/>
        <v/>
      </c>
      <c r="FT638" s="2945" t="str">
        <f t="shared" si="157"/>
        <v/>
      </c>
      <c r="FU638" s="2945" t="str">
        <f t="shared" si="158"/>
        <v/>
      </c>
      <c r="FV638" s="2945" t="str">
        <f t="shared" si="159"/>
        <v/>
      </c>
      <c r="FW638" s="2945" t="str">
        <f t="shared" si="160"/>
        <v/>
      </c>
      <c r="FX638" s="2945" t="str">
        <f t="shared" si="161"/>
        <v/>
      </c>
      <c r="FY638" s="2945" t="str">
        <f t="shared" si="162"/>
        <v/>
      </c>
      <c r="FZ638" s="2945" t="str">
        <f t="shared" si="163"/>
        <v/>
      </c>
      <c r="GA638" s="2945" t="str">
        <f t="shared" si="164"/>
        <v/>
      </c>
      <c r="GB638" s="2945" t="str">
        <f t="shared" si="165"/>
        <v/>
      </c>
      <c r="GC638" s="2945" t="str">
        <f t="shared" si="166"/>
        <v/>
      </c>
      <c r="GD638" s="2945" t="str">
        <f t="shared" si="167"/>
        <v/>
      </c>
      <c r="GE638" s="2945" t="str">
        <f t="shared" si="168"/>
        <v/>
      </c>
      <c r="GF638" s="2945" t="str">
        <f t="shared" si="169"/>
        <v/>
      </c>
      <c r="GG638" s="2945" t="str">
        <f t="shared" si="170"/>
        <v/>
      </c>
      <c r="GH638" s="2945" t="str">
        <f t="shared" si="171"/>
        <v/>
      </c>
      <c r="GI638" s="2945" t="str">
        <f t="shared" si="172"/>
        <v/>
      </c>
      <c r="GJ638" s="2945" t="str">
        <f t="shared" si="173"/>
        <v/>
      </c>
      <c r="GK638" s="2945" t="str">
        <f t="shared" si="174"/>
        <v/>
      </c>
      <c r="GL638" s="2945" t="str">
        <f t="shared" si="175"/>
        <v/>
      </c>
      <c r="GM638" s="2945" t="str">
        <f t="shared" si="176"/>
        <v/>
      </c>
      <c r="GN638" s="2945" t="str">
        <f t="shared" si="177"/>
        <v/>
      </c>
      <c r="GO638" s="2945" t="str">
        <f t="shared" si="178"/>
        <v/>
      </c>
      <c r="GP638" s="2945" t="str">
        <f t="shared" si="179"/>
        <v/>
      </c>
      <c r="GQ638" s="2945" t="str">
        <f t="shared" si="180"/>
        <v/>
      </c>
      <c r="GR638" s="2945" t="str">
        <f t="shared" si="181"/>
        <v/>
      </c>
      <c r="GS638" s="2945" t="str">
        <f t="shared" si="182"/>
        <v/>
      </c>
      <c r="GT638" s="2945" t="str">
        <f t="shared" si="183"/>
        <v/>
      </c>
      <c r="GU638" s="2945" t="str">
        <f t="shared" si="184"/>
        <v/>
      </c>
      <c r="GV638" s="2945" t="str">
        <f t="shared" si="185"/>
        <v/>
      </c>
      <c r="GW638" s="2945" t="str">
        <f t="shared" si="186"/>
        <v/>
      </c>
      <c r="GX638" s="2945" t="str">
        <f t="shared" si="187"/>
        <v/>
      </c>
      <c r="GY638" s="2945" t="str">
        <f t="shared" si="188"/>
        <v/>
      </c>
      <c r="GZ638" s="2945" t="str">
        <f t="shared" si="189"/>
        <v/>
      </c>
      <c r="HA638" s="2945" t="str">
        <f t="shared" si="190"/>
        <v/>
      </c>
      <c r="HB638" s="2945" t="str">
        <f t="shared" si="191"/>
        <v/>
      </c>
      <c r="HC638" s="2945" t="str">
        <f t="shared" si="192"/>
        <v/>
      </c>
      <c r="HD638" s="2945" t="str">
        <f t="shared" si="193"/>
        <v/>
      </c>
      <c r="HE638" s="2945" t="str">
        <f t="shared" si="194"/>
        <v/>
      </c>
      <c r="HF638" s="2945" t="str">
        <f t="shared" si="195"/>
        <v/>
      </c>
      <c r="HG638" s="2945" t="str">
        <f t="shared" si="196"/>
        <v/>
      </c>
      <c r="HH638" s="2945" t="str">
        <f t="shared" si="197"/>
        <v/>
      </c>
      <c r="HI638" s="2945" t="str">
        <f t="shared" si="198"/>
        <v/>
      </c>
      <c r="HJ638" s="2945" t="str">
        <f t="shared" si="199"/>
        <v/>
      </c>
      <c r="HK638" s="2945" t="str">
        <f t="shared" si="200"/>
        <v/>
      </c>
      <c r="HL638" s="2945" t="str">
        <f t="shared" si="201"/>
        <v/>
      </c>
      <c r="HM638" s="2945" t="str">
        <f t="shared" si="202"/>
        <v/>
      </c>
      <c r="HN638" s="2945" t="str">
        <f t="shared" si="203"/>
        <v/>
      </c>
      <c r="HO638" s="2945" t="str">
        <f t="shared" si="204"/>
        <v/>
      </c>
      <c r="HP638" s="2945" t="str">
        <f t="shared" si="205"/>
        <v/>
      </c>
      <c r="HQ638" s="2945" t="str">
        <f t="shared" si="206"/>
        <v/>
      </c>
      <c r="HR638" s="2945" t="str">
        <f t="shared" si="207"/>
        <v/>
      </c>
      <c r="HS638" s="2945" t="str">
        <f t="shared" si="208"/>
        <v/>
      </c>
      <c r="HT638" s="2945" t="str">
        <f t="shared" si="209"/>
        <v/>
      </c>
      <c r="HU638" s="2945" t="str">
        <f t="shared" si="210"/>
        <v/>
      </c>
      <c r="HV638" s="2945" t="str">
        <f t="shared" si="211"/>
        <v/>
      </c>
      <c r="HW638" s="2945" t="str">
        <f t="shared" si="212"/>
        <v/>
      </c>
      <c r="HX638" s="2945" t="str">
        <f t="shared" si="213"/>
        <v/>
      </c>
      <c r="HY638" s="2945" t="str">
        <f t="shared" si="214"/>
        <v/>
      </c>
      <c r="HZ638" s="2945" t="str">
        <f t="shared" si="215"/>
        <v/>
      </c>
      <c r="IA638" s="2945" t="str">
        <f t="shared" si="216"/>
        <v/>
      </c>
      <c r="IB638" s="2945" t="str">
        <f t="shared" si="217"/>
        <v/>
      </c>
      <c r="IC638" s="2911" t="str">
        <f t="shared" si="218"/>
        <v/>
      </c>
      <c r="ID638" s="2911" t="str">
        <f t="shared" si="219"/>
        <v/>
      </c>
      <c r="IE638" s="2911" t="str">
        <f t="shared" si="220"/>
        <v/>
      </c>
      <c r="IF638" s="2911" t="str">
        <f t="shared" si="221"/>
        <v/>
      </c>
      <c r="IG638" s="2911" t="str">
        <f t="shared" si="222"/>
        <v/>
      </c>
      <c r="IH638" s="926" t="str">
        <f t="shared" si="223"/>
        <v/>
      </c>
      <c r="II638" s="926" t="str">
        <f t="shared" si="224"/>
        <v/>
      </c>
      <c r="IJ638" s="926" t="str">
        <f t="shared" si="225"/>
        <v/>
      </c>
      <c r="IK638" s="926" t="str">
        <f t="shared" si="226"/>
        <v/>
      </c>
      <c r="IL638" s="926" t="str">
        <f t="shared" si="227"/>
        <v/>
      </c>
      <c r="IM638" s="926" t="str">
        <f t="shared" si="228"/>
        <v/>
      </c>
      <c r="IN638" s="926" t="str">
        <f t="shared" si="229"/>
        <v/>
      </c>
      <c r="IO638" s="926" t="str">
        <f t="shared" si="230"/>
        <v/>
      </c>
      <c r="IP638" s="926" t="str">
        <f t="shared" si="231"/>
        <v/>
      </c>
      <c r="IQ638" s="926" t="str">
        <f t="shared" si="232"/>
        <v/>
      </c>
      <c r="IR638" s="926" t="str">
        <f t="shared" si="233"/>
        <v/>
      </c>
      <c r="IS638" s="926" t="str">
        <f t="shared" si="234"/>
        <v/>
      </c>
      <c r="IT638" s="926" t="str">
        <f t="shared" si="235"/>
        <v/>
      </c>
      <c r="IU638" s="926" t="str">
        <f t="shared" si="236"/>
        <v/>
      </c>
      <c r="IV638" s="926" t="str">
        <f t="shared" si="237"/>
        <v/>
      </c>
      <c r="IW638" s="926" t="str">
        <f t="shared" si="238"/>
        <v/>
      </c>
      <c r="IX638" s="926" t="str">
        <f t="shared" si="239"/>
        <v/>
      </c>
      <c r="IY638" s="926" t="str">
        <f t="shared" si="240"/>
        <v/>
      </c>
      <c r="IZ638" s="926" t="str">
        <f t="shared" si="241"/>
        <v/>
      </c>
      <c r="JA638" s="926" t="str">
        <f t="shared" si="242"/>
        <v/>
      </c>
      <c r="JB638" s="2909">
        <f t="shared" si="243"/>
        <v>0</v>
      </c>
      <c r="JC638" s="2909">
        <f t="shared" si="244"/>
        <v>0</v>
      </c>
      <c r="JD638" s="2909">
        <f t="shared" si="245"/>
        <v>0</v>
      </c>
      <c r="JE638" s="2909">
        <f t="shared" si="246"/>
        <v>0</v>
      </c>
      <c r="JF638" s="2909">
        <f t="shared" si="247"/>
        <v>0</v>
      </c>
      <c r="JG638" s="2909">
        <f t="shared" si="248"/>
        <v>0</v>
      </c>
      <c r="JH638" s="2909">
        <f t="shared" si="249"/>
        <v>0</v>
      </c>
      <c r="JI638" s="2909">
        <f t="shared" si="250"/>
        <v>0</v>
      </c>
      <c r="JJ638" s="2909">
        <f t="shared" si="251"/>
        <v>0</v>
      </c>
      <c r="JK638" s="2909">
        <f t="shared" si="252"/>
        <v>0</v>
      </c>
      <c r="JL638" s="2909">
        <f t="shared" si="253"/>
        <v>0</v>
      </c>
      <c r="JM638" s="2909">
        <f t="shared" si="254"/>
        <v>0</v>
      </c>
      <c r="JN638" s="2909">
        <f t="shared" si="255"/>
        <v>0</v>
      </c>
      <c r="JO638" s="2909">
        <f t="shared" si="256"/>
        <v>0</v>
      </c>
      <c r="JP638" s="2909">
        <f t="shared" si="257"/>
        <v>0</v>
      </c>
    </row>
    <row r="639" spans="1:276" ht="12" customHeight="1">
      <c r="A639" s="2924" t="str">
        <f t="shared" si="0"/>
        <v/>
      </c>
      <c r="B639" s="2936" t="str">
        <f>'Part VI-Revenues &amp; Expenses'!B19</f>
        <v>&lt;&lt;Select&gt;&gt;</v>
      </c>
      <c r="C639" s="2937">
        <f>'Part VI-Revenues &amp; Expenses'!C19</f>
        <v>0</v>
      </c>
      <c r="D639" s="2938">
        <f>'Part VI-Revenues &amp; Expenses'!D19</f>
        <v>0</v>
      </c>
      <c r="E639" s="2939">
        <f>'Part VI-Revenues &amp; Expenses'!E19</f>
        <v>0</v>
      </c>
      <c r="F639" s="2939">
        <f>'Part VI-Revenues &amp; Expenses'!F19</f>
        <v>0</v>
      </c>
      <c r="G639" s="2939">
        <f>'Part VI-Revenues &amp; Expenses'!G19</f>
        <v>0</v>
      </c>
      <c r="H639" s="2939">
        <f>'Part VI-Revenues &amp; Expenses'!H19</f>
        <v>0</v>
      </c>
      <c r="I639" s="2939">
        <f>'Part VI-Revenues &amp; Expenses'!I19</f>
        <v>0</v>
      </c>
      <c r="J639" s="2940">
        <f>'Part VI-Revenues &amp; Expenses'!J19</f>
        <v>0</v>
      </c>
      <c r="K639" s="2941">
        <f t="shared" si="1"/>
        <v>0</v>
      </c>
      <c r="L639" s="2941">
        <f t="shared" si="2"/>
        <v>0</v>
      </c>
      <c r="M639" s="2918">
        <f>'Part VI-Revenues &amp; Expenses'!M19</f>
        <v>0</v>
      </c>
      <c r="N639" s="2918">
        <f>'Part VI-Revenues &amp; Expenses'!N19</f>
        <v>0</v>
      </c>
      <c r="O639" s="2918">
        <f>'Part VI-Revenues &amp; Expenses'!O19</f>
        <v>0</v>
      </c>
      <c r="P639" s="2918">
        <f>'Part VI-Revenues &amp; Expenses'!P19</f>
        <v>0</v>
      </c>
      <c r="Q639" s="2942">
        <f>IF(H639="","",P639/($O$626*VLOOKUP(C639,'DCA Underwriting Assumptions'!$J$118:$K$123,2,FALSE)))</f>
        <v>0</v>
      </c>
      <c r="R639" s="2943"/>
      <c r="S639" s="2942"/>
      <c r="T639" s="2944"/>
      <c r="U639" s="2944"/>
      <c r="V639" s="926" t="str">
        <f t="shared" si="3"/>
        <v/>
      </c>
      <c r="W639" s="926" t="str">
        <f t="shared" si="4"/>
        <v/>
      </c>
      <c r="X639" s="926" t="str">
        <f t="shared" si="5"/>
        <v/>
      </c>
      <c r="Y639" s="926" t="str">
        <f t="shared" si="6"/>
        <v/>
      </c>
      <c r="Z639" s="926" t="str">
        <f t="shared" si="7"/>
        <v/>
      </c>
      <c r="AA639" s="926" t="str">
        <f t="shared" si="8"/>
        <v/>
      </c>
      <c r="AB639" s="926" t="str">
        <f t="shared" si="9"/>
        <v/>
      </c>
      <c r="AC639" s="926" t="str">
        <f t="shared" si="10"/>
        <v/>
      </c>
      <c r="AD639" s="926" t="str">
        <f t="shared" si="11"/>
        <v/>
      </c>
      <c r="AE639" s="926" t="str">
        <f t="shared" si="12"/>
        <v/>
      </c>
      <c r="AF639" s="926" t="str">
        <f t="shared" si="13"/>
        <v/>
      </c>
      <c r="AG639" s="926" t="str">
        <f t="shared" si="14"/>
        <v/>
      </c>
      <c r="AH639" s="926" t="str">
        <f t="shared" si="15"/>
        <v/>
      </c>
      <c r="AI639" s="926" t="str">
        <f t="shared" si="16"/>
        <v/>
      </c>
      <c r="AJ639" s="926" t="str">
        <f t="shared" si="17"/>
        <v/>
      </c>
      <c r="AK639" s="926" t="str">
        <f t="shared" si="18"/>
        <v/>
      </c>
      <c r="AL639" s="926" t="str">
        <f t="shared" si="19"/>
        <v/>
      </c>
      <c r="AM639" s="926" t="str">
        <f t="shared" si="20"/>
        <v/>
      </c>
      <c r="AN639" s="926" t="str">
        <f t="shared" si="21"/>
        <v/>
      </c>
      <c r="AO639" s="926" t="str">
        <f t="shared" si="22"/>
        <v/>
      </c>
      <c r="AP639" s="926" t="str">
        <f t="shared" si="23"/>
        <v/>
      </c>
      <c r="AQ639" s="926" t="str">
        <f t="shared" si="24"/>
        <v/>
      </c>
      <c r="AR639" s="926" t="str">
        <f t="shared" si="25"/>
        <v/>
      </c>
      <c r="AS639" s="926" t="str">
        <f t="shared" si="26"/>
        <v/>
      </c>
      <c r="AT639" s="926" t="str">
        <f t="shared" si="27"/>
        <v/>
      </c>
      <c r="AU639" s="926" t="str">
        <f t="shared" si="28"/>
        <v/>
      </c>
      <c r="AV639" s="926" t="str">
        <f t="shared" si="29"/>
        <v/>
      </c>
      <c r="AW639" s="926" t="str">
        <f t="shared" si="30"/>
        <v/>
      </c>
      <c r="AX639" s="926" t="str">
        <f t="shared" si="31"/>
        <v/>
      </c>
      <c r="AY639" s="926" t="str">
        <f t="shared" si="32"/>
        <v/>
      </c>
      <c r="AZ639" s="926" t="str">
        <f t="shared" si="33"/>
        <v/>
      </c>
      <c r="BA639" s="926" t="str">
        <f t="shared" si="34"/>
        <v/>
      </c>
      <c r="BB639" s="926" t="str">
        <f t="shared" si="35"/>
        <v/>
      </c>
      <c r="BC639" s="926" t="str">
        <f t="shared" si="36"/>
        <v/>
      </c>
      <c r="BD639" s="926" t="str">
        <f t="shared" si="37"/>
        <v/>
      </c>
      <c r="BE639" s="926" t="str">
        <f t="shared" si="38"/>
        <v/>
      </c>
      <c r="BF639" s="926" t="str">
        <f t="shared" si="39"/>
        <v/>
      </c>
      <c r="BG639" s="926" t="str">
        <f t="shared" si="40"/>
        <v/>
      </c>
      <c r="BH639" s="926" t="str">
        <f t="shared" si="41"/>
        <v/>
      </c>
      <c r="BI639" s="926" t="str">
        <f t="shared" si="42"/>
        <v/>
      </c>
      <c r="BJ639" s="926" t="str">
        <f t="shared" si="43"/>
        <v/>
      </c>
      <c r="BK639" s="926" t="str">
        <f t="shared" si="44"/>
        <v/>
      </c>
      <c r="BL639" s="926" t="str">
        <f t="shared" si="45"/>
        <v/>
      </c>
      <c r="BM639" s="926" t="str">
        <f t="shared" si="46"/>
        <v/>
      </c>
      <c r="BN639" s="926" t="str">
        <f t="shared" si="47"/>
        <v/>
      </c>
      <c r="BO639" s="926" t="str">
        <f t="shared" si="48"/>
        <v/>
      </c>
      <c r="BP639" s="926" t="str">
        <f t="shared" si="49"/>
        <v/>
      </c>
      <c r="BQ639" s="926" t="str">
        <f t="shared" si="50"/>
        <v/>
      </c>
      <c r="BR639" s="926" t="str">
        <f t="shared" si="51"/>
        <v/>
      </c>
      <c r="BS639" s="926" t="str">
        <f t="shared" si="52"/>
        <v/>
      </c>
      <c r="BT639" s="926" t="str">
        <f t="shared" si="53"/>
        <v/>
      </c>
      <c r="BU639" s="926" t="str">
        <f t="shared" si="54"/>
        <v/>
      </c>
      <c r="BV639" s="926" t="str">
        <f t="shared" si="55"/>
        <v/>
      </c>
      <c r="BW639" s="926" t="str">
        <f t="shared" si="56"/>
        <v/>
      </c>
      <c r="BX639" s="926" t="str">
        <f t="shared" si="57"/>
        <v/>
      </c>
      <c r="BY639" s="926" t="str">
        <f t="shared" si="58"/>
        <v/>
      </c>
      <c r="BZ639" s="926" t="str">
        <f t="shared" si="59"/>
        <v/>
      </c>
      <c r="CA639" s="926" t="str">
        <f t="shared" si="60"/>
        <v/>
      </c>
      <c r="CB639" s="926" t="str">
        <f t="shared" si="61"/>
        <v/>
      </c>
      <c r="CC639" s="926" t="str">
        <f t="shared" si="62"/>
        <v/>
      </c>
      <c r="CD639" s="926" t="str">
        <f t="shared" si="63"/>
        <v/>
      </c>
      <c r="CE639" s="926" t="str">
        <f t="shared" si="64"/>
        <v/>
      </c>
      <c r="CF639" s="926" t="str">
        <f t="shared" si="65"/>
        <v/>
      </c>
      <c r="CG639" s="926" t="str">
        <f t="shared" si="66"/>
        <v/>
      </c>
      <c r="CH639" s="926" t="str">
        <f t="shared" si="67"/>
        <v/>
      </c>
      <c r="CI639" s="926" t="str">
        <f t="shared" si="68"/>
        <v/>
      </c>
      <c r="CJ639" s="926" t="str">
        <f t="shared" si="69"/>
        <v/>
      </c>
      <c r="CK639" s="926" t="str">
        <f t="shared" si="70"/>
        <v/>
      </c>
      <c r="CL639" s="926" t="str">
        <f t="shared" si="71"/>
        <v/>
      </c>
      <c r="CM639" s="926" t="str">
        <f t="shared" si="72"/>
        <v/>
      </c>
      <c r="CN639" s="926" t="str">
        <f t="shared" si="73"/>
        <v/>
      </c>
      <c r="CO639" s="926" t="str">
        <f t="shared" si="74"/>
        <v/>
      </c>
      <c r="CP639" s="926" t="str">
        <f t="shared" si="75"/>
        <v/>
      </c>
      <c r="CQ639" s="926" t="str">
        <f t="shared" si="76"/>
        <v/>
      </c>
      <c r="CR639" s="926" t="str">
        <f t="shared" si="77"/>
        <v/>
      </c>
      <c r="CS639" s="926" t="str">
        <f t="shared" si="78"/>
        <v/>
      </c>
      <c r="CT639" s="926" t="str">
        <f t="shared" si="79"/>
        <v/>
      </c>
      <c r="CU639" s="926" t="str">
        <f t="shared" si="80"/>
        <v/>
      </c>
      <c r="CV639" s="926" t="str">
        <f t="shared" si="81"/>
        <v/>
      </c>
      <c r="CW639" s="926" t="str">
        <f t="shared" si="82"/>
        <v/>
      </c>
      <c r="CX639" s="926" t="str">
        <f t="shared" si="83"/>
        <v/>
      </c>
      <c r="CY639" s="926" t="str">
        <f t="shared" si="84"/>
        <v/>
      </c>
      <c r="CZ639" s="926" t="str">
        <f t="shared" si="85"/>
        <v/>
      </c>
      <c r="DA639" s="926" t="str">
        <f t="shared" si="86"/>
        <v/>
      </c>
      <c r="DB639" s="926" t="str">
        <f t="shared" si="87"/>
        <v/>
      </c>
      <c r="DC639" s="926" t="str">
        <f t="shared" si="88"/>
        <v/>
      </c>
      <c r="DD639" s="926" t="str">
        <f t="shared" si="89"/>
        <v/>
      </c>
      <c r="DE639" s="926" t="str">
        <f t="shared" si="90"/>
        <v/>
      </c>
      <c r="DF639" s="926" t="str">
        <f t="shared" si="91"/>
        <v/>
      </c>
      <c r="DG639" s="926" t="str">
        <f t="shared" si="92"/>
        <v/>
      </c>
      <c r="DH639" s="926" t="str">
        <f t="shared" si="93"/>
        <v/>
      </c>
      <c r="DI639" s="926" t="str">
        <f t="shared" si="94"/>
        <v/>
      </c>
      <c r="DJ639" s="926" t="str">
        <f t="shared" si="95"/>
        <v/>
      </c>
      <c r="DK639" s="926" t="str">
        <f t="shared" si="96"/>
        <v/>
      </c>
      <c r="DL639" s="926" t="str">
        <f t="shared" si="97"/>
        <v/>
      </c>
      <c r="DM639" s="926" t="str">
        <f t="shared" si="98"/>
        <v/>
      </c>
      <c r="DN639" s="926" t="str">
        <f t="shared" si="99"/>
        <v/>
      </c>
      <c r="DO639" s="926" t="str">
        <f t="shared" si="100"/>
        <v/>
      </c>
      <c r="DP639" s="926" t="str">
        <f t="shared" si="101"/>
        <v/>
      </c>
      <c r="DQ639" s="926" t="str">
        <f t="shared" si="102"/>
        <v/>
      </c>
      <c r="DR639" s="926" t="str">
        <f t="shared" si="103"/>
        <v/>
      </c>
      <c r="DS639" s="926" t="str">
        <f t="shared" si="104"/>
        <v/>
      </c>
      <c r="DT639" s="926" t="str">
        <f t="shared" si="105"/>
        <v/>
      </c>
      <c r="DU639" s="926" t="str">
        <f t="shared" si="106"/>
        <v/>
      </c>
      <c r="DV639" s="926" t="str">
        <f t="shared" si="107"/>
        <v/>
      </c>
      <c r="DW639" s="926" t="str">
        <f t="shared" si="108"/>
        <v/>
      </c>
      <c r="DX639" s="926" t="str">
        <f t="shared" si="109"/>
        <v/>
      </c>
      <c r="DY639" s="926" t="str">
        <f t="shared" si="110"/>
        <v/>
      </c>
      <c r="DZ639" s="926" t="str">
        <f t="shared" si="111"/>
        <v/>
      </c>
      <c r="EA639" s="926" t="str">
        <f t="shared" si="112"/>
        <v/>
      </c>
      <c r="EB639" s="926" t="str">
        <f t="shared" si="113"/>
        <v/>
      </c>
      <c r="EC639" s="926" t="str">
        <f t="shared" si="114"/>
        <v/>
      </c>
      <c r="ED639" s="926" t="str">
        <f t="shared" si="115"/>
        <v/>
      </c>
      <c r="EE639" s="926" t="str">
        <f t="shared" si="116"/>
        <v/>
      </c>
      <c r="EF639" s="926" t="str">
        <f t="shared" si="117"/>
        <v/>
      </c>
      <c r="EG639" s="926" t="str">
        <f t="shared" si="118"/>
        <v/>
      </c>
      <c r="EH639" s="926" t="str">
        <f t="shared" si="119"/>
        <v/>
      </c>
      <c r="EI639" s="926" t="str">
        <f t="shared" si="120"/>
        <v/>
      </c>
      <c r="EJ639" s="926" t="str">
        <f t="shared" si="121"/>
        <v/>
      </c>
      <c r="EK639" s="926" t="str">
        <f t="shared" si="122"/>
        <v/>
      </c>
      <c r="EL639" s="926" t="str">
        <f t="shared" si="123"/>
        <v/>
      </c>
      <c r="EM639" s="926" t="str">
        <f t="shared" si="124"/>
        <v/>
      </c>
      <c r="EN639" s="926" t="str">
        <f t="shared" si="125"/>
        <v/>
      </c>
      <c r="EO639" s="926" t="str">
        <f t="shared" si="126"/>
        <v/>
      </c>
      <c r="EP639" s="926" t="str">
        <f t="shared" si="127"/>
        <v/>
      </c>
      <c r="EQ639" s="926" t="str">
        <f t="shared" si="128"/>
        <v/>
      </c>
      <c r="ER639" s="926" t="str">
        <f t="shared" si="129"/>
        <v/>
      </c>
      <c r="ES639" s="926" t="str">
        <f t="shared" si="130"/>
        <v/>
      </c>
      <c r="ET639" s="926" t="str">
        <f t="shared" si="131"/>
        <v/>
      </c>
      <c r="EU639" s="926" t="str">
        <f t="shared" si="132"/>
        <v/>
      </c>
      <c r="EV639" s="2945" t="str">
        <f t="shared" si="133"/>
        <v/>
      </c>
      <c r="EW639" s="2945" t="str">
        <f t="shared" si="134"/>
        <v/>
      </c>
      <c r="EX639" s="2945" t="str">
        <f t="shared" si="135"/>
        <v/>
      </c>
      <c r="EY639" s="2945" t="str">
        <f t="shared" si="136"/>
        <v/>
      </c>
      <c r="EZ639" s="2945" t="str">
        <f t="shared" si="137"/>
        <v/>
      </c>
      <c r="FA639" s="2945" t="str">
        <f t="shared" si="138"/>
        <v/>
      </c>
      <c r="FB639" s="2945" t="str">
        <f t="shared" si="139"/>
        <v/>
      </c>
      <c r="FC639" s="2945" t="str">
        <f t="shared" si="140"/>
        <v/>
      </c>
      <c r="FD639" s="2945" t="str">
        <f t="shared" si="141"/>
        <v/>
      </c>
      <c r="FE639" s="2945" t="str">
        <f t="shared" si="142"/>
        <v/>
      </c>
      <c r="FF639" s="2945" t="str">
        <f t="shared" si="143"/>
        <v/>
      </c>
      <c r="FG639" s="2945" t="str">
        <f t="shared" si="144"/>
        <v/>
      </c>
      <c r="FH639" s="2945" t="str">
        <f t="shared" si="145"/>
        <v/>
      </c>
      <c r="FI639" s="2945" t="str">
        <f t="shared" si="146"/>
        <v/>
      </c>
      <c r="FJ639" s="2945" t="str">
        <f t="shared" si="147"/>
        <v/>
      </c>
      <c r="FK639" s="2945" t="str">
        <f t="shared" si="148"/>
        <v/>
      </c>
      <c r="FL639" s="2945" t="str">
        <f t="shared" si="149"/>
        <v/>
      </c>
      <c r="FM639" s="2945" t="str">
        <f t="shared" si="150"/>
        <v/>
      </c>
      <c r="FN639" s="2945" t="str">
        <f t="shared" si="151"/>
        <v/>
      </c>
      <c r="FO639" s="2945" t="str">
        <f t="shared" si="152"/>
        <v/>
      </c>
      <c r="FP639" s="2945" t="str">
        <f t="shared" si="153"/>
        <v/>
      </c>
      <c r="FQ639" s="2945" t="str">
        <f t="shared" si="154"/>
        <v/>
      </c>
      <c r="FR639" s="2945" t="str">
        <f t="shared" si="155"/>
        <v/>
      </c>
      <c r="FS639" s="2945" t="str">
        <f t="shared" si="156"/>
        <v/>
      </c>
      <c r="FT639" s="2945" t="str">
        <f t="shared" si="157"/>
        <v/>
      </c>
      <c r="FU639" s="2945" t="str">
        <f t="shared" si="158"/>
        <v/>
      </c>
      <c r="FV639" s="2945" t="str">
        <f t="shared" si="159"/>
        <v/>
      </c>
      <c r="FW639" s="2945" t="str">
        <f t="shared" si="160"/>
        <v/>
      </c>
      <c r="FX639" s="2945" t="str">
        <f t="shared" si="161"/>
        <v/>
      </c>
      <c r="FY639" s="2945" t="str">
        <f t="shared" si="162"/>
        <v/>
      </c>
      <c r="FZ639" s="2945" t="str">
        <f t="shared" si="163"/>
        <v/>
      </c>
      <c r="GA639" s="2945" t="str">
        <f t="shared" si="164"/>
        <v/>
      </c>
      <c r="GB639" s="2945" t="str">
        <f t="shared" si="165"/>
        <v/>
      </c>
      <c r="GC639" s="2945" t="str">
        <f t="shared" si="166"/>
        <v/>
      </c>
      <c r="GD639" s="2945" t="str">
        <f t="shared" si="167"/>
        <v/>
      </c>
      <c r="GE639" s="2945" t="str">
        <f t="shared" si="168"/>
        <v/>
      </c>
      <c r="GF639" s="2945" t="str">
        <f t="shared" si="169"/>
        <v/>
      </c>
      <c r="GG639" s="2945" t="str">
        <f t="shared" si="170"/>
        <v/>
      </c>
      <c r="GH639" s="2945" t="str">
        <f t="shared" si="171"/>
        <v/>
      </c>
      <c r="GI639" s="2945" t="str">
        <f t="shared" si="172"/>
        <v/>
      </c>
      <c r="GJ639" s="2945" t="str">
        <f t="shared" si="173"/>
        <v/>
      </c>
      <c r="GK639" s="2945" t="str">
        <f t="shared" si="174"/>
        <v/>
      </c>
      <c r="GL639" s="2945" t="str">
        <f t="shared" si="175"/>
        <v/>
      </c>
      <c r="GM639" s="2945" t="str">
        <f t="shared" si="176"/>
        <v/>
      </c>
      <c r="GN639" s="2945" t="str">
        <f t="shared" si="177"/>
        <v/>
      </c>
      <c r="GO639" s="2945" t="str">
        <f t="shared" si="178"/>
        <v/>
      </c>
      <c r="GP639" s="2945" t="str">
        <f t="shared" si="179"/>
        <v/>
      </c>
      <c r="GQ639" s="2945" t="str">
        <f t="shared" si="180"/>
        <v/>
      </c>
      <c r="GR639" s="2945" t="str">
        <f t="shared" si="181"/>
        <v/>
      </c>
      <c r="GS639" s="2945" t="str">
        <f t="shared" si="182"/>
        <v/>
      </c>
      <c r="GT639" s="2945" t="str">
        <f t="shared" si="183"/>
        <v/>
      </c>
      <c r="GU639" s="2945" t="str">
        <f t="shared" si="184"/>
        <v/>
      </c>
      <c r="GV639" s="2945" t="str">
        <f t="shared" si="185"/>
        <v/>
      </c>
      <c r="GW639" s="2945" t="str">
        <f t="shared" si="186"/>
        <v/>
      </c>
      <c r="GX639" s="2945" t="str">
        <f t="shared" si="187"/>
        <v/>
      </c>
      <c r="GY639" s="2945" t="str">
        <f t="shared" si="188"/>
        <v/>
      </c>
      <c r="GZ639" s="2945" t="str">
        <f t="shared" si="189"/>
        <v/>
      </c>
      <c r="HA639" s="2945" t="str">
        <f t="shared" si="190"/>
        <v/>
      </c>
      <c r="HB639" s="2945" t="str">
        <f t="shared" si="191"/>
        <v/>
      </c>
      <c r="HC639" s="2945" t="str">
        <f t="shared" si="192"/>
        <v/>
      </c>
      <c r="HD639" s="2945" t="str">
        <f t="shared" si="193"/>
        <v/>
      </c>
      <c r="HE639" s="2945" t="str">
        <f t="shared" si="194"/>
        <v/>
      </c>
      <c r="HF639" s="2945" t="str">
        <f t="shared" si="195"/>
        <v/>
      </c>
      <c r="HG639" s="2945" t="str">
        <f t="shared" si="196"/>
        <v/>
      </c>
      <c r="HH639" s="2945" t="str">
        <f t="shared" si="197"/>
        <v/>
      </c>
      <c r="HI639" s="2945" t="str">
        <f t="shared" si="198"/>
        <v/>
      </c>
      <c r="HJ639" s="2945" t="str">
        <f t="shared" si="199"/>
        <v/>
      </c>
      <c r="HK639" s="2945" t="str">
        <f t="shared" si="200"/>
        <v/>
      </c>
      <c r="HL639" s="2945" t="str">
        <f t="shared" si="201"/>
        <v/>
      </c>
      <c r="HM639" s="2945" t="str">
        <f t="shared" si="202"/>
        <v/>
      </c>
      <c r="HN639" s="2945" t="str">
        <f t="shared" si="203"/>
        <v/>
      </c>
      <c r="HO639" s="2945" t="str">
        <f t="shared" si="204"/>
        <v/>
      </c>
      <c r="HP639" s="2945" t="str">
        <f t="shared" si="205"/>
        <v/>
      </c>
      <c r="HQ639" s="2945" t="str">
        <f t="shared" si="206"/>
        <v/>
      </c>
      <c r="HR639" s="2945" t="str">
        <f t="shared" si="207"/>
        <v/>
      </c>
      <c r="HS639" s="2945" t="str">
        <f t="shared" si="208"/>
        <v/>
      </c>
      <c r="HT639" s="2945" t="str">
        <f t="shared" si="209"/>
        <v/>
      </c>
      <c r="HU639" s="2945" t="str">
        <f t="shared" si="210"/>
        <v/>
      </c>
      <c r="HV639" s="2945" t="str">
        <f t="shared" si="211"/>
        <v/>
      </c>
      <c r="HW639" s="2945" t="str">
        <f t="shared" si="212"/>
        <v/>
      </c>
      <c r="HX639" s="2945" t="str">
        <f t="shared" si="213"/>
        <v/>
      </c>
      <c r="HY639" s="2945" t="str">
        <f t="shared" si="214"/>
        <v/>
      </c>
      <c r="HZ639" s="2945" t="str">
        <f t="shared" si="215"/>
        <v/>
      </c>
      <c r="IA639" s="2945" t="str">
        <f t="shared" si="216"/>
        <v/>
      </c>
      <c r="IB639" s="2945" t="str">
        <f t="shared" si="217"/>
        <v/>
      </c>
      <c r="IC639" s="2911" t="str">
        <f t="shared" si="218"/>
        <v/>
      </c>
      <c r="ID639" s="2911" t="str">
        <f t="shared" si="219"/>
        <v/>
      </c>
      <c r="IE639" s="2911" t="str">
        <f t="shared" si="220"/>
        <v/>
      </c>
      <c r="IF639" s="2911" t="str">
        <f t="shared" si="221"/>
        <v/>
      </c>
      <c r="IG639" s="2911" t="str">
        <f t="shared" si="222"/>
        <v/>
      </c>
      <c r="IH639" s="926" t="str">
        <f t="shared" si="223"/>
        <v/>
      </c>
      <c r="II639" s="926" t="str">
        <f t="shared" si="224"/>
        <v/>
      </c>
      <c r="IJ639" s="926" t="str">
        <f t="shared" si="225"/>
        <v/>
      </c>
      <c r="IK639" s="926" t="str">
        <f t="shared" si="226"/>
        <v/>
      </c>
      <c r="IL639" s="926" t="str">
        <f t="shared" si="227"/>
        <v/>
      </c>
      <c r="IM639" s="926" t="str">
        <f t="shared" si="228"/>
        <v/>
      </c>
      <c r="IN639" s="926" t="str">
        <f t="shared" si="229"/>
        <v/>
      </c>
      <c r="IO639" s="926" t="str">
        <f t="shared" si="230"/>
        <v/>
      </c>
      <c r="IP639" s="926" t="str">
        <f t="shared" si="231"/>
        <v/>
      </c>
      <c r="IQ639" s="926" t="str">
        <f t="shared" si="232"/>
        <v/>
      </c>
      <c r="IR639" s="926" t="str">
        <f t="shared" si="233"/>
        <v/>
      </c>
      <c r="IS639" s="926" t="str">
        <f t="shared" si="234"/>
        <v/>
      </c>
      <c r="IT639" s="926" t="str">
        <f t="shared" si="235"/>
        <v/>
      </c>
      <c r="IU639" s="926" t="str">
        <f t="shared" si="236"/>
        <v/>
      </c>
      <c r="IV639" s="926" t="str">
        <f t="shared" si="237"/>
        <v/>
      </c>
      <c r="IW639" s="926" t="str">
        <f t="shared" si="238"/>
        <v/>
      </c>
      <c r="IX639" s="926" t="str">
        <f t="shared" si="239"/>
        <v/>
      </c>
      <c r="IY639" s="926" t="str">
        <f t="shared" si="240"/>
        <v/>
      </c>
      <c r="IZ639" s="926" t="str">
        <f t="shared" si="241"/>
        <v/>
      </c>
      <c r="JA639" s="926" t="str">
        <f t="shared" si="242"/>
        <v/>
      </c>
      <c r="JB639" s="2909">
        <f t="shared" si="243"/>
        <v>0</v>
      </c>
      <c r="JC639" s="2909">
        <f t="shared" si="244"/>
        <v>0</v>
      </c>
      <c r="JD639" s="2909">
        <f t="shared" si="245"/>
        <v>0</v>
      </c>
      <c r="JE639" s="2909">
        <f t="shared" si="246"/>
        <v>0</v>
      </c>
      <c r="JF639" s="2909">
        <f t="shared" si="247"/>
        <v>0</v>
      </c>
      <c r="JG639" s="2909">
        <f t="shared" si="248"/>
        <v>0</v>
      </c>
      <c r="JH639" s="2909">
        <f t="shared" si="249"/>
        <v>0</v>
      </c>
      <c r="JI639" s="2909">
        <f t="shared" si="250"/>
        <v>0</v>
      </c>
      <c r="JJ639" s="2909">
        <f t="shared" si="251"/>
        <v>0</v>
      </c>
      <c r="JK639" s="2909">
        <f t="shared" si="252"/>
        <v>0</v>
      </c>
      <c r="JL639" s="2909">
        <f t="shared" si="253"/>
        <v>0</v>
      </c>
      <c r="JM639" s="2909">
        <f t="shared" si="254"/>
        <v>0</v>
      </c>
      <c r="JN639" s="2909">
        <f t="shared" si="255"/>
        <v>0</v>
      </c>
      <c r="JO639" s="2909">
        <f t="shared" si="256"/>
        <v>0</v>
      </c>
      <c r="JP639" s="2909">
        <f t="shared" si="257"/>
        <v>0</v>
      </c>
    </row>
    <row r="640" spans="1:276" ht="12" customHeight="1">
      <c r="A640" s="2924" t="str">
        <f t="shared" si="0"/>
        <v/>
      </c>
      <c r="B640" s="2936" t="str">
        <f>'Part VI-Revenues &amp; Expenses'!B20</f>
        <v>&lt;&lt;Select&gt;&gt;</v>
      </c>
      <c r="C640" s="2937">
        <f>'Part VI-Revenues &amp; Expenses'!C20</f>
        <v>0</v>
      </c>
      <c r="D640" s="2938">
        <f>'Part VI-Revenues &amp; Expenses'!D20</f>
        <v>0</v>
      </c>
      <c r="E640" s="2939">
        <f>'Part VI-Revenues &amp; Expenses'!E20</f>
        <v>0</v>
      </c>
      <c r="F640" s="2939">
        <f>'Part VI-Revenues &amp; Expenses'!F20</f>
        <v>0</v>
      </c>
      <c r="G640" s="2939">
        <f>'Part VI-Revenues &amp; Expenses'!G20</f>
        <v>0</v>
      </c>
      <c r="H640" s="2939">
        <f>'Part VI-Revenues &amp; Expenses'!H20</f>
        <v>0</v>
      </c>
      <c r="I640" s="2939">
        <f>'Part VI-Revenues &amp; Expenses'!I20</f>
        <v>0</v>
      </c>
      <c r="J640" s="2940">
        <f>'Part VI-Revenues &amp; Expenses'!J20</f>
        <v>0</v>
      </c>
      <c r="K640" s="2941">
        <f t="shared" si="1"/>
        <v>0</v>
      </c>
      <c r="L640" s="2941">
        <f t="shared" si="2"/>
        <v>0</v>
      </c>
      <c r="M640" s="2918">
        <f>'Part VI-Revenues &amp; Expenses'!M20</f>
        <v>0</v>
      </c>
      <c r="N640" s="2918">
        <f>'Part VI-Revenues &amp; Expenses'!N20</f>
        <v>0</v>
      </c>
      <c r="O640" s="2918">
        <f>'Part VI-Revenues &amp; Expenses'!O20</f>
        <v>0</v>
      </c>
      <c r="P640" s="2918">
        <f>'Part VI-Revenues &amp; Expenses'!P20</f>
        <v>0</v>
      </c>
      <c r="Q640" s="2942">
        <f>IF(H640="","",P640/($O$626*VLOOKUP(C640,'DCA Underwriting Assumptions'!$J$118:$K$123,2,FALSE)))</f>
        <v>0</v>
      </c>
      <c r="R640" s="2943"/>
      <c r="S640" s="2942"/>
      <c r="T640" s="2944"/>
      <c r="U640" s="2944"/>
      <c r="V640" s="926" t="str">
        <f t="shared" si="3"/>
        <v/>
      </c>
      <c r="W640" s="926" t="str">
        <f t="shared" si="4"/>
        <v/>
      </c>
      <c r="X640" s="926" t="str">
        <f t="shared" si="5"/>
        <v/>
      </c>
      <c r="Y640" s="926" t="str">
        <f t="shared" si="6"/>
        <v/>
      </c>
      <c r="Z640" s="926" t="str">
        <f t="shared" si="7"/>
        <v/>
      </c>
      <c r="AA640" s="926" t="str">
        <f t="shared" si="8"/>
        <v/>
      </c>
      <c r="AB640" s="926" t="str">
        <f t="shared" si="9"/>
        <v/>
      </c>
      <c r="AC640" s="926" t="str">
        <f t="shared" si="10"/>
        <v/>
      </c>
      <c r="AD640" s="926" t="str">
        <f t="shared" si="11"/>
        <v/>
      </c>
      <c r="AE640" s="926" t="str">
        <f t="shared" si="12"/>
        <v/>
      </c>
      <c r="AF640" s="926" t="str">
        <f t="shared" si="13"/>
        <v/>
      </c>
      <c r="AG640" s="926" t="str">
        <f t="shared" si="14"/>
        <v/>
      </c>
      <c r="AH640" s="926" t="str">
        <f t="shared" si="15"/>
        <v/>
      </c>
      <c r="AI640" s="926" t="str">
        <f t="shared" si="16"/>
        <v/>
      </c>
      <c r="AJ640" s="926" t="str">
        <f t="shared" si="17"/>
        <v/>
      </c>
      <c r="AK640" s="926" t="str">
        <f t="shared" si="18"/>
        <v/>
      </c>
      <c r="AL640" s="926" t="str">
        <f t="shared" si="19"/>
        <v/>
      </c>
      <c r="AM640" s="926" t="str">
        <f t="shared" si="20"/>
        <v/>
      </c>
      <c r="AN640" s="926" t="str">
        <f t="shared" si="21"/>
        <v/>
      </c>
      <c r="AO640" s="926" t="str">
        <f t="shared" si="22"/>
        <v/>
      </c>
      <c r="AP640" s="926" t="str">
        <f t="shared" si="23"/>
        <v/>
      </c>
      <c r="AQ640" s="926" t="str">
        <f t="shared" si="24"/>
        <v/>
      </c>
      <c r="AR640" s="926" t="str">
        <f t="shared" si="25"/>
        <v/>
      </c>
      <c r="AS640" s="926" t="str">
        <f t="shared" si="26"/>
        <v/>
      </c>
      <c r="AT640" s="926" t="str">
        <f t="shared" si="27"/>
        <v/>
      </c>
      <c r="AU640" s="926" t="str">
        <f t="shared" si="28"/>
        <v/>
      </c>
      <c r="AV640" s="926" t="str">
        <f t="shared" si="29"/>
        <v/>
      </c>
      <c r="AW640" s="926" t="str">
        <f t="shared" si="30"/>
        <v/>
      </c>
      <c r="AX640" s="926" t="str">
        <f t="shared" si="31"/>
        <v/>
      </c>
      <c r="AY640" s="926" t="str">
        <f t="shared" si="32"/>
        <v/>
      </c>
      <c r="AZ640" s="926" t="str">
        <f t="shared" si="33"/>
        <v/>
      </c>
      <c r="BA640" s="926" t="str">
        <f t="shared" si="34"/>
        <v/>
      </c>
      <c r="BB640" s="926" t="str">
        <f t="shared" si="35"/>
        <v/>
      </c>
      <c r="BC640" s="926" t="str">
        <f t="shared" si="36"/>
        <v/>
      </c>
      <c r="BD640" s="926" t="str">
        <f t="shared" si="37"/>
        <v/>
      </c>
      <c r="BE640" s="926" t="str">
        <f t="shared" si="38"/>
        <v/>
      </c>
      <c r="BF640" s="926" t="str">
        <f t="shared" si="39"/>
        <v/>
      </c>
      <c r="BG640" s="926" t="str">
        <f t="shared" si="40"/>
        <v/>
      </c>
      <c r="BH640" s="926" t="str">
        <f t="shared" si="41"/>
        <v/>
      </c>
      <c r="BI640" s="926" t="str">
        <f t="shared" si="42"/>
        <v/>
      </c>
      <c r="BJ640" s="926" t="str">
        <f t="shared" si="43"/>
        <v/>
      </c>
      <c r="BK640" s="926" t="str">
        <f t="shared" si="44"/>
        <v/>
      </c>
      <c r="BL640" s="926" t="str">
        <f t="shared" si="45"/>
        <v/>
      </c>
      <c r="BM640" s="926" t="str">
        <f t="shared" si="46"/>
        <v/>
      </c>
      <c r="BN640" s="926" t="str">
        <f t="shared" si="47"/>
        <v/>
      </c>
      <c r="BO640" s="926" t="str">
        <f t="shared" si="48"/>
        <v/>
      </c>
      <c r="BP640" s="926" t="str">
        <f t="shared" si="49"/>
        <v/>
      </c>
      <c r="BQ640" s="926" t="str">
        <f t="shared" si="50"/>
        <v/>
      </c>
      <c r="BR640" s="926" t="str">
        <f t="shared" si="51"/>
        <v/>
      </c>
      <c r="BS640" s="926" t="str">
        <f t="shared" si="52"/>
        <v/>
      </c>
      <c r="BT640" s="926" t="str">
        <f t="shared" si="53"/>
        <v/>
      </c>
      <c r="BU640" s="926" t="str">
        <f t="shared" si="54"/>
        <v/>
      </c>
      <c r="BV640" s="926" t="str">
        <f t="shared" si="55"/>
        <v/>
      </c>
      <c r="BW640" s="926" t="str">
        <f t="shared" si="56"/>
        <v/>
      </c>
      <c r="BX640" s="926" t="str">
        <f t="shared" si="57"/>
        <v/>
      </c>
      <c r="BY640" s="926" t="str">
        <f t="shared" si="58"/>
        <v/>
      </c>
      <c r="BZ640" s="926" t="str">
        <f t="shared" si="59"/>
        <v/>
      </c>
      <c r="CA640" s="926" t="str">
        <f t="shared" si="60"/>
        <v/>
      </c>
      <c r="CB640" s="926" t="str">
        <f t="shared" si="61"/>
        <v/>
      </c>
      <c r="CC640" s="926" t="str">
        <f t="shared" si="62"/>
        <v/>
      </c>
      <c r="CD640" s="926" t="str">
        <f t="shared" si="63"/>
        <v/>
      </c>
      <c r="CE640" s="926" t="str">
        <f t="shared" si="64"/>
        <v/>
      </c>
      <c r="CF640" s="926" t="str">
        <f t="shared" si="65"/>
        <v/>
      </c>
      <c r="CG640" s="926" t="str">
        <f t="shared" si="66"/>
        <v/>
      </c>
      <c r="CH640" s="926" t="str">
        <f t="shared" si="67"/>
        <v/>
      </c>
      <c r="CI640" s="926" t="str">
        <f t="shared" si="68"/>
        <v/>
      </c>
      <c r="CJ640" s="926" t="str">
        <f t="shared" si="69"/>
        <v/>
      </c>
      <c r="CK640" s="926" t="str">
        <f t="shared" si="70"/>
        <v/>
      </c>
      <c r="CL640" s="926" t="str">
        <f t="shared" si="71"/>
        <v/>
      </c>
      <c r="CM640" s="926" t="str">
        <f t="shared" si="72"/>
        <v/>
      </c>
      <c r="CN640" s="926" t="str">
        <f t="shared" si="73"/>
        <v/>
      </c>
      <c r="CO640" s="926" t="str">
        <f t="shared" si="74"/>
        <v/>
      </c>
      <c r="CP640" s="926" t="str">
        <f t="shared" si="75"/>
        <v/>
      </c>
      <c r="CQ640" s="926" t="str">
        <f t="shared" si="76"/>
        <v/>
      </c>
      <c r="CR640" s="926" t="str">
        <f t="shared" si="77"/>
        <v/>
      </c>
      <c r="CS640" s="926" t="str">
        <f t="shared" si="78"/>
        <v/>
      </c>
      <c r="CT640" s="926" t="str">
        <f t="shared" si="79"/>
        <v/>
      </c>
      <c r="CU640" s="926" t="str">
        <f t="shared" si="80"/>
        <v/>
      </c>
      <c r="CV640" s="926" t="str">
        <f t="shared" si="81"/>
        <v/>
      </c>
      <c r="CW640" s="926" t="str">
        <f t="shared" si="82"/>
        <v/>
      </c>
      <c r="CX640" s="926" t="str">
        <f t="shared" si="83"/>
        <v/>
      </c>
      <c r="CY640" s="926" t="str">
        <f t="shared" si="84"/>
        <v/>
      </c>
      <c r="CZ640" s="926" t="str">
        <f t="shared" si="85"/>
        <v/>
      </c>
      <c r="DA640" s="926" t="str">
        <f t="shared" si="86"/>
        <v/>
      </c>
      <c r="DB640" s="926" t="str">
        <f t="shared" si="87"/>
        <v/>
      </c>
      <c r="DC640" s="926" t="str">
        <f t="shared" si="88"/>
        <v/>
      </c>
      <c r="DD640" s="926" t="str">
        <f t="shared" si="89"/>
        <v/>
      </c>
      <c r="DE640" s="926" t="str">
        <f t="shared" si="90"/>
        <v/>
      </c>
      <c r="DF640" s="926" t="str">
        <f t="shared" si="91"/>
        <v/>
      </c>
      <c r="DG640" s="926" t="str">
        <f t="shared" si="92"/>
        <v/>
      </c>
      <c r="DH640" s="926" t="str">
        <f t="shared" si="93"/>
        <v/>
      </c>
      <c r="DI640" s="926" t="str">
        <f t="shared" si="94"/>
        <v/>
      </c>
      <c r="DJ640" s="926" t="str">
        <f t="shared" si="95"/>
        <v/>
      </c>
      <c r="DK640" s="926" t="str">
        <f t="shared" si="96"/>
        <v/>
      </c>
      <c r="DL640" s="926" t="str">
        <f t="shared" si="97"/>
        <v/>
      </c>
      <c r="DM640" s="926" t="str">
        <f t="shared" si="98"/>
        <v/>
      </c>
      <c r="DN640" s="926" t="str">
        <f t="shared" si="99"/>
        <v/>
      </c>
      <c r="DO640" s="926" t="str">
        <f t="shared" si="100"/>
        <v/>
      </c>
      <c r="DP640" s="926" t="str">
        <f t="shared" si="101"/>
        <v/>
      </c>
      <c r="DQ640" s="926" t="str">
        <f t="shared" si="102"/>
        <v/>
      </c>
      <c r="DR640" s="926" t="str">
        <f t="shared" si="103"/>
        <v/>
      </c>
      <c r="DS640" s="926" t="str">
        <f t="shared" si="104"/>
        <v/>
      </c>
      <c r="DT640" s="926" t="str">
        <f t="shared" si="105"/>
        <v/>
      </c>
      <c r="DU640" s="926" t="str">
        <f t="shared" si="106"/>
        <v/>
      </c>
      <c r="DV640" s="926" t="str">
        <f t="shared" si="107"/>
        <v/>
      </c>
      <c r="DW640" s="926" t="str">
        <f t="shared" si="108"/>
        <v/>
      </c>
      <c r="DX640" s="926" t="str">
        <f t="shared" si="109"/>
        <v/>
      </c>
      <c r="DY640" s="926" t="str">
        <f t="shared" si="110"/>
        <v/>
      </c>
      <c r="DZ640" s="926" t="str">
        <f t="shared" si="111"/>
        <v/>
      </c>
      <c r="EA640" s="926" t="str">
        <f t="shared" si="112"/>
        <v/>
      </c>
      <c r="EB640" s="926" t="str">
        <f t="shared" si="113"/>
        <v/>
      </c>
      <c r="EC640" s="926" t="str">
        <f t="shared" si="114"/>
        <v/>
      </c>
      <c r="ED640" s="926" t="str">
        <f t="shared" si="115"/>
        <v/>
      </c>
      <c r="EE640" s="926" t="str">
        <f t="shared" si="116"/>
        <v/>
      </c>
      <c r="EF640" s="926" t="str">
        <f t="shared" si="117"/>
        <v/>
      </c>
      <c r="EG640" s="926" t="str">
        <f t="shared" si="118"/>
        <v/>
      </c>
      <c r="EH640" s="926" t="str">
        <f t="shared" si="119"/>
        <v/>
      </c>
      <c r="EI640" s="926" t="str">
        <f t="shared" si="120"/>
        <v/>
      </c>
      <c r="EJ640" s="926" t="str">
        <f t="shared" si="121"/>
        <v/>
      </c>
      <c r="EK640" s="926" t="str">
        <f t="shared" si="122"/>
        <v/>
      </c>
      <c r="EL640" s="926" t="str">
        <f t="shared" si="123"/>
        <v/>
      </c>
      <c r="EM640" s="926" t="str">
        <f t="shared" si="124"/>
        <v/>
      </c>
      <c r="EN640" s="926" t="str">
        <f t="shared" si="125"/>
        <v/>
      </c>
      <c r="EO640" s="926" t="str">
        <f t="shared" si="126"/>
        <v/>
      </c>
      <c r="EP640" s="926" t="str">
        <f t="shared" si="127"/>
        <v/>
      </c>
      <c r="EQ640" s="926" t="str">
        <f t="shared" si="128"/>
        <v/>
      </c>
      <c r="ER640" s="926" t="str">
        <f t="shared" si="129"/>
        <v/>
      </c>
      <c r="ES640" s="926" t="str">
        <f t="shared" si="130"/>
        <v/>
      </c>
      <c r="ET640" s="926" t="str">
        <f t="shared" si="131"/>
        <v/>
      </c>
      <c r="EU640" s="926" t="str">
        <f t="shared" si="132"/>
        <v/>
      </c>
      <c r="EV640" s="2945" t="str">
        <f t="shared" si="133"/>
        <v/>
      </c>
      <c r="EW640" s="2945" t="str">
        <f t="shared" si="134"/>
        <v/>
      </c>
      <c r="EX640" s="2945" t="str">
        <f t="shared" si="135"/>
        <v/>
      </c>
      <c r="EY640" s="2945" t="str">
        <f t="shared" si="136"/>
        <v/>
      </c>
      <c r="EZ640" s="2945" t="str">
        <f t="shared" si="137"/>
        <v/>
      </c>
      <c r="FA640" s="2945" t="str">
        <f t="shared" si="138"/>
        <v/>
      </c>
      <c r="FB640" s="2945" t="str">
        <f t="shared" si="139"/>
        <v/>
      </c>
      <c r="FC640" s="2945" t="str">
        <f t="shared" si="140"/>
        <v/>
      </c>
      <c r="FD640" s="2945" t="str">
        <f t="shared" si="141"/>
        <v/>
      </c>
      <c r="FE640" s="2945" t="str">
        <f t="shared" si="142"/>
        <v/>
      </c>
      <c r="FF640" s="2945" t="str">
        <f t="shared" si="143"/>
        <v/>
      </c>
      <c r="FG640" s="2945" t="str">
        <f t="shared" si="144"/>
        <v/>
      </c>
      <c r="FH640" s="2945" t="str">
        <f t="shared" si="145"/>
        <v/>
      </c>
      <c r="FI640" s="2945" t="str">
        <f t="shared" si="146"/>
        <v/>
      </c>
      <c r="FJ640" s="2945" t="str">
        <f t="shared" si="147"/>
        <v/>
      </c>
      <c r="FK640" s="2945" t="str">
        <f t="shared" si="148"/>
        <v/>
      </c>
      <c r="FL640" s="2945" t="str">
        <f t="shared" si="149"/>
        <v/>
      </c>
      <c r="FM640" s="2945" t="str">
        <f t="shared" si="150"/>
        <v/>
      </c>
      <c r="FN640" s="2945" t="str">
        <f t="shared" si="151"/>
        <v/>
      </c>
      <c r="FO640" s="2945" t="str">
        <f t="shared" si="152"/>
        <v/>
      </c>
      <c r="FP640" s="2945" t="str">
        <f t="shared" si="153"/>
        <v/>
      </c>
      <c r="FQ640" s="2945" t="str">
        <f t="shared" si="154"/>
        <v/>
      </c>
      <c r="FR640" s="2945" t="str">
        <f t="shared" si="155"/>
        <v/>
      </c>
      <c r="FS640" s="2945" t="str">
        <f t="shared" si="156"/>
        <v/>
      </c>
      <c r="FT640" s="2945" t="str">
        <f t="shared" si="157"/>
        <v/>
      </c>
      <c r="FU640" s="2945" t="str">
        <f t="shared" si="158"/>
        <v/>
      </c>
      <c r="FV640" s="2945" t="str">
        <f t="shared" si="159"/>
        <v/>
      </c>
      <c r="FW640" s="2945" t="str">
        <f t="shared" si="160"/>
        <v/>
      </c>
      <c r="FX640" s="2945" t="str">
        <f t="shared" si="161"/>
        <v/>
      </c>
      <c r="FY640" s="2945" t="str">
        <f t="shared" si="162"/>
        <v/>
      </c>
      <c r="FZ640" s="2945" t="str">
        <f t="shared" si="163"/>
        <v/>
      </c>
      <c r="GA640" s="2945" t="str">
        <f t="shared" si="164"/>
        <v/>
      </c>
      <c r="GB640" s="2945" t="str">
        <f t="shared" si="165"/>
        <v/>
      </c>
      <c r="GC640" s="2945" t="str">
        <f t="shared" si="166"/>
        <v/>
      </c>
      <c r="GD640" s="2945" t="str">
        <f t="shared" si="167"/>
        <v/>
      </c>
      <c r="GE640" s="2945" t="str">
        <f t="shared" si="168"/>
        <v/>
      </c>
      <c r="GF640" s="2945" t="str">
        <f t="shared" si="169"/>
        <v/>
      </c>
      <c r="GG640" s="2945" t="str">
        <f t="shared" si="170"/>
        <v/>
      </c>
      <c r="GH640" s="2945" t="str">
        <f t="shared" si="171"/>
        <v/>
      </c>
      <c r="GI640" s="2945" t="str">
        <f t="shared" si="172"/>
        <v/>
      </c>
      <c r="GJ640" s="2945" t="str">
        <f t="shared" si="173"/>
        <v/>
      </c>
      <c r="GK640" s="2945" t="str">
        <f t="shared" si="174"/>
        <v/>
      </c>
      <c r="GL640" s="2945" t="str">
        <f t="shared" si="175"/>
        <v/>
      </c>
      <c r="GM640" s="2945" t="str">
        <f t="shared" si="176"/>
        <v/>
      </c>
      <c r="GN640" s="2945" t="str">
        <f t="shared" si="177"/>
        <v/>
      </c>
      <c r="GO640" s="2945" t="str">
        <f t="shared" si="178"/>
        <v/>
      </c>
      <c r="GP640" s="2945" t="str">
        <f t="shared" si="179"/>
        <v/>
      </c>
      <c r="GQ640" s="2945" t="str">
        <f t="shared" si="180"/>
        <v/>
      </c>
      <c r="GR640" s="2945" t="str">
        <f t="shared" si="181"/>
        <v/>
      </c>
      <c r="GS640" s="2945" t="str">
        <f t="shared" si="182"/>
        <v/>
      </c>
      <c r="GT640" s="2945" t="str">
        <f t="shared" si="183"/>
        <v/>
      </c>
      <c r="GU640" s="2945" t="str">
        <f t="shared" si="184"/>
        <v/>
      </c>
      <c r="GV640" s="2945" t="str">
        <f t="shared" si="185"/>
        <v/>
      </c>
      <c r="GW640" s="2945" t="str">
        <f t="shared" si="186"/>
        <v/>
      </c>
      <c r="GX640" s="2945" t="str">
        <f t="shared" si="187"/>
        <v/>
      </c>
      <c r="GY640" s="2945" t="str">
        <f t="shared" si="188"/>
        <v/>
      </c>
      <c r="GZ640" s="2945" t="str">
        <f t="shared" si="189"/>
        <v/>
      </c>
      <c r="HA640" s="2945" t="str">
        <f t="shared" si="190"/>
        <v/>
      </c>
      <c r="HB640" s="2945" t="str">
        <f t="shared" si="191"/>
        <v/>
      </c>
      <c r="HC640" s="2945" t="str">
        <f t="shared" si="192"/>
        <v/>
      </c>
      <c r="HD640" s="2945" t="str">
        <f t="shared" si="193"/>
        <v/>
      </c>
      <c r="HE640" s="2945" t="str">
        <f t="shared" si="194"/>
        <v/>
      </c>
      <c r="HF640" s="2945" t="str">
        <f t="shared" si="195"/>
        <v/>
      </c>
      <c r="HG640" s="2945" t="str">
        <f t="shared" si="196"/>
        <v/>
      </c>
      <c r="HH640" s="2945" t="str">
        <f t="shared" si="197"/>
        <v/>
      </c>
      <c r="HI640" s="2945" t="str">
        <f t="shared" si="198"/>
        <v/>
      </c>
      <c r="HJ640" s="2945" t="str">
        <f t="shared" si="199"/>
        <v/>
      </c>
      <c r="HK640" s="2945" t="str">
        <f t="shared" si="200"/>
        <v/>
      </c>
      <c r="HL640" s="2945" t="str">
        <f t="shared" si="201"/>
        <v/>
      </c>
      <c r="HM640" s="2945" t="str">
        <f t="shared" si="202"/>
        <v/>
      </c>
      <c r="HN640" s="2945" t="str">
        <f t="shared" si="203"/>
        <v/>
      </c>
      <c r="HO640" s="2945" t="str">
        <f t="shared" si="204"/>
        <v/>
      </c>
      <c r="HP640" s="2945" t="str">
        <f t="shared" si="205"/>
        <v/>
      </c>
      <c r="HQ640" s="2945" t="str">
        <f t="shared" si="206"/>
        <v/>
      </c>
      <c r="HR640" s="2945" t="str">
        <f t="shared" si="207"/>
        <v/>
      </c>
      <c r="HS640" s="2945" t="str">
        <f t="shared" si="208"/>
        <v/>
      </c>
      <c r="HT640" s="2945" t="str">
        <f t="shared" si="209"/>
        <v/>
      </c>
      <c r="HU640" s="2945" t="str">
        <f t="shared" si="210"/>
        <v/>
      </c>
      <c r="HV640" s="2945" t="str">
        <f t="shared" si="211"/>
        <v/>
      </c>
      <c r="HW640" s="2945" t="str">
        <f t="shared" si="212"/>
        <v/>
      </c>
      <c r="HX640" s="2945" t="str">
        <f t="shared" si="213"/>
        <v/>
      </c>
      <c r="HY640" s="2945" t="str">
        <f t="shared" si="214"/>
        <v/>
      </c>
      <c r="HZ640" s="2945" t="str">
        <f t="shared" si="215"/>
        <v/>
      </c>
      <c r="IA640" s="2945" t="str">
        <f t="shared" si="216"/>
        <v/>
      </c>
      <c r="IB640" s="2945" t="str">
        <f t="shared" si="217"/>
        <v/>
      </c>
      <c r="IC640" s="2911" t="str">
        <f t="shared" si="218"/>
        <v/>
      </c>
      <c r="ID640" s="2911" t="str">
        <f t="shared" si="219"/>
        <v/>
      </c>
      <c r="IE640" s="2911" t="str">
        <f t="shared" si="220"/>
        <v/>
      </c>
      <c r="IF640" s="2911" t="str">
        <f t="shared" si="221"/>
        <v/>
      </c>
      <c r="IG640" s="2911" t="str">
        <f t="shared" si="222"/>
        <v/>
      </c>
      <c r="IH640" s="926" t="str">
        <f t="shared" si="223"/>
        <v/>
      </c>
      <c r="II640" s="926" t="str">
        <f t="shared" si="224"/>
        <v/>
      </c>
      <c r="IJ640" s="926" t="str">
        <f t="shared" si="225"/>
        <v/>
      </c>
      <c r="IK640" s="926" t="str">
        <f t="shared" si="226"/>
        <v/>
      </c>
      <c r="IL640" s="926" t="str">
        <f t="shared" si="227"/>
        <v/>
      </c>
      <c r="IM640" s="926" t="str">
        <f t="shared" si="228"/>
        <v/>
      </c>
      <c r="IN640" s="926" t="str">
        <f t="shared" si="229"/>
        <v/>
      </c>
      <c r="IO640" s="926" t="str">
        <f t="shared" si="230"/>
        <v/>
      </c>
      <c r="IP640" s="926" t="str">
        <f t="shared" si="231"/>
        <v/>
      </c>
      <c r="IQ640" s="926" t="str">
        <f t="shared" si="232"/>
        <v/>
      </c>
      <c r="IR640" s="926" t="str">
        <f t="shared" si="233"/>
        <v/>
      </c>
      <c r="IS640" s="926" t="str">
        <f t="shared" si="234"/>
        <v/>
      </c>
      <c r="IT640" s="926" t="str">
        <f t="shared" si="235"/>
        <v/>
      </c>
      <c r="IU640" s="926" t="str">
        <f t="shared" si="236"/>
        <v/>
      </c>
      <c r="IV640" s="926" t="str">
        <f t="shared" si="237"/>
        <v/>
      </c>
      <c r="IW640" s="926" t="str">
        <f t="shared" si="238"/>
        <v/>
      </c>
      <c r="IX640" s="926" t="str">
        <f t="shared" si="239"/>
        <v/>
      </c>
      <c r="IY640" s="926" t="str">
        <f t="shared" si="240"/>
        <v/>
      </c>
      <c r="IZ640" s="926" t="str">
        <f t="shared" si="241"/>
        <v/>
      </c>
      <c r="JA640" s="926" t="str">
        <f t="shared" si="242"/>
        <v/>
      </c>
      <c r="JB640" s="2909">
        <f t="shared" si="243"/>
        <v>0</v>
      </c>
      <c r="JC640" s="2909">
        <f t="shared" si="244"/>
        <v>0</v>
      </c>
      <c r="JD640" s="2909">
        <f t="shared" si="245"/>
        <v>0</v>
      </c>
      <c r="JE640" s="2909">
        <f t="shared" si="246"/>
        <v>0</v>
      </c>
      <c r="JF640" s="2909">
        <f t="shared" si="247"/>
        <v>0</v>
      </c>
      <c r="JG640" s="2909">
        <f t="shared" si="248"/>
        <v>0</v>
      </c>
      <c r="JH640" s="2909">
        <f t="shared" si="249"/>
        <v>0</v>
      </c>
      <c r="JI640" s="2909">
        <f t="shared" si="250"/>
        <v>0</v>
      </c>
      <c r="JJ640" s="2909">
        <f t="shared" si="251"/>
        <v>0</v>
      </c>
      <c r="JK640" s="2909">
        <f t="shared" si="252"/>
        <v>0</v>
      </c>
      <c r="JL640" s="2909">
        <f t="shared" si="253"/>
        <v>0</v>
      </c>
      <c r="JM640" s="2909">
        <f t="shared" si="254"/>
        <v>0</v>
      </c>
      <c r="JN640" s="2909">
        <f t="shared" si="255"/>
        <v>0</v>
      </c>
      <c r="JO640" s="2909">
        <f t="shared" si="256"/>
        <v>0</v>
      </c>
      <c r="JP640" s="2909">
        <f t="shared" si="257"/>
        <v>0</v>
      </c>
    </row>
    <row r="641" spans="1:276" ht="12" customHeight="1">
      <c r="A641" s="2924" t="str">
        <f t="shared" si="0"/>
        <v/>
      </c>
      <c r="B641" s="2936" t="str">
        <f>'Part VI-Revenues &amp; Expenses'!B21</f>
        <v>&lt;&lt;Select&gt;&gt;</v>
      </c>
      <c r="C641" s="2937">
        <f>'Part VI-Revenues &amp; Expenses'!C21</f>
        <v>0</v>
      </c>
      <c r="D641" s="2938">
        <f>'Part VI-Revenues &amp; Expenses'!D21</f>
        <v>0</v>
      </c>
      <c r="E641" s="2939">
        <f>'Part VI-Revenues &amp; Expenses'!E21</f>
        <v>0</v>
      </c>
      <c r="F641" s="2939">
        <f>'Part VI-Revenues &amp; Expenses'!F21</f>
        <v>0</v>
      </c>
      <c r="G641" s="2939">
        <f>'Part VI-Revenues &amp; Expenses'!G21</f>
        <v>0</v>
      </c>
      <c r="H641" s="2939">
        <f>'Part VI-Revenues &amp; Expenses'!H21</f>
        <v>0</v>
      </c>
      <c r="I641" s="2939">
        <f>'Part VI-Revenues &amp; Expenses'!I21</f>
        <v>0</v>
      </c>
      <c r="J641" s="2940">
        <f>'Part VI-Revenues &amp; Expenses'!J21</f>
        <v>0</v>
      </c>
      <c r="K641" s="2941">
        <f t="shared" si="1"/>
        <v>0</v>
      </c>
      <c r="L641" s="2941">
        <f t="shared" si="2"/>
        <v>0</v>
      </c>
      <c r="M641" s="2918">
        <f>'Part VI-Revenues &amp; Expenses'!M21</f>
        <v>0</v>
      </c>
      <c r="N641" s="2918">
        <f>'Part VI-Revenues &amp; Expenses'!N21</f>
        <v>0</v>
      </c>
      <c r="O641" s="2918">
        <f>'Part VI-Revenues &amp; Expenses'!O21</f>
        <v>0</v>
      </c>
      <c r="P641" s="2918">
        <f>'Part VI-Revenues &amp; Expenses'!P21</f>
        <v>0</v>
      </c>
      <c r="Q641" s="2942">
        <f>IF(H641="","",P641/($O$626*VLOOKUP(C641,'DCA Underwriting Assumptions'!$J$118:$K$123,2,FALSE)))</f>
        <v>0</v>
      </c>
      <c r="R641" s="2943"/>
      <c r="S641" s="2942"/>
      <c r="T641" s="2944"/>
      <c r="U641" s="2944"/>
      <c r="V641" s="926" t="str">
        <f t="shared" si="3"/>
        <v/>
      </c>
      <c r="W641" s="926" t="str">
        <f t="shared" si="4"/>
        <v/>
      </c>
      <c r="X641" s="926" t="str">
        <f t="shared" si="5"/>
        <v/>
      </c>
      <c r="Y641" s="926" t="str">
        <f t="shared" si="6"/>
        <v/>
      </c>
      <c r="Z641" s="926" t="str">
        <f t="shared" si="7"/>
        <v/>
      </c>
      <c r="AA641" s="926" t="str">
        <f t="shared" si="8"/>
        <v/>
      </c>
      <c r="AB641" s="926" t="str">
        <f t="shared" si="9"/>
        <v/>
      </c>
      <c r="AC641" s="926" t="str">
        <f t="shared" si="10"/>
        <v/>
      </c>
      <c r="AD641" s="926" t="str">
        <f t="shared" si="11"/>
        <v/>
      </c>
      <c r="AE641" s="926" t="str">
        <f t="shared" si="12"/>
        <v/>
      </c>
      <c r="AF641" s="926" t="str">
        <f t="shared" si="13"/>
        <v/>
      </c>
      <c r="AG641" s="926" t="str">
        <f t="shared" si="14"/>
        <v/>
      </c>
      <c r="AH641" s="926" t="str">
        <f t="shared" si="15"/>
        <v/>
      </c>
      <c r="AI641" s="926" t="str">
        <f t="shared" si="16"/>
        <v/>
      </c>
      <c r="AJ641" s="926" t="str">
        <f t="shared" si="17"/>
        <v/>
      </c>
      <c r="AK641" s="926" t="str">
        <f t="shared" si="18"/>
        <v/>
      </c>
      <c r="AL641" s="926" t="str">
        <f t="shared" si="19"/>
        <v/>
      </c>
      <c r="AM641" s="926" t="str">
        <f t="shared" si="20"/>
        <v/>
      </c>
      <c r="AN641" s="926" t="str">
        <f t="shared" si="21"/>
        <v/>
      </c>
      <c r="AO641" s="926" t="str">
        <f t="shared" si="22"/>
        <v/>
      </c>
      <c r="AP641" s="926" t="str">
        <f t="shared" si="23"/>
        <v/>
      </c>
      <c r="AQ641" s="926" t="str">
        <f t="shared" si="24"/>
        <v/>
      </c>
      <c r="AR641" s="926" t="str">
        <f t="shared" si="25"/>
        <v/>
      </c>
      <c r="AS641" s="926" t="str">
        <f t="shared" si="26"/>
        <v/>
      </c>
      <c r="AT641" s="926" t="str">
        <f t="shared" si="27"/>
        <v/>
      </c>
      <c r="AU641" s="926" t="str">
        <f t="shared" si="28"/>
        <v/>
      </c>
      <c r="AV641" s="926" t="str">
        <f t="shared" si="29"/>
        <v/>
      </c>
      <c r="AW641" s="926" t="str">
        <f t="shared" si="30"/>
        <v/>
      </c>
      <c r="AX641" s="926" t="str">
        <f t="shared" si="31"/>
        <v/>
      </c>
      <c r="AY641" s="926" t="str">
        <f t="shared" si="32"/>
        <v/>
      </c>
      <c r="AZ641" s="926" t="str">
        <f t="shared" si="33"/>
        <v/>
      </c>
      <c r="BA641" s="926" t="str">
        <f t="shared" si="34"/>
        <v/>
      </c>
      <c r="BB641" s="926" t="str">
        <f t="shared" si="35"/>
        <v/>
      </c>
      <c r="BC641" s="926" t="str">
        <f t="shared" si="36"/>
        <v/>
      </c>
      <c r="BD641" s="926" t="str">
        <f t="shared" si="37"/>
        <v/>
      </c>
      <c r="BE641" s="926" t="str">
        <f t="shared" si="38"/>
        <v/>
      </c>
      <c r="BF641" s="926" t="str">
        <f t="shared" si="39"/>
        <v/>
      </c>
      <c r="BG641" s="926" t="str">
        <f t="shared" si="40"/>
        <v/>
      </c>
      <c r="BH641" s="926" t="str">
        <f t="shared" si="41"/>
        <v/>
      </c>
      <c r="BI641" s="926" t="str">
        <f t="shared" si="42"/>
        <v/>
      </c>
      <c r="BJ641" s="926" t="str">
        <f t="shared" si="43"/>
        <v/>
      </c>
      <c r="BK641" s="926" t="str">
        <f t="shared" si="44"/>
        <v/>
      </c>
      <c r="BL641" s="926" t="str">
        <f t="shared" si="45"/>
        <v/>
      </c>
      <c r="BM641" s="926" t="str">
        <f t="shared" si="46"/>
        <v/>
      </c>
      <c r="BN641" s="926" t="str">
        <f t="shared" si="47"/>
        <v/>
      </c>
      <c r="BO641" s="926" t="str">
        <f t="shared" si="48"/>
        <v/>
      </c>
      <c r="BP641" s="926" t="str">
        <f t="shared" si="49"/>
        <v/>
      </c>
      <c r="BQ641" s="926" t="str">
        <f t="shared" si="50"/>
        <v/>
      </c>
      <c r="BR641" s="926" t="str">
        <f t="shared" si="51"/>
        <v/>
      </c>
      <c r="BS641" s="926" t="str">
        <f t="shared" si="52"/>
        <v/>
      </c>
      <c r="BT641" s="926" t="str">
        <f t="shared" si="53"/>
        <v/>
      </c>
      <c r="BU641" s="926" t="str">
        <f t="shared" si="54"/>
        <v/>
      </c>
      <c r="BV641" s="926" t="str">
        <f t="shared" si="55"/>
        <v/>
      </c>
      <c r="BW641" s="926" t="str">
        <f t="shared" si="56"/>
        <v/>
      </c>
      <c r="BX641" s="926" t="str">
        <f t="shared" si="57"/>
        <v/>
      </c>
      <c r="BY641" s="926" t="str">
        <f t="shared" si="58"/>
        <v/>
      </c>
      <c r="BZ641" s="926" t="str">
        <f t="shared" si="59"/>
        <v/>
      </c>
      <c r="CA641" s="926" t="str">
        <f t="shared" si="60"/>
        <v/>
      </c>
      <c r="CB641" s="926" t="str">
        <f t="shared" si="61"/>
        <v/>
      </c>
      <c r="CC641" s="926" t="str">
        <f t="shared" si="62"/>
        <v/>
      </c>
      <c r="CD641" s="926" t="str">
        <f t="shared" si="63"/>
        <v/>
      </c>
      <c r="CE641" s="926" t="str">
        <f t="shared" si="64"/>
        <v/>
      </c>
      <c r="CF641" s="926" t="str">
        <f t="shared" si="65"/>
        <v/>
      </c>
      <c r="CG641" s="926" t="str">
        <f t="shared" si="66"/>
        <v/>
      </c>
      <c r="CH641" s="926" t="str">
        <f t="shared" si="67"/>
        <v/>
      </c>
      <c r="CI641" s="926" t="str">
        <f t="shared" si="68"/>
        <v/>
      </c>
      <c r="CJ641" s="926" t="str">
        <f t="shared" si="69"/>
        <v/>
      </c>
      <c r="CK641" s="926" t="str">
        <f t="shared" si="70"/>
        <v/>
      </c>
      <c r="CL641" s="926" t="str">
        <f t="shared" si="71"/>
        <v/>
      </c>
      <c r="CM641" s="926" t="str">
        <f t="shared" si="72"/>
        <v/>
      </c>
      <c r="CN641" s="926" t="str">
        <f t="shared" si="73"/>
        <v/>
      </c>
      <c r="CO641" s="926" t="str">
        <f t="shared" si="74"/>
        <v/>
      </c>
      <c r="CP641" s="926" t="str">
        <f t="shared" si="75"/>
        <v/>
      </c>
      <c r="CQ641" s="926" t="str">
        <f t="shared" si="76"/>
        <v/>
      </c>
      <c r="CR641" s="926" t="str">
        <f t="shared" si="77"/>
        <v/>
      </c>
      <c r="CS641" s="926" t="str">
        <f t="shared" si="78"/>
        <v/>
      </c>
      <c r="CT641" s="926" t="str">
        <f t="shared" si="79"/>
        <v/>
      </c>
      <c r="CU641" s="926" t="str">
        <f t="shared" si="80"/>
        <v/>
      </c>
      <c r="CV641" s="926" t="str">
        <f t="shared" si="81"/>
        <v/>
      </c>
      <c r="CW641" s="926" t="str">
        <f t="shared" si="82"/>
        <v/>
      </c>
      <c r="CX641" s="926" t="str">
        <f t="shared" si="83"/>
        <v/>
      </c>
      <c r="CY641" s="926" t="str">
        <f t="shared" si="84"/>
        <v/>
      </c>
      <c r="CZ641" s="926" t="str">
        <f t="shared" si="85"/>
        <v/>
      </c>
      <c r="DA641" s="926" t="str">
        <f t="shared" si="86"/>
        <v/>
      </c>
      <c r="DB641" s="926" t="str">
        <f t="shared" si="87"/>
        <v/>
      </c>
      <c r="DC641" s="926" t="str">
        <f t="shared" si="88"/>
        <v/>
      </c>
      <c r="DD641" s="926" t="str">
        <f t="shared" si="89"/>
        <v/>
      </c>
      <c r="DE641" s="926" t="str">
        <f t="shared" si="90"/>
        <v/>
      </c>
      <c r="DF641" s="926" t="str">
        <f t="shared" si="91"/>
        <v/>
      </c>
      <c r="DG641" s="926" t="str">
        <f t="shared" si="92"/>
        <v/>
      </c>
      <c r="DH641" s="926" t="str">
        <f t="shared" si="93"/>
        <v/>
      </c>
      <c r="DI641" s="926" t="str">
        <f t="shared" si="94"/>
        <v/>
      </c>
      <c r="DJ641" s="926" t="str">
        <f t="shared" si="95"/>
        <v/>
      </c>
      <c r="DK641" s="926" t="str">
        <f t="shared" si="96"/>
        <v/>
      </c>
      <c r="DL641" s="926" t="str">
        <f t="shared" si="97"/>
        <v/>
      </c>
      <c r="DM641" s="926" t="str">
        <f t="shared" si="98"/>
        <v/>
      </c>
      <c r="DN641" s="926" t="str">
        <f t="shared" si="99"/>
        <v/>
      </c>
      <c r="DO641" s="926" t="str">
        <f t="shared" si="100"/>
        <v/>
      </c>
      <c r="DP641" s="926" t="str">
        <f t="shared" si="101"/>
        <v/>
      </c>
      <c r="DQ641" s="926" t="str">
        <f t="shared" si="102"/>
        <v/>
      </c>
      <c r="DR641" s="926" t="str">
        <f t="shared" si="103"/>
        <v/>
      </c>
      <c r="DS641" s="926" t="str">
        <f t="shared" si="104"/>
        <v/>
      </c>
      <c r="DT641" s="926" t="str">
        <f t="shared" si="105"/>
        <v/>
      </c>
      <c r="DU641" s="926" t="str">
        <f t="shared" si="106"/>
        <v/>
      </c>
      <c r="DV641" s="926" t="str">
        <f t="shared" si="107"/>
        <v/>
      </c>
      <c r="DW641" s="926" t="str">
        <f t="shared" si="108"/>
        <v/>
      </c>
      <c r="DX641" s="926" t="str">
        <f t="shared" si="109"/>
        <v/>
      </c>
      <c r="DY641" s="926" t="str">
        <f t="shared" si="110"/>
        <v/>
      </c>
      <c r="DZ641" s="926" t="str">
        <f t="shared" si="111"/>
        <v/>
      </c>
      <c r="EA641" s="926" t="str">
        <f t="shared" si="112"/>
        <v/>
      </c>
      <c r="EB641" s="926" t="str">
        <f t="shared" si="113"/>
        <v/>
      </c>
      <c r="EC641" s="926" t="str">
        <f t="shared" si="114"/>
        <v/>
      </c>
      <c r="ED641" s="926" t="str">
        <f t="shared" si="115"/>
        <v/>
      </c>
      <c r="EE641" s="926" t="str">
        <f t="shared" si="116"/>
        <v/>
      </c>
      <c r="EF641" s="926" t="str">
        <f t="shared" si="117"/>
        <v/>
      </c>
      <c r="EG641" s="926" t="str">
        <f t="shared" si="118"/>
        <v/>
      </c>
      <c r="EH641" s="926" t="str">
        <f t="shared" si="119"/>
        <v/>
      </c>
      <c r="EI641" s="926" t="str">
        <f t="shared" si="120"/>
        <v/>
      </c>
      <c r="EJ641" s="926" t="str">
        <f t="shared" si="121"/>
        <v/>
      </c>
      <c r="EK641" s="926" t="str">
        <f t="shared" si="122"/>
        <v/>
      </c>
      <c r="EL641" s="926" t="str">
        <f t="shared" si="123"/>
        <v/>
      </c>
      <c r="EM641" s="926" t="str">
        <f t="shared" si="124"/>
        <v/>
      </c>
      <c r="EN641" s="926" t="str">
        <f t="shared" si="125"/>
        <v/>
      </c>
      <c r="EO641" s="926" t="str">
        <f t="shared" si="126"/>
        <v/>
      </c>
      <c r="EP641" s="926" t="str">
        <f t="shared" si="127"/>
        <v/>
      </c>
      <c r="EQ641" s="926" t="str">
        <f t="shared" si="128"/>
        <v/>
      </c>
      <c r="ER641" s="926" t="str">
        <f t="shared" si="129"/>
        <v/>
      </c>
      <c r="ES641" s="926" t="str">
        <f t="shared" si="130"/>
        <v/>
      </c>
      <c r="ET641" s="926" t="str">
        <f t="shared" si="131"/>
        <v/>
      </c>
      <c r="EU641" s="926" t="str">
        <f t="shared" si="132"/>
        <v/>
      </c>
      <c r="EV641" s="2945" t="str">
        <f t="shared" si="133"/>
        <v/>
      </c>
      <c r="EW641" s="2945" t="str">
        <f t="shared" si="134"/>
        <v/>
      </c>
      <c r="EX641" s="2945" t="str">
        <f t="shared" si="135"/>
        <v/>
      </c>
      <c r="EY641" s="2945" t="str">
        <f t="shared" si="136"/>
        <v/>
      </c>
      <c r="EZ641" s="2945" t="str">
        <f t="shared" si="137"/>
        <v/>
      </c>
      <c r="FA641" s="2945" t="str">
        <f t="shared" si="138"/>
        <v/>
      </c>
      <c r="FB641" s="2945" t="str">
        <f t="shared" si="139"/>
        <v/>
      </c>
      <c r="FC641" s="2945" t="str">
        <f t="shared" si="140"/>
        <v/>
      </c>
      <c r="FD641" s="2945" t="str">
        <f t="shared" si="141"/>
        <v/>
      </c>
      <c r="FE641" s="2945" t="str">
        <f t="shared" si="142"/>
        <v/>
      </c>
      <c r="FF641" s="2945" t="str">
        <f t="shared" si="143"/>
        <v/>
      </c>
      <c r="FG641" s="2945" t="str">
        <f t="shared" si="144"/>
        <v/>
      </c>
      <c r="FH641" s="2945" t="str">
        <f t="shared" si="145"/>
        <v/>
      </c>
      <c r="FI641" s="2945" t="str">
        <f t="shared" si="146"/>
        <v/>
      </c>
      <c r="FJ641" s="2945" t="str">
        <f t="shared" si="147"/>
        <v/>
      </c>
      <c r="FK641" s="2945" t="str">
        <f t="shared" si="148"/>
        <v/>
      </c>
      <c r="FL641" s="2945" t="str">
        <f t="shared" si="149"/>
        <v/>
      </c>
      <c r="FM641" s="2945" t="str">
        <f t="shared" si="150"/>
        <v/>
      </c>
      <c r="FN641" s="2945" t="str">
        <f t="shared" si="151"/>
        <v/>
      </c>
      <c r="FO641" s="2945" t="str">
        <f t="shared" si="152"/>
        <v/>
      </c>
      <c r="FP641" s="2945" t="str">
        <f t="shared" si="153"/>
        <v/>
      </c>
      <c r="FQ641" s="2945" t="str">
        <f t="shared" si="154"/>
        <v/>
      </c>
      <c r="FR641" s="2945" t="str">
        <f t="shared" si="155"/>
        <v/>
      </c>
      <c r="FS641" s="2945" t="str">
        <f t="shared" si="156"/>
        <v/>
      </c>
      <c r="FT641" s="2945" t="str">
        <f t="shared" si="157"/>
        <v/>
      </c>
      <c r="FU641" s="2945" t="str">
        <f t="shared" si="158"/>
        <v/>
      </c>
      <c r="FV641" s="2945" t="str">
        <f t="shared" si="159"/>
        <v/>
      </c>
      <c r="FW641" s="2945" t="str">
        <f t="shared" si="160"/>
        <v/>
      </c>
      <c r="FX641" s="2945" t="str">
        <f t="shared" si="161"/>
        <v/>
      </c>
      <c r="FY641" s="2945" t="str">
        <f t="shared" si="162"/>
        <v/>
      </c>
      <c r="FZ641" s="2945" t="str">
        <f t="shared" si="163"/>
        <v/>
      </c>
      <c r="GA641" s="2945" t="str">
        <f t="shared" si="164"/>
        <v/>
      </c>
      <c r="GB641" s="2945" t="str">
        <f t="shared" si="165"/>
        <v/>
      </c>
      <c r="GC641" s="2945" t="str">
        <f t="shared" si="166"/>
        <v/>
      </c>
      <c r="GD641" s="2945" t="str">
        <f t="shared" si="167"/>
        <v/>
      </c>
      <c r="GE641" s="2945" t="str">
        <f t="shared" si="168"/>
        <v/>
      </c>
      <c r="GF641" s="2945" t="str">
        <f t="shared" si="169"/>
        <v/>
      </c>
      <c r="GG641" s="2945" t="str">
        <f t="shared" si="170"/>
        <v/>
      </c>
      <c r="GH641" s="2945" t="str">
        <f t="shared" si="171"/>
        <v/>
      </c>
      <c r="GI641" s="2945" t="str">
        <f t="shared" si="172"/>
        <v/>
      </c>
      <c r="GJ641" s="2945" t="str">
        <f t="shared" si="173"/>
        <v/>
      </c>
      <c r="GK641" s="2945" t="str">
        <f t="shared" si="174"/>
        <v/>
      </c>
      <c r="GL641" s="2945" t="str">
        <f t="shared" si="175"/>
        <v/>
      </c>
      <c r="GM641" s="2945" t="str">
        <f t="shared" si="176"/>
        <v/>
      </c>
      <c r="GN641" s="2945" t="str">
        <f t="shared" si="177"/>
        <v/>
      </c>
      <c r="GO641" s="2945" t="str">
        <f t="shared" si="178"/>
        <v/>
      </c>
      <c r="GP641" s="2945" t="str">
        <f t="shared" si="179"/>
        <v/>
      </c>
      <c r="GQ641" s="2945" t="str">
        <f t="shared" si="180"/>
        <v/>
      </c>
      <c r="GR641" s="2945" t="str">
        <f t="shared" si="181"/>
        <v/>
      </c>
      <c r="GS641" s="2945" t="str">
        <f t="shared" si="182"/>
        <v/>
      </c>
      <c r="GT641" s="2945" t="str">
        <f t="shared" si="183"/>
        <v/>
      </c>
      <c r="GU641" s="2945" t="str">
        <f t="shared" si="184"/>
        <v/>
      </c>
      <c r="GV641" s="2945" t="str">
        <f t="shared" si="185"/>
        <v/>
      </c>
      <c r="GW641" s="2945" t="str">
        <f t="shared" si="186"/>
        <v/>
      </c>
      <c r="GX641" s="2945" t="str">
        <f t="shared" si="187"/>
        <v/>
      </c>
      <c r="GY641" s="2945" t="str">
        <f t="shared" si="188"/>
        <v/>
      </c>
      <c r="GZ641" s="2945" t="str">
        <f t="shared" si="189"/>
        <v/>
      </c>
      <c r="HA641" s="2945" t="str">
        <f t="shared" si="190"/>
        <v/>
      </c>
      <c r="HB641" s="2945" t="str">
        <f t="shared" si="191"/>
        <v/>
      </c>
      <c r="HC641" s="2945" t="str">
        <f t="shared" si="192"/>
        <v/>
      </c>
      <c r="HD641" s="2945" t="str">
        <f t="shared" si="193"/>
        <v/>
      </c>
      <c r="HE641" s="2945" t="str">
        <f t="shared" si="194"/>
        <v/>
      </c>
      <c r="HF641" s="2945" t="str">
        <f t="shared" si="195"/>
        <v/>
      </c>
      <c r="HG641" s="2945" t="str">
        <f t="shared" si="196"/>
        <v/>
      </c>
      <c r="HH641" s="2945" t="str">
        <f t="shared" si="197"/>
        <v/>
      </c>
      <c r="HI641" s="2945" t="str">
        <f t="shared" si="198"/>
        <v/>
      </c>
      <c r="HJ641" s="2945" t="str">
        <f t="shared" si="199"/>
        <v/>
      </c>
      <c r="HK641" s="2945" t="str">
        <f t="shared" si="200"/>
        <v/>
      </c>
      <c r="HL641" s="2945" t="str">
        <f t="shared" si="201"/>
        <v/>
      </c>
      <c r="HM641" s="2945" t="str">
        <f t="shared" si="202"/>
        <v/>
      </c>
      <c r="HN641" s="2945" t="str">
        <f t="shared" si="203"/>
        <v/>
      </c>
      <c r="HO641" s="2945" t="str">
        <f t="shared" si="204"/>
        <v/>
      </c>
      <c r="HP641" s="2945" t="str">
        <f t="shared" si="205"/>
        <v/>
      </c>
      <c r="HQ641" s="2945" t="str">
        <f t="shared" si="206"/>
        <v/>
      </c>
      <c r="HR641" s="2945" t="str">
        <f t="shared" si="207"/>
        <v/>
      </c>
      <c r="HS641" s="2945" t="str">
        <f t="shared" si="208"/>
        <v/>
      </c>
      <c r="HT641" s="2945" t="str">
        <f t="shared" si="209"/>
        <v/>
      </c>
      <c r="HU641" s="2945" t="str">
        <f t="shared" si="210"/>
        <v/>
      </c>
      <c r="HV641" s="2945" t="str">
        <f t="shared" si="211"/>
        <v/>
      </c>
      <c r="HW641" s="2945" t="str">
        <f t="shared" si="212"/>
        <v/>
      </c>
      <c r="HX641" s="2945" t="str">
        <f t="shared" si="213"/>
        <v/>
      </c>
      <c r="HY641" s="2945" t="str">
        <f t="shared" si="214"/>
        <v/>
      </c>
      <c r="HZ641" s="2945" t="str">
        <f t="shared" si="215"/>
        <v/>
      </c>
      <c r="IA641" s="2945" t="str">
        <f t="shared" si="216"/>
        <v/>
      </c>
      <c r="IB641" s="2945" t="str">
        <f t="shared" si="217"/>
        <v/>
      </c>
      <c r="IC641" s="2911" t="str">
        <f t="shared" si="218"/>
        <v/>
      </c>
      <c r="ID641" s="2911" t="str">
        <f t="shared" si="219"/>
        <v/>
      </c>
      <c r="IE641" s="2911" t="str">
        <f t="shared" si="220"/>
        <v/>
      </c>
      <c r="IF641" s="2911" t="str">
        <f t="shared" si="221"/>
        <v/>
      </c>
      <c r="IG641" s="2911" t="str">
        <f t="shared" si="222"/>
        <v/>
      </c>
      <c r="IH641" s="926" t="str">
        <f t="shared" si="223"/>
        <v/>
      </c>
      <c r="II641" s="926" t="str">
        <f t="shared" si="224"/>
        <v/>
      </c>
      <c r="IJ641" s="926" t="str">
        <f t="shared" si="225"/>
        <v/>
      </c>
      <c r="IK641" s="926" t="str">
        <f t="shared" si="226"/>
        <v/>
      </c>
      <c r="IL641" s="926" t="str">
        <f t="shared" si="227"/>
        <v/>
      </c>
      <c r="IM641" s="926" t="str">
        <f t="shared" si="228"/>
        <v/>
      </c>
      <c r="IN641" s="926" t="str">
        <f t="shared" si="229"/>
        <v/>
      </c>
      <c r="IO641" s="926" t="str">
        <f t="shared" si="230"/>
        <v/>
      </c>
      <c r="IP641" s="926" t="str">
        <f t="shared" si="231"/>
        <v/>
      </c>
      <c r="IQ641" s="926" t="str">
        <f t="shared" si="232"/>
        <v/>
      </c>
      <c r="IR641" s="926" t="str">
        <f t="shared" si="233"/>
        <v/>
      </c>
      <c r="IS641" s="926" t="str">
        <f t="shared" si="234"/>
        <v/>
      </c>
      <c r="IT641" s="926" t="str">
        <f t="shared" si="235"/>
        <v/>
      </c>
      <c r="IU641" s="926" t="str">
        <f t="shared" si="236"/>
        <v/>
      </c>
      <c r="IV641" s="926" t="str">
        <f t="shared" si="237"/>
        <v/>
      </c>
      <c r="IW641" s="926" t="str">
        <f t="shared" si="238"/>
        <v/>
      </c>
      <c r="IX641" s="926" t="str">
        <f t="shared" si="239"/>
        <v/>
      </c>
      <c r="IY641" s="926" t="str">
        <f t="shared" si="240"/>
        <v/>
      </c>
      <c r="IZ641" s="926" t="str">
        <f t="shared" si="241"/>
        <v/>
      </c>
      <c r="JA641" s="926" t="str">
        <f t="shared" si="242"/>
        <v/>
      </c>
      <c r="JB641" s="2909">
        <f t="shared" si="243"/>
        <v>0</v>
      </c>
      <c r="JC641" s="2909">
        <f t="shared" si="244"/>
        <v>0</v>
      </c>
      <c r="JD641" s="2909">
        <f t="shared" si="245"/>
        <v>0</v>
      </c>
      <c r="JE641" s="2909">
        <f t="shared" si="246"/>
        <v>0</v>
      </c>
      <c r="JF641" s="2909">
        <f t="shared" si="247"/>
        <v>0</v>
      </c>
      <c r="JG641" s="2909">
        <f t="shared" si="248"/>
        <v>0</v>
      </c>
      <c r="JH641" s="2909">
        <f t="shared" si="249"/>
        <v>0</v>
      </c>
      <c r="JI641" s="2909">
        <f t="shared" si="250"/>
        <v>0</v>
      </c>
      <c r="JJ641" s="2909">
        <f t="shared" si="251"/>
        <v>0</v>
      </c>
      <c r="JK641" s="2909">
        <f t="shared" si="252"/>
        <v>0</v>
      </c>
      <c r="JL641" s="2909">
        <f t="shared" si="253"/>
        <v>0</v>
      </c>
      <c r="JM641" s="2909">
        <f t="shared" si="254"/>
        <v>0</v>
      </c>
      <c r="JN641" s="2909">
        <f t="shared" si="255"/>
        <v>0</v>
      </c>
      <c r="JO641" s="2909">
        <f t="shared" si="256"/>
        <v>0</v>
      </c>
      <c r="JP641" s="2909">
        <f t="shared" si="257"/>
        <v>0</v>
      </c>
    </row>
    <row r="642" spans="1:276" ht="12" customHeight="1">
      <c r="A642" s="2924" t="str">
        <f t="shared" si="0"/>
        <v/>
      </c>
      <c r="B642" s="2936" t="str">
        <f>'Part VI-Revenues &amp; Expenses'!B22</f>
        <v>&lt;&lt;Select&gt;&gt;</v>
      </c>
      <c r="C642" s="2937">
        <f>'Part VI-Revenues &amp; Expenses'!C22</f>
        <v>0</v>
      </c>
      <c r="D642" s="2938">
        <f>'Part VI-Revenues &amp; Expenses'!D22</f>
        <v>0</v>
      </c>
      <c r="E642" s="2939">
        <f>'Part VI-Revenues &amp; Expenses'!E22</f>
        <v>0</v>
      </c>
      <c r="F642" s="2939">
        <f>'Part VI-Revenues &amp; Expenses'!F22</f>
        <v>0</v>
      </c>
      <c r="G642" s="2939">
        <f>'Part VI-Revenues &amp; Expenses'!G22</f>
        <v>0</v>
      </c>
      <c r="H642" s="2939">
        <f>'Part VI-Revenues &amp; Expenses'!H22</f>
        <v>0</v>
      </c>
      <c r="I642" s="2939">
        <f>'Part VI-Revenues &amp; Expenses'!I22</f>
        <v>0</v>
      </c>
      <c r="J642" s="2940">
        <f>'Part VI-Revenues &amp; Expenses'!J22</f>
        <v>0</v>
      </c>
      <c r="K642" s="2941">
        <f t="shared" si="1"/>
        <v>0</v>
      </c>
      <c r="L642" s="2941">
        <f t="shared" si="2"/>
        <v>0</v>
      </c>
      <c r="M642" s="2918">
        <f>'Part VI-Revenues &amp; Expenses'!M22</f>
        <v>0</v>
      </c>
      <c r="N642" s="2918">
        <f>'Part VI-Revenues &amp; Expenses'!N22</f>
        <v>0</v>
      </c>
      <c r="O642" s="2918">
        <f>'Part VI-Revenues &amp; Expenses'!O22</f>
        <v>0</v>
      </c>
      <c r="P642" s="2918">
        <f>'Part VI-Revenues &amp; Expenses'!P22</f>
        <v>0</v>
      </c>
      <c r="Q642" s="2942">
        <f>IF(H642="","",P642/($O$626*VLOOKUP(C642,'DCA Underwriting Assumptions'!$J$118:$K$123,2,FALSE)))</f>
        <v>0</v>
      </c>
      <c r="R642" s="2943"/>
      <c r="S642" s="2942"/>
      <c r="T642" s="2944"/>
      <c r="U642" s="2944"/>
      <c r="V642" s="926" t="str">
        <f t="shared" si="3"/>
        <v/>
      </c>
      <c r="W642" s="926" t="str">
        <f t="shared" si="4"/>
        <v/>
      </c>
      <c r="X642" s="926" t="str">
        <f t="shared" si="5"/>
        <v/>
      </c>
      <c r="Y642" s="926" t="str">
        <f t="shared" si="6"/>
        <v/>
      </c>
      <c r="Z642" s="926" t="str">
        <f t="shared" si="7"/>
        <v/>
      </c>
      <c r="AA642" s="926" t="str">
        <f t="shared" si="8"/>
        <v/>
      </c>
      <c r="AB642" s="926" t="str">
        <f t="shared" si="9"/>
        <v/>
      </c>
      <c r="AC642" s="926" t="str">
        <f t="shared" si="10"/>
        <v/>
      </c>
      <c r="AD642" s="926" t="str">
        <f t="shared" si="11"/>
        <v/>
      </c>
      <c r="AE642" s="926" t="str">
        <f t="shared" si="12"/>
        <v/>
      </c>
      <c r="AF642" s="926" t="str">
        <f t="shared" si="13"/>
        <v/>
      </c>
      <c r="AG642" s="926" t="str">
        <f t="shared" si="14"/>
        <v/>
      </c>
      <c r="AH642" s="926" t="str">
        <f t="shared" si="15"/>
        <v/>
      </c>
      <c r="AI642" s="926" t="str">
        <f t="shared" si="16"/>
        <v/>
      </c>
      <c r="AJ642" s="926" t="str">
        <f t="shared" si="17"/>
        <v/>
      </c>
      <c r="AK642" s="926" t="str">
        <f t="shared" si="18"/>
        <v/>
      </c>
      <c r="AL642" s="926" t="str">
        <f t="shared" si="19"/>
        <v/>
      </c>
      <c r="AM642" s="926" t="str">
        <f t="shared" si="20"/>
        <v/>
      </c>
      <c r="AN642" s="926" t="str">
        <f t="shared" si="21"/>
        <v/>
      </c>
      <c r="AO642" s="926" t="str">
        <f t="shared" si="22"/>
        <v/>
      </c>
      <c r="AP642" s="926" t="str">
        <f t="shared" si="23"/>
        <v/>
      </c>
      <c r="AQ642" s="926" t="str">
        <f t="shared" si="24"/>
        <v/>
      </c>
      <c r="AR642" s="926" t="str">
        <f t="shared" si="25"/>
        <v/>
      </c>
      <c r="AS642" s="926" t="str">
        <f t="shared" si="26"/>
        <v/>
      </c>
      <c r="AT642" s="926" t="str">
        <f t="shared" si="27"/>
        <v/>
      </c>
      <c r="AU642" s="926" t="str">
        <f t="shared" si="28"/>
        <v/>
      </c>
      <c r="AV642" s="926" t="str">
        <f t="shared" si="29"/>
        <v/>
      </c>
      <c r="AW642" s="926" t="str">
        <f t="shared" si="30"/>
        <v/>
      </c>
      <c r="AX642" s="926" t="str">
        <f t="shared" si="31"/>
        <v/>
      </c>
      <c r="AY642" s="926" t="str">
        <f t="shared" si="32"/>
        <v/>
      </c>
      <c r="AZ642" s="926" t="str">
        <f t="shared" si="33"/>
        <v/>
      </c>
      <c r="BA642" s="926" t="str">
        <f t="shared" si="34"/>
        <v/>
      </c>
      <c r="BB642" s="926" t="str">
        <f t="shared" si="35"/>
        <v/>
      </c>
      <c r="BC642" s="926" t="str">
        <f t="shared" si="36"/>
        <v/>
      </c>
      <c r="BD642" s="926" t="str">
        <f t="shared" si="37"/>
        <v/>
      </c>
      <c r="BE642" s="926" t="str">
        <f t="shared" si="38"/>
        <v/>
      </c>
      <c r="BF642" s="926" t="str">
        <f t="shared" si="39"/>
        <v/>
      </c>
      <c r="BG642" s="926" t="str">
        <f t="shared" si="40"/>
        <v/>
      </c>
      <c r="BH642" s="926" t="str">
        <f t="shared" si="41"/>
        <v/>
      </c>
      <c r="BI642" s="926" t="str">
        <f t="shared" si="42"/>
        <v/>
      </c>
      <c r="BJ642" s="926" t="str">
        <f t="shared" si="43"/>
        <v/>
      </c>
      <c r="BK642" s="926" t="str">
        <f t="shared" si="44"/>
        <v/>
      </c>
      <c r="BL642" s="926" t="str">
        <f t="shared" si="45"/>
        <v/>
      </c>
      <c r="BM642" s="926" t="str">
        <f t="shared" si="46"/>
        <v/>
      </c>
      <c r="BN642" s="926" t="str">
        <f t="shared" si="47"/>
        <v/>
      </c>
      <c r="BO642" s="926" t="str">
        <f t="shared" si="48"/>
        <v/>
      </c>
      <c r="BP642" s="926" t="str">
        <f t="shared" si="49"/>
        <v/>
      </c>
      <c r="BQ642" s="926" t="str">
        <f t="shared" si="50"/>
        <v/>
      </c>
      <c r="BR642" s="926" t="str">
        <f t="shared" si="51"/>
        <v/>
      </c>
      <c r="BS642" s="926" t="str">
        <f t="shared" si="52"/>
        <v/>
      </c>
      <c r="BT642" s="926" t="str">
        <f t="shared" si="53"/>
        <v/>
      </c>
      <c r="BU642" s="926" t="str">
        <f t="shared" si="54"/>
        <v/>
      </c>
      <c r="BV642" s="926" t="str">
        <f t="shared" si="55"/>
        <v/>
      </c>
      <c r="BW642" s="926" t="str">
        <f t="shared" si="56"/>
        <v/>
      </c>
      <c r="BX642" s="926" t="str">
        <f t="shared" si="57"/>
        <v/>
      </c>
      <c r="BY642" s="926" t="str">
        <f t="shared" si="58"/>
        <v/>
      </c>
      <c r="BZ642" s="926" t="str">
        <f t="shared" si="59"/>
        <v/>
      </c>
      <c r="CA642" s="926" t="str">
        <f t="shared" si="60"/>
        <v/>
      </c>
      <c r="CB642" s="926" t="str">
        <f t="shared" si="61"/>
        <v/>
      </c>
      <c r="CC642" s="926" t="str">
        <f t="shared" si="62"/>
        <v/>
      </c>
      <c r="CD642" s="926" t="str">
        <f t="shared" si="63"/>
        <v/>
      </c>
      <c r="CE642" s="926" t="str">
        <f t="shared" si="64"/>
        <v/>
      </c>
      <c r="CF642" s="926" t="str">
        <f t="shared" si="65"/>
        <v/>
      </c>
      <c r="CG642" s="926" t="str">
        <f t="shared" si="66"/>
        <v/>
      </c>
      <c r="CH642" s="926" t="str">
        <f t="shared" si="67"/>
        <v/>
      </c>
      <c r="CI642" s="926" t="str">
        <f t="shared" si="68"/>
        <v/>
      </c>
      <c r="CJ642" s="926" t="str">
        <f t="shared" si="69"/>
        <v/>
      </c>
      <c r="CK642" s="926" t="str">
        <f t="shared" si="70"/>
        <v/>
      </c>
      <c r="CL642" s="926" t="str">
        <f t="shared" si="71"/>
        <v/>
      </c>
      <c r="CM642" s="926" t="str">
        <f t="shared" si="72"/>
        <v/>
      </c>
      <c r="CN642" s="926" t="str">
        <f t="shared" si="73"/>
        <v/>
      </c>
      <c r="CO642" s="926" t="str">
        <f t="shared" si="74"/>
        <v/>
      </c>
      <c r="CP642" s="926" t="str">
        <f t="shared" si="75"/>
        <v/>
      </c>
      <c r="CQ642" s="926" t="str">
        <f t="shared" si="76"/>
        <v/>
      </c>
      <c r="CR642" s="926" t="str">
        <f t="shared" si="77"/>
        <v/>
      </c>
      <c r="CS642" s="926" t="str">
        <f t="shared" si="78"/>
        <v/>
      </c>
      <c r="CT642" s="926" t="str">
        <f t="shared" si="79"/>
        <v/>
      </c>
      <c r="CU642" s="926" t="str">
        <f t="shared" si="80"/>
        <v/>
      </c>
      <c r="CV642" s="926" t="str">
        <f t="shared" si="81"/>
        <v/>
      </c>
      <c r="CW642" s="926" t="str">
        <f t="shared" si="82"/>
        <v/>
      </c>
      <c r="CX642" s="926" t="str">
        <f t="shared" si="83"/>
        <v/>
      </c>
      <c r="CY642" s="926" t="str">
        <f t="shared" si="84"/>
        <v/>
      </c>
      <c r="CZ642" s="926" t="str">
        <f t="shared" si="85"/>
        <v/>
      </c>
      <c r="DA642" s="926" t="str">
        <f t="shared" si="86"/>
        <v/>
      </c>
      <c r="DB642" s="926" t="str">
        <f t="shared" si="87"/>
        <v/>
      </c>
      <c r="DC642" s="926" t="str">
        <f t="shared" si="88"/>
        <v/>
      </c>
      <c r="DD642" s="926" t="str">
        <f t="shared" si="89"/>
        <v/>
      </c>
      <c r="DE642" s="926" t="str">
        <f t="shared" si="90"/>
        <v/>
      </c>
      <c r="DF642" s="926" t="str">
        <f t="shared" si="91"/>
        <v/>
      </c>
      <c r="DG642" s="926" t="str">
        <f t="shared" si="92"/>
        <v/>
      </c>
      <c r="DH642" s="926" t="str">
        <f t="shared" si="93"/>
        <v/>
      </c>
      <c r="DI642" s="926" t="str">
        <f t="shared" si="94"/>
        <v/>
      </c>
      <c r="DJ642" s="926" t="str">
        <f t="shared" si="95"/>
        <v/>
      </c>
      <c r="DK642" s="926" t="str">
        <f t="shared" si="96"/>
        <v/>
      </c>
      <c r="DL642" s="926" t="str">
        <f t="shared" si="97"/>
        <v/>
      </c>
      <c r="DM642" s="926" t="str">
        <f t="shared" si="98"/>
        <v/>
      </c>
      <c r="DN642" s="926" t="str">
        <f t="shared" si="99"/>
        <v/>
      </c>
      <c r="DO642" s="926" t="str">
        <f t="shared" si="100"/>
        <v/>
      </c>
      <c r="DP642" s="926" t="str">
        <f t="shared" si="101"/>
        <v/>
      </c>
      <c r="DQ642" s="926" t="str">
        <f t="shared" si="102"/>
        <v/>
      </c>
      <c r="DR642" s="926" t="str">
        <f t="shared" si="103"/>
        <v/>
      </c>
      <c r="DS642" s="926" t="str">
        <f t="shared" si="104"/>
        <v/>
      </c>
      <c r="DT642" s="926" t="str">
        <f t="shared" si="105"/>
        <v/>
      </c>
      <c r="DU642" s="926" t="str">
        <f t="shared" si="106"/>
        <v/>
      </c>
      <c r="DV642" s="926" t="str">
        <f t="shared" si="107"/>
        <v/>
      </c>
      <c r="DW642" s="926" t="str">
        <f t="shared" si="108"/>
        <v/>
      </c>
      <c r="DX642" s="926" t="str">
        <f t="shared" si="109"/>
        <v/>
      </c>
      <c r="DY642" s="926" t="str">
        <f t="shared" si="110"/>
        <v/>
      </c>
      <c r="DZ642" s="926" t="str">
        <f t="shared" si="111"/>
        <v/>
      </c>
      <c r="EA642" s="926" t="str">
        <f t="shared" si="112"/>
        <v/>
      </c>
      <c r="EB642" s="926" t="str">
        <f t="shared" si="113"/>
        <v/>
      </c>
      <c r="EC642" s="926" t="str">
        <f t="shared" si="114"/>
        <v/>
      </c>
      <c r="ED642" s="926" t="str">
        <f t="shared" si="115"/>
        <v/>
      </c>
      <c r="EE642" s="926" t="str">
        <f t="shared" si="116"/>
        <v/>
      </c>
      <c r="EF642" s="926" t="str">
        <f t="shared" si="117"/>
        <v/>
      </c>
      <c r="EG642" s="926" t="str">
        <f t="shared" si="118"/>
        <v/>
      </c>
      <c r="EH642" s="926" t="str">
        <f t="shared" si="119"/>
        <v/>
      </c>
      <c r="EI642" s="926" t="str">
        <f t="shared" si="120"/>
        <v/>
      </c>
      <c r="EJ642" s="926" t="str">
        <f t="shared" si="121"/>
        <v/>
      </c>
      <c r="EK642" s="926" t="str">
        <f t="shared" si="122"/>
        <v/>
      </c>
      <c r="EL642" s="926" t="str">
        <f t="shared" si="123"/>
        <v/>
      </c>
      <c r="EM642" s="926" t="str">
        <f t="shared" si="124"/>
        <v/>
      </c>
      <c r="EN642" s="926" t="str">
        <f t="shared" si="125"/>
        <v/>
      </c>
      <c r="EO642" s="926" t="str">
        <f t="shared" si="126"/>
        <v/>
      </c>
      <c r="EP642" s="926" t="str">
        <f t="shared" si="127"/>
        <v/>
      </c>
      <c r="EQ642" s="926" t="str">
        <f t="shared" si="128"/>
        <v/>
      </c>
      <c r="ER642" s="926" t="str">
        <f t="shared" si="129"/>
        <v/>
      </c>
      <c r="ES642" s="926" t="str">
        <f t="shared" si="130"/>
        <v/>
      </c>
      <c r="ET642" s="926" t="str">
        <f t="shared" si="131"/>
        <v/>
      </c>
      <c r="EU642" s="926" t="str">
        <f t="shared" si="132"/>
        <v/>
      </c>
      <c r="EV642" s="2945" t="str">
        <f t="shared" si="133"/>
        <v/>
      </c>
      <c r="EW642" s="2945" t="str">
        <f t="shared" si="134"/>
        <v/>
      </c>
      <c r="EX642" s="2945" t="str">
        <f t="shared" si="135"/>
        <v/>
      </c>
      <c r="EY642" s="2945" t="str">
        <f t="shared" si="136"/>
        <v/>
      </c>
      <c r="EZ642" s="2945" t="str">
        <f t="shared" si="137"/>
        <v/>
      </c>
      <c r="FA642" s="2945" t="str">
        <f t="shared" si="138"/>
        <v/>
      </c>
      <c r="FB642" s="2945" t="str">
        <f t="shared" si="139"/>
        <v/>
      </c>
      <c r="FC642" s="2945" t="str">
        <f t="shared" si="140"/>
        <v/>
      </c>
      <c r="FD642" s="2945" t="str">
        <f t="shared" si="141"/>
        <v/>
      </c>
      <c r="FE642" s="2945" t="str">
        <f t="shared" si="142"/>
        <v/>
      </c>
      <c r="FF642" s="2945" t="str">
        <f t="shared" si="143"/>
        <v/>
      </c>
      <c r="FG642" s="2945" t="str">
        <f t="shared" si="144"/>
        <v/>
      </c>
      <c r="FH642" s="2945" t="str">
        <f t="shared" si="145"/>
        <v/>
      </c>
      <c r="FI642" s="2945" t="str">
        <f t="shared" si="146"/>
        <v/>
      </c>
      <c r="FJ642" s="2945" t="str">
        <f t="shared" si="147"/>
        <v/>
      </c>
      <c r="FK642" s="2945" t="str">
        <f t="shared" si="148"/>
        <v/>
      </c>
      <c r="FL642" s="2945" t="str">
        <f t="shared" si="149"/>
        <v/>
      </c>
      <c r="FM642" s="2945" t="str">
        <f t="shared" si="150"/>
        <v/>
      </c>
      <c r="FN642" s="2945" t="str">
        <f t="shared" si="151"/>
        <v/>
      </c>
      <c r="FO642" s="2945" t="str">
        <f t="shared" si="152"/>
        <v/>
      </c>
      <c r="FP642" s="2945" t="str">
        <f t="shared" si="153"/>
        <v/>
      </c>
      <c r="FQ642" s="2945" t="str">
        <f t="shared" si="154"/>
        <v/>
      </c>
      <c r="FR642" s="2945" t="str">
        <f t="shared" si="155"/>
        <v/>
      </c>
      <c r="FS642" s="2945" t="str">
        <f t="shared" si="156"/>
        <v/>
      </c>
      <c r="FT642" s="2945" t="str">
        <f t="shared" si="157"/>
        <v/>
      </c>
      <c r="FU642" s="2945" t="str">
        <f t="shared" si="158"/>
        <v/>
      </c>
      <c r="FV642" s="2945" t="str">
        <f t="shared" si="159"/>
        <v/>
      </c>
      <c r="FW642" s="2945" t="str">
        <f t="shared" si="160"/>
        <v/>
      </c>
      <c r="FX642" s="2945" t="str">
        <f t="shared" si="161"/>
        <v/>
      </c>
      <c r="FY642" s="2945" t="str">
        <f t="shared" si="162"/>
        <v/>
      </c>
      <c r="FZ642" s="2945" t="str">
        <f t="shared" si="163"/>
        <v/>
      </c>
      <c r="GA642" s="2945" t="str">
        <f t="shared" si="164"/>
        <v/>
      </c>
      <c r="GB642" s="2945" t="str">
        <f t="shared" si="165"/>
        <v/>
      </c>
      <c r="GC642" s="2945" t="str">
        <f t="shared" si="166"/>
        <v/>
      </c>
      <c r="GD642" s="2945" t="str">
        <f t="shared" si="167"/>
        <v/>
      </c>
      <c r="GE642" s="2945" t="str">
        <f t="shared" si="168"/>
        <v/>
      </c>
      <c r="GF642" s="2945" t="str">
        <f t="shared" si="169"/>
        <v/>
      </c>
      <c r="GG642" s="2945" t="str">
        <f t="shared" si="170"/>
        <v/>
      </c>
      <c r="GH642" s="2945" t="str">
        <f t="shared" si="171"/>
        <v/>
      </c>
      <c r="GI642" s="2945" t="str">
        <f t="shared" si="172"/>
        <v/>
      </c>
      <c r="GJ642" s="2945" t="str">
        <f t="shared" si="173"/>
        <v/>
      </c>
      <c r="GK642" s="2945" t="str">
        <f t="shared" si="174"/>
        <v/>
      </c>
      <c r="GL642" s="2945" t="str">
        <f t="shared" si="175"/>
        <v/>
      </c>
      <c r="GM642" s="2945" t="str">
        <f t="shared" si="176"/>
        <v/>
      </c>
      <c r="GN642" s="2945" t="str">
        <f t="shared" si="177"/>
        <v/>
      </c>
      <c r="GO642" s="2945" t="str">
        <f t="shared" si="178"/>
        <v/>
      </c>
      <c r="GP642" s="2945" t="str">
        <f t="shared" si="179"/>
        <v/>
      </c>
      <c r="GQ642" s="2945" t="str">
        <f t="shared" si="180"/>
        <v/>
      </c>
      <c r="GR642" s="2945" t="str">
        <f t="shared" si="181"/>
        <v/>
      </c>
      <c r="GS642" s="2945" t="str">
        <f t="shared" si="182"/>
        <v/>
      </c>
      <c r="GT642" s="2945" t="str">
        <f t="shared" si="183"/>
        <v/>
      </c>
      <c r="GU642" s="2945" t="str">
        <f t="shared" si="184"/>
        <v/>
      </c>
      <c r="GV642" s="2945" t="str">
        <f t="shared" si="185"/>
        <v/>
      </c>
      <c r="GW642" s="2945" t="str">
        <f t="shared" si="186"/>
        <v/>
      </c>
      <c r="GX642" s="2945" t="str">
        <f t="shared" si="187"/>
        <v/>
      </c>
      <c r="GY642" s="2945" t="str">
        <f t="shared" si="188"/>
        <v/>
      </c>
      <c r="GZ642" s="2945" t="str">
        <f t="shared" si="189"/>
        <v/>
      </c>
      <c r="HA642" s="2945" t="str">
        <f t="shared" si="190"/>
        <v/>
      </c>
      <c r="HB642" s="2945" t="str">
        <f t="shared" si="191"/>
        <v/>
      </c>
      <c r="HC642" s="2945" t="str">
        <f t="shared" si="192"/>
        <v/>
      </c>
      <c r="HD642" s="2945" t="str">
        <f t="shared" si="193"/>
        <v/>
      </c>
      <c r="HE642" s="2945" t="str">
        <f t="shared" si="194"/>
        <v/>
      </c>
      <c r="HF642" s="2945" t="str">
        <f t="shared" si="195"/>
        <v/>
      </c>
      <c r="HG642" s="2945" t="str">
        <f t="shared" si="196"/>
        <v/>
      </c>
      <c r="HH642" s="2945" t="str">
        <f t="shared" si="197"/>
        <v/>
      </c>
      <c r="HI642" s="2945" t="str">
        <f t="shared" si="198"/>
        <v/>
      </c>
      <c r="HJ642" s="2945" t="str">
        <f t="shared" si="199"/>
        <v/>
      </c>
      <c r="HK642" s="2945" t="str">
        <f t="shared" si="200"/>
        <v/>
      </c>
      <c r="HL642" s="2945" t="str">
        <f t="shared" si="201"/>
        <v/>
      </c>
      <c r="HM642" s="2945" t="str">
        <f t="shared" si="202"/>
        <v/>
      </c>
      <c r="HN642" s="2945" t="str">
        <f t="shared" si="203"/>
        <v/>
      </c>
      <c r="HO642" s="2945" t="str">
        <f t="shared" si="204"/>
        <v/>
      </c>
      <c r="HP642" s="2945" t="str">
        <f t="shared" si="205"/>
        <v/>
      </c>
      <c r="HQ642" s="2945" t="str">
        <f t="shared" si="206"/>
        <v/>
      </c>
      <c r="HR642" s="2945" t="str">
        <f t="shared" si="207"/>
        <v/>
      </c>
      <c r="HS642" s="2945" t="str">
        <f t="shared" si="208"/>
        <v/>
      </c>
      <c r="HT642" s="2945" t="str">
        <f t="shared" si="209"/>
        <v/>
      </c>
      <c r="HU642" s="2945" t="str">
        <f t="shared" si="210"/>
        <v/>
      </c>
      <c r="HV642" s="2945" t="str">
        <f t="shared" si="211"/>
        <v/>
      </c>
      <c r="HW642" s="2945" t="str">
        <f t="shared" si="212"/>
        <v/>
      </c>
      <c r="HX642" s="2945" t="str">
        <f t="shared" si="213"/>
        <v/>
      </c>
      <c r="HY642" s="2945" t="str">
        <f t="shared" si="214"/>
        <v/>
      </c>
      <c r="HZ642" s="2945" t="str">
        <f t="shared" si="215"/>
        <v/>
      </c>
      <c r="IA642" s="2945" t="str">
        <f t="shared" si="216"/>
        <v/>
      </c>
      <c r="IB642" s="2945" t="str">
        <f t="shared" si="217"/>
        <v/>
      </c>
      <c r="IC642" s="2911" t="str">
        <f t="shared" si="218"/>
        <v/>
      </c>
      <c r="ID642" s="2911" t="str">
        <f t="shared" si="219"/>
        <v/>
      </c>
      <c r="IE642" s="2911" t="str">
        <f t="shared" si="220"/>
        <v/>
      </c>
      <c r="IF642" s="2911" t="str">
        <f t="shared" si="221"/>
        <v/>
      </c>
      <c r="IG642" s="2911" t="str">
        <f t="shared" si="222"/>
        <v/>
      </c>
      <c r="IH642" s="926" t="str">
        <f t="shared" si="223"/>
        <v/>
      </c>
      <c r="II642" s="926" t="str">
        <f t="shared" si="224"/>
        <v/>
      </c>
      <c r="IJ642" s="926" t="str">
        <f t="shared" si="225"/>
        <v/>
      </c>
      <c r="IK642" s="926" t="str">
        <f t="shared" si="226"/>
        <v/>
      </c>
      <c r="IL642" s="926" t="str">
        <f t="shared" si="227"/>
        <v/>
      </c>
      <c r="IM642" s="926" t="str">
        <f t="shared" si="228"/>
        <v/>
      </c>
      <c r="IN642" s="926" t="str">
        <f t="shared" si="229"/>
        <v/>
      </c>
      <c r="IO642" s="926" t="str">
        <f t="shared" si="230"/>
        <v/>
      </c>
      <c r="IP642" s="926" t="str">
        <f t="shared" si="231"/>
        <v/>
      </c>
      <c r="IQ642" s="926" t="str">
        <f t="shared" si="232"/>
        <v/>
      </c>
      <c r="IR642" s="926" t="str">
        <f t="shared" si="233"/>
        <v/>
      </c>
      <c r="IS642" s="926" t="str">
        <f t="shared" si="234"/>
        <v/>
      </c>
      <c r="IT642" s="926" t="str">
        <f t="shared" si="235"/>
        <v/>
      </c>
      <c r="IU642" s="926" t="str">
        <f t="shared" si="236"/>
        <v/>
      </c>
      <c r="IV642" s="926" t="str">
        <f t="shared" si="237"/>
        <v/>
      </c>
      <c r="IW642" s="926" t="str">
        <f t="shared" si="238"/>
        <v/>
      </c>
      <c r="IX642" s="926" t="str">
        <f t="shared" si="239"/>
        <v/>
      </c>
      <c r="IY642" s="926" t="str">
        <f t="shared" si="240"/>
        <v/>
      </c>
      <c r="IZ642" s="926" t="str">
        <f t="shared" si="241"/>
        <v/>
      </c>
      <c r="JA642" s="926" t="str">
        <f t="shared" si="242"/>
        <v/>
      </c>
      <c r="JB642" s="2909">
        <f t="shared" si="243"/>
        <v>0</v>
      </c>
      <c r="JC642" s="2909">
        <f t="shared" si="244"/>
        <v>0</v>
      </c>
      <c r="JD642" s="2909">
        <f t="shared" si="245"/>
        <v>0</v>
      </c>
      <c r="JE642" s="2909">
        <f t="shared" si="246"/>
        <v>0</v>
      </c>
      <c r="JF642" s="2909">
        <f t="shared" si="247"/>
        <v>0</v>
      </c>
      <c r="JG642" s="2909">
        <f t="shared" si="248"/>
        <v>0</v>
      </c>
      <c r="JH642" s="2909">
        <f t="shared" si="249"/>
        <v>0</v>
      </c>
      <c r="JI642" s="2909">
        <f t="shared" si="250"/>
        <v>0</v>
      </c>
      <c r="JJ642" s="2909">
        <f t="shared" si="251"/>
        <v>0</v>
      </c>
      <c r="JK642" s="2909">
        <f t="shared" si="252"/>
        <v>0</v>
      </c>
      <c r="JL642" s="2909">
        <f t="shared" si="253"/>
        <v>0</v>
      </c>
      <c r="JM642" s="2909">
        <f t="shared" si="254"/>
        <v>0</v>
      </c>
      <c r="JN642" s="2909">
        <f t="shared" si="255"/>
        <v>0</v>
      </c>
      <c r="JO642" s="2909">
        <f t="shared" si="256"/>
        <v>0</v>
      </c>
      <c r="JP642" s="2909">
        <f t="shared" si="257"/>
        <v>0</v>
      </c>
    </row>
    <row r="643" spans="1:276" ht="12" customHeight="1">
      <c r="A643" s="2924" t="str">
        <f t="shared" si="0"/>
        <v/>
      </c>
      <c r="B643" s="2936" t="str">
        <f>'Part VI-Revenues &amp; Expenses'!B23</f>
        <v>&lt;&lt;Select&gt;&gt;</v>
      </c>
      <c r="C643" s="2937">
        <f>'Part VI-Revenues &amp; Expenses'!C23</f>
        <v>0</v>
      </c>
      <c r="D643" s="2938">
        <f>'Part VI-Revenues &amp; Expenses'!D23</f>
        <v>0</v>
      </c>
      <c r="E643" s="2939">
        <f>'Part VI-Revenues &amp; Expenses'!E23</f>
        <v>0</v>
      </c>
      <c r="F643" s="2939">
        <f>'Part VI-Revenues &amp; Expenses'!F23</f>
        <v>0</v>
      </c>
      <c r="G643" s="2939">
        <f>'Part VI-Revenues &amp; Expenses'!G23</f>
        <v>0</v>
      </c>
      <c r="H643" s="2939">
        <f>'Part VI-Revenues &amp; Expenses'!H23</f>
        <v>0</v>
      </c>
      <c r="I643" s="2939">
        <f>'Part VI-Revenues &amp; Expenses'!I23</f>
        <v>0</v>
      </c>
      <c r="J643" s="2940">
        <f>'Part VI-Revenues &amp; Expenses'!J23</f>
        <v>0</v>
      </c>
      <c r="K643" s="2941">
        <f t="shared" si="1"/>
        <v>0</v>
      </c>
      <c r="L643" s="2941">
        <f t="shared" si="2"/>
        <v>0</v>
      </c>
      <c r="M643" s="2918">
        <f>'Part VI-Revenues &amp; Expenses'!M23</f>
        <v>0</v>
      </c>
      <c r="N643" s="2918">
        <f>'Part VI-Revenues &amp; Expenses'!N23</f>
        <v>0</v>
      </c>
      <c r="O643" s="2918">
        <f>'Part VI-Revenues &amp; Expenses'!O23</f>
        <v>0</v>
      </c>
      <c r="P643" s="2918">
        <f>'Part VI-Revenues &amp; Expenses'!P23</f>
        <v>0</v>
      </c>
      <c r="Q643" s="2942">
        <f>IF(H643="","",P643/($O$626*VLOOKUP(C643,'DCA Underwriting Assumptions'!$J$118:$K$123,2,FALSE)))</f>
        <v>0</v>
      </c>
      <c r="R643" s="2943"/>
      <c r="S643" s="2942"/>
      <c r="T643" s="2944"/>
      <c r="U643" s="2944"/>
      <c r="V643" s="926" t="str">
        <f t="shared" si="3"/>
        <v/>
      </c>
      <c r="W643" s="926" t="str">
        <f t="shared" si="4"/>
        <v/>
      </c>
      <c r="X643" s="926" t="str">
        <f t="shared" si="5"/>
        <v/>
      </c>
      <c r="Y643" s="926" t="str">
        <f t="shared" si="6"/>
        <v/>
      </c>
      <c r="Z643" s="926" t="str">
        <f t="shared" si="7"/>
        <v/>
      </c>
      <c r="AA643" s="926" t="str">
        <f t="shared" si="8"/>
        <v/>
      </c>
      <c r="AB643" s="926" t="str">
        <f t="shared" si="9"/>
        <v/>
      </c>
      <c r="AC643" s="926" t="str">
        <f t="shared" si="10"/>
        <v/>
      </c>
      <c r="AD643" s="926" t="str">
        <f t="shared" si="11"/>
        <v/>
      </c>
      <c r="AE643" s="926" t="str">
        <f t="shared" si="12"/>
        <v/>
      </c>
      <c r="AF643" s="926" t="str">
        <f t="shared" si="13"/>
        <v/>
      </c>
      <c r="AG643" s="926" t="str">
        <f t="shared" si="14"/>
        <v/>
      </c>
      <c r="AH643" s="926" t="str">
        <f t="shared" si="15"/>
        <v/>
      </c>
      <c r="AI643" s="926" t="str">
        <f t="shared" si="16"/>
        <v/>
      </c>
      <c r="AJ643" s="926" t="str">
        <f t="shared" si="17"/>
        <v/>
      </c>
      <c r="AK643" s="926" t="str">
        <f t="shared" si="18"/>
        <v/>
      </c>
      <c r="AL643" s="926" t="str">
        <f t="shared" si="19"/>
        <v/>
      </c>
      <c r="AM643" s="926" t="str">
        <f t="shared" si="20"/>
        <v/>
      </c>
      <c r="AN643" s="926" t="str">
        <f t="shared" si="21"/>
        <v/>
      </c>
      <c r="AO643" s="926" t="str">
        <f t="shared" si="22"/>
        <v/>
      </c>
      <c r="AP643" s="926" t="str">
        <f t="shared" si="23"/>
        <v/>
      </c>
      <c r="AQ643" s="926" t="str">
        <f t="shared" si="24"/>
        <v/>
      </c>
      <c r="AR643" s="926" t="str">
        <f t="shared" si="25"/>
        <v/>
      </c>
      <c r="AS643" s="926" t="str">
        <f t="shared" si="26"/>
        <v/>
      </c>
      <c r="AT643" s="926" t="str">
        <f t="shared" si="27"/>
        <v/>
      </c>
      <c r="AU643" s="926" t="str">
        <f t="shared" si="28"/>
        <v/>
      </c>
      <c r="AV643" s="926" t="str">
        <f t="shared" si="29"/>
        <v/>
      </c>
      <c r="AW643" s="926" t="str">
        <f t="shared" si="30"/>
        <v/>
      </c>
      <c r="AX643" s="926" t="str">
        <f t="shared" si="31"/>
        <v/>
      </c>
      <c r="AY643" s="926" t="str">
        <f t="shared" si="32"/>
        <v/>
      </c>
      <c r="AZ643" s="926" t="str">
        <f t="shared" si="33"/>
        <v/>
      </c>
      <c r="BA643" s="926" t="str">
        <f t="shared" si="34"/>
        <v/>
      </c>
      <c r="BB643" s="926" t="str">
        <f t="shared" si="35"/>
        <v/>
      </c>
      <c r="BC643" s="926" t="str">
        <f t="shared" si="36"/>
        <v/>
      </c>
      <c r="BD643" s="926" t="str">
        <f t="shared" si="37"/>
        <v/>
      </c>
      <c r="BE643" s="926" t="str">
        <f t="shared" si="38"/>
        <v/>
      </c>
      <c r="BF643" s="926" t="str">
        <f t="shared" si="39"/>
        <v/>
      </c>
      <c r="BG643" s="926" t="str">
        <f t="shared" si="40"/>
        <v/>
      </c>
      <c r="BH643" s="926" t="str">
        <f t="shared" si="41"/>
        <v/>
      </c>
      <c r="BI643" s="926" t="str">
        <f t="shared" si="42"/>
        <v/>
      </c>
      <c r="BJ643" s="926" t="str">
        <f t="shared" si="43"/>
        <v/>
      </c>
      <c r="BK643" s="926" t="str">
        <f t="shared" si="44"/>
        <v/>
      </c>
      <c r="BL643" s="926" t="str">
        <f t="shared" si="45"/>
        <v/>
      </c>
      <c r="BM643" s="926" t="str">
        <f t="shared" si="46"/>
        <v/>
      </c>
      <c r="BN643" s="926" t="str">
        <f t="shared" si="47"/>
        <v/>
      </c>
      <c r="BO643" s="926" t="str">
        <f t="shared" si="48"/>
        <v/>
      </c>
      <c r="BP643" s="926" t="str">
        <f t="shared" si="49"/>
        <v/>
      </c>
      <c r="BQ643" s="926" t="str">
        <f t="shared" si="50"/>
        <v/>
      </c>
      <c r="BR643" s="926" t="str">
        <f t="shared" si="51"/>
        <v/>
      </c>
      <c r="BS643" s="926" t="str">
        <f t="shared" si="52"/>
        <v/>
      </c>
      <c r="BT643" s="926" t="str">
        <f t="shared" si="53"/>
        <v/>
      </c>
      <c r="BU643" s="926" t="str">
        <f t="shared" si="54"/>
        <v/>
      </c>
      <c r="BV643" s="926" t="str">
        <f t="shared" si="55"/>
        <v/>
      </c>
      <c r="BW643" s="926" t="str">
        <f t="shared" si="56"/>
        <v/>
      </c>
      <c r="BX643" s="926" t="str">
        <f t="shared" si="57"/>
        <v/>
      </c>
      <c r="BY643" s="926" t="str">
        <f t="shared" si="58"/>
        <v/>
      </c>
      <c r="BZ643" s="926" t="str">
        <f t="shared" si="59"/>
        <v/>
      </c>
      <c r="CA643" s="926" t="str">
        <f t="shared" si="60"/>
        <v/>
      </c>
      <c r="CB643" s="926" t="str">
        <f t="shared" si="61"/>
        <v/>
      </c>
      <c r="CC643" s="926" t="str">
        <f t="shared" si="62"/>
        <v/>
      </c>
      <c r="CD643" s="926" t="str">
        <f t="shared" si="63"/>
        <v/>
      </c>
      <c r="CE643" s="926" t="str">
        <f t="shared" si="64"/>
        <v/>
      </c>
      <c r="CF643" s="926" t="str">
        <f t="shared" si="65"/>
        <v/>
      </c>
      <c r="CG643" s="926" t="str">
        <f t="shared" si="66"/>
        <v/>
      </c>
      <c r="CH643" s="926" t="str">
        <f t="shared" si="67"/>
        <v/>
      </c>
      <c r="CI643" s="926" t="str">
        <f t="shared" si="68"/>
        <v/>
      </c>
      <c r="CJ643" s="926" t="str">
        <f t="shared" si="69"/>
        <v/>
      </c>
      <c r="CK643" s="926" t="str">
        <f t="shared" si="70"/>
        <v/>
      </c>
      <c r="CL643" s="926" t="str">
        <f t="shared" si="71"/>
        <v/>
      </c>
      <c r="CM643" s="926" t="str">
        <f t="shared" si="72"/>
        <v/>
      </c>
      <c r="CN643" s="926" t="str">
        <f t="shared" si="73"/>
        <v/>
      </c>
      <c r="CO643" s="926" t="str">
        <f t="shared" si="74"/>
        <v/>
      </c>
      <c r="CP643" s="926" t="str">
        <f t="shared" si="75"/>
        <v/>
      </c>
      <c r="CQ643" s="926" t="str">
        <f t="shared" si="76"/>
        <v/>
      </c>
      <c r="CR643" s="926" t="str">
        <f t="shared" si="77"/>
        <v/>
      </c>
      <c r="CS643" s="926" t="str">
        <f t="shared" si="78"/>
        <v/>
      </c>
      <c r="CT643" s="926" t="str">
        <f t="shared" si="79"/>
        <v/>
      </c>
      <c r="CU643" s="926" t="str">
        <f t="shared" si="80"/>
        <v/>
      </c>
      <c r="CV643" s="926" t="str">
        <f t="shared" si="81"/>
        <v/>
      </c>
      <c r="CW643" s="926" t="str">
        <f t="shared" si="82"/>
        <v/>
      </c>
      <c r="CX643" s="926" t="str">
        <f t="shared" si="83"/>
        <v/>
      </c>
      <c r="CY643" s="926" t="str">
        <f t="shared" si="84"/>
        <v/>
      </c>
      <c r="CZ643" s="926" t="str">
        <f t="shared" si="85"/>
        <v/>
      </c>
      <c r="DA643" s="926" t="str">
        <f t="shared" si="86"/>
        <v/>
      </c>
      <c r="DB643" s="926" t="str">
        <f t="shared" si="87"/>
        <v/>
      </c>
      <c r="DC643" s="926" t="str">
        <f t="shared" si="88"/>
        <v/>
      </c>
      <c r="DD643" s="926" t="str">
        <f t="shared" si="89"/>
        <v/>
      </c>
      <c r="DE643" s="926" t="str">
        <f t="shared" si="90"/>
        <v/>
      </c>
      <c r="DF643" s="926" t="str">
        <f t="shared" si="91"/>
        <v/>
      </c>
      <c r="DG643" s="926" t="str">
        <f t="shared" si="92"/>
        <v/>
      </c>
      <c r="DH643" s="926" t="str">
        <f t="shared" si="93"/>
        <v/>
      </c>
      <c r="DI643" s="926" t="str">
        <f t="shared" si="94"/>
        <v/>
      </c>
      <c r="DJ643" s="926" t="str">
        <f t="shared" si="95"/>
        <v/>
      </c>
      <c r="DK643" s="926" t="str">
        <f t="shared" si="96"/>
        <v/>
      </c>
      <c r="DL643" s="926" t="str">
        <f t="shared" si="97"/>
        <v/>
      </c>
      <c r="DM643" s="926" t="str">
        <f t="shared" si="98"/>
        <v/>
      </c>
      <c r="DN643" s="926" t="str">
        <f t="shared" si="99"/>
        <v/>
      </c>
      <c r="DO643" s="926" t="str">
        <f t="shared" si="100"/>
        <v/>
      </c>
      <c r="DP643" s="926" t="str">
        <f t="shared" si="101"/>
        <v/>
      </c>
      <c r="DQ643" s="926" t="str">
        <f t="shared" si="102"/>
        <v/>
      </c>
      <c r="DR643" s="926" t="str">
        <f t="shared" si="103"/>
        <v/>
      </c>
      <c r="DS643" s="926" t="str">
        <f t="shared" si="104"/>
        <v/>
      </c>
      <c r="DT643" s="926" t="str">
        <f t="shared" si="105"/>
        <v/>
      </c>
      <c r="DU643" s="926" t="str">
        <f t="shared" si="106"/>
        <v/>
      </c>
      <c r="DV643" s="926" t="str">
        <f t="shared" si="107"/>
        <v/>
      </c>
      <c r="DW643" s="926" t="str">
        <f t="shared" si="108"/>
        <v/>
      </c>
      <c r="DX643" s="926" t="str">
        <f t="shared" si="109"/>
        <v/>
      </c>
      <c r="DY643" s="926" t="str">
        <f t="shared" si="110"/>
        <v/>
      </c>
      <c r="DZ643" s="926" t="str">
        <f t="shared" si="111"/>
        <v/>
      </c>
      <c r="EA643" s="926" t="str">
        <f t="shared" si="112"/>
        <v/>
      </c>
      <c r="EB643" s="926" t="str">
        <f t="shared" si="113"/>
        <v/>
      </c>
      <c r="EC643" s="926" t="str">
        <f t="shared" si="114"/>
        <v/>
      </c>
      <c r="ED643" s="926" t="str">
        <f t="shared" si="115"/>
        <v/>
      </c>
      <c r="EE643" s="926" t="str">
        <f t="shared" si="116"/>
        <v/>
      </c>
      <c r="EF643" s="926" t="str">
        <f t="shared" si="117"/>
        <v/>
      </c>
      <c r="EG643" s="926" t="str">
        <f t="shared" si="118"/>
        <v/>
      </c>
      <c r="EH643" s="926" t="str">
        <f t="shared" si="119"/>
        <v/>
      </c>
      <c r="EI643" s="926" t="str">
        <f t="shared" si="120"/>
        <v/>
      </c>
      <c r="EJ643" s="926" t="str">
        <f t="shared" si="121"/>
        <v/>
      </c>
      <c r="EK643" s="926" t="str">
        <f t="shared" si="122"/>
        <v/>
      </c>
      <c r="EL643" s="926" t="str">
        <f t="shared" si="123"/>
        <v/>
      </c>
      <c r="EM643" s="926" t="str">
        <f t="shared" si="124"/>
        <v/>
      </c>
      <c r="EN643" s="926" t="str">
        <f t="shared" si="125"/>
        <v/>
      </c>
      <c r="EO643" s="926" t="str">
        <f t="shared" si="126"/>
        <v/>
      </c>
      <c r="EP643" s="926" t="str">
        <f t="shared" si="127"/>
        <v/>
      </c>
      <c r="EQ643" s="926" t="str">
        <f t="shared" si="128"/>
        <v/>
      </c>
      <c r="ER643" s="926" t="str">
        <f t="shared" si="129"/>
        <v/>
      </c>
      <c r="ES643" s="926" t="str">
        <f t="shared" si="130"/>
        <v/>
      </c>
      <c r="ET643" s="926" t="str">
        <f t="shared" si="131"/>
        <v/>
      </c>
      <c r="EU643" s="926" t="str">
        <f t="shared" si="132"/>
        <v/>
      </c>
      <c r="EV643" s="2945" t="str">
        <f t="shared" si="133"/>
        <v/>
      </c>
      <c r="EW643" s="2945" t="str">
        <f t="shared" si="134"/>
        <v/>
      </c>
      <c r="EX643" s="2945" t="str">
        <f t="shared" si="135"/>
        <v/>
      </c>
      <c r="EY643" s="2945" t="str">
        <f t="shared" si="136"/>
        <v/>
      </c>
      <c r="EZ643" s="2945" t="str">
        <f t="shared" si="137"/>
        <v/>
      </c>
      <c r="FA643" s="2945" t="str">
        <f t="shared" si="138"/>
        <v/>
      </c>
      <c r="FB643" s="2945" t="str">
        <f t="shared" si="139"/>
        <v/>
      </c>
      <c r="FC643" s="2945" t="str">
        <f t="shared" si="140"/>
        <v/>
      </c>
      <c r="FD643" s="2945" t="str">
        <f t="shared" si="141"/>
        <v/>
      </c>
      <c r="FE643" s="2945" t="str">
        <f t="shared" si="142"/>
        <v/>
      </c>
      <c r="FF643" s="2945" t="str">
        <f t="shared" si="143"/>
        <v/>
      </c>
      <c r="FG643" s="2945" t="str">
        <f t="shared" si="144"/>
        <v/>
      </c>
      <c r="FH643" s="2945" t="str">
        <f t="shared" si="145"/>
        <v/>
      </c>
      <c r="FI643" s="2945" t="str">
        <f t="shared" si="146"/>
        <v/>
      </c>
      <c r="FJ643" s="2945" t="str">
        <f t="shared" si="147"/>
        <v/>
      </c>
      <c r="FK643" s="2945" t="str">
        <f t="shared" si="148"/>
        <v/>
      </c>
      <c r="FL643" s="2945" t="str">
        <f t="shared" si="149"/>
        <v/>
      </c>
      <c r="FM643" s="2945" t="str">
        <f t="shared" si="150"/>
        <v/>
      </c>
      <c r="FN643" s="2945" t="str">
        <f t="shared" si="151"/>
        <v/>
      </c>
      <c r="FO643" s="2945" t="str">
        <f t="shared" si="152"/>
        <v/>
      </c>
      <c r="FP643" s="2945" t="str">
        <f t="shared" si="153"/>
        <v/>
      </c>
      <c r="FQ643" s="2945" t="str">
        <f t="shared" si="154"/>
        <v/>
      </c>
      <c r="FR643" s="2945" t="str">
        <f t="shared" si="155"/>
        <v/>
      </c>
      <c r="FS643" s="2945" t="str">
        <f t="shared" si="156"/>
        <v/>
      </c>
      <c r="FT643" s="2945" t="str">
        <f t="shared" si="157"/>
        <v/>
      </c>
      <c r="FU643" s="2945" t="str">
        <f t="shared" si="158"/>
        <v/>
      </c>
      <c r="FV643" s="2945" t="str">
        <f t="shared" si="159"/>
        <v/>
      </c>
      <c r="FW643" s="2945" t="str">
        <f t="shared" si="160"/>
        <v/>
      </c>
      <c r="FX643" s="2945" t="str">
        <f t="shared" si="161"/>
        <v/>
      </c>
      <c r="FY643" s="2945" t="str">
        <f t="shared" si="162"/>
        <v/>
      </c>
      <c r="FZ643" s="2945" t="str">
        <f t="shared" si="163"/>
        <v/>
      </c>
      <c r="GA643" s="2945" t="str">
        <f t="shared" si="164"/>
        <v/>
      </c>
      <c r="GB643" s="2945" t="str">
        <f t="shared" si="165"/>
        <v/>
      </c>
      <c r="GC643" s="2945" t="str">
        <f t="shared" si="166"/>
        <v/>
      </c>
      <c r="GD643" s="2945" t="str">
        <f t="shared" si="167"/>
        <v/>
      </c>
      <c r="GE643" s="2945" t="str">
        <f t="shared" si="168"/>
        <v/>
      </c>
      <c r="GF643" s="2945" t="str">
        <f t="shared" si="169"/>
        <v/>
      </c>
      <c r="GG643" s="2945" t="str">
        <f t="shared" si="170"/>
        <v/>
      </c>
      <c r="GH643" s="2945" t="str">
        <f t="shared" si="171"/>
        <v/>
      </c>
      <c r="GI643" s="2945" t="str">
        <f t="shared" si="172"/>
        <v/>
      </c>
      <c r="GJ643" s="2945" t="str">
        <f t="shared" si="173"/>
        <v/>
      </c>
      <c r="GK643" s="2945" t="str">
        <f t="shared" si="174"/>
        <v/>
      </c>
      <c r="GL643" s="2945" t="str">
        <f t="shared" si="175"/>
        <v/>
      </c>
      <c r="GM643" s="2945" t="str">
        <f t="shared" si="176"/>
        <v/>
      </c>
      <c r="GN643" s="2945" t="str">
        <f t="shared" si="177"/>
        <v/>
      </c>
      <c r="GO643" s="2945" t="str">
        <f t="shared" si="178"/>
        <v/>
      </c>
      <c r="GP643" s="2945" t="str">
        <f t="shared" si="179"/>
        <v/>
      </c>
      <c r="GQ643" s="2945" t="str">
        <f t="shared" si="180"/>
        <v/>
      </c>
      <c r="GR643" s="2945" t="str">
        <f t="shared" si="181"/>
        <v/>
      </c>
      <c r="GS643" s="2945" t="str">
        <f t="shared" si="182"/>
        <v/>
      </c>
      <c r="GT643" s="2945" t="str">
        <f t="shared" si="183"/>
        <v/>
      </c>
      <c r="GU643" s="2945" t="str">
        <f t="shared" si="184"/>
        <v/>
      </c>
      <c r="GV643" s="2945" t="str">
        <f t="shared" si="185"/>
        <v/>
      </c>
      <c r="GW643" s="2945" t="str">
        <f t="shared" si="186"/>
        <v/>
      </c>
      <c r="GX643" s="2945" t="str">
        <f t="shared" si="187"/>
        <v/>
      </c>
      <c r="GY643" s="2945" t="str">
        <f t="shared" si="188"/>
        <v/>
      </c>
      <c r="GZ643" s="2945" t="str">
        <f t="shared" si="189"/>
        <v/>
      </c>
      <c r="HA643" s="2945" t="str">
        <f t="shared" si="190"/>
        <v/>
      </c>
      <c r="HB643" s="2945" t="str">
        <f t="shared" si="191"/>
        <v/>
      </c>
      <c r="HC643" s="2945" t="str">
        <f t="shared" si="192"/>
        <v/>
      </c>
      <c r="HD643" s="2945" t="str">
        <f t="shared" si="193"/>
        <v/>
      </c>
      <c r="HE643" s="2945" t="str">
        <f t="shared" si="194"/>
        <v/>
      </c>
      <c r="HF643" s="2945" t="str">
        <f t="shared" si="195"/>
        <v/>
      </c>
      <c r="HG643" s="2945" t="str">
        <f t="shared" si="196"/>
        <v/>
      </c>
      <c r="HH643" s="2945" t="str">
        <f t="shared" si="197"/>
        <v/>
      </c>
      <c r="HI643" s="2945" t="str">
        <f t="shared" si="198"/>
        <v/>
      </c>
      <c r="HJ643" s="2945" t="str">
        <f t="shared" si="199"/>
        <v/>
      </c>
      <c r="HK643" s="2945" t="str">
        <f t="shared" si="200"/>
        <v/>
      </c>
      <c r="HL643" s="2945" t="str">
        <f t="shared" si="201"/>
        <v/>
      </c>
      <c r="HM643" s="2945" t="str">
        <f t="shared" si="202"/>
        <v/>
      </c>
      <c r="HN643" s="2945" t="str">
        <f t="shared" si="203"/>
        <v/>
      </c>
      <c r="HO643" s="2945" t="str">
        <f t="shared" si="204"/>
        <v/>
      </c>
      <c r="HP643" s="2945" t="str">
        <f t="shared" si="205"/>
        <v/>
      </c>
      <c r="HQ643" s="2945" t="str">
        <f t="shared" si="206"/>
        <v/>
      </c>
      <c r="HR643" s="2945" t="str">
        <f t="shared" si="207"/>
        <v/>
      </c>
      <c r="HS643" s="2945" t="str">
        <f t="shared" si="208"/>
        <v/>
      </c>
      <c r="HT643" s="2945" t="str">
        <f t="shared" si="209"/>
        <v/>
      </c>
      <c r="HU643" s="2945" t="str">
        <f t="shared" si="210"/>
        <v/>
      </c>
      <c r="HV643" s="2945" t="str">
        <f t="shared" si="211"/>
        <v/>
      </c>
      <c r="HW643" s="2945" t="str">
        <f t="shared" si="212"/>
        <v/>
      </c>
      <c r="HX643" s="2945" t="str">
        <f t="shared" si="213"/>
        <v/>
      </c>
      <c r="HY643" s="2945" t="str">
        <f t="shared" si="214"/>
        <v/>
      </c>
      <c r="HZ643" s="2945" t="str">
        <f t="shared" si="215"/>
        <v/>
      </c>
      <c r="IA643" s="2945" t="str">
        <f t="shared" si="216"/>
        <v/>
      </c>
      <c r="IB643" s="2945" t="str">
        <f t="shared" si="217"/>
        <v/>
      </c>
      <c r="IC643" s="2911" t="str">
        <f t="shared" si="218"/>
        <v/>
      </c>
      <c r="ID643" s="2911" t="str">
        <f t="shared" si="219"/>
        <v/>
      </c>
      <c r="IE643" s="2911" t="str">
        <f t="shared" si="220"/>
        <v/>
      </c>
      <c r="IF643" s="2911" t="str">
        <f t="shared" si="221"/>
        <v/>
      </c>
      <c r="IG643" s="2911" t="str">
        <f t="shared" si="222"/>
        <v/>
      </c>
      <c r="IH643" s="926" t="str">
        <f t="shared" si="223"/>
        <v/>
      </c>
      <c r="II643" s="926" t="str">
        <f t="shared" si="224"/>
        <v/>
      </c>
      <c r="IJ643" s="926" t="str">
        <f t="shared" si="225"/>
        <v/>
      </c>
      <c r="IK643" s="926" t="str">
        <f t="shared" si="226"/>
        <v/>
      </c>
      <c r="IL643" s="926" t="str">
        <f t="shared" si="227"/>
        <v/>
      </c>
      <c r="IM643" s="926" t="str">
        <f t="shared" si="228"/>
        <v/>
      </c>
      <c r="IN643" s="926" t="str">
        <f t="shared" si="229"/>
        <v/>
      </c>
      <c r="IO643" s="926" t="str">
        <f t="shared" si="230"/>
        <v/>
      </c>
      <c r="IP643" s="926" t="str">
        <f t="shared" si="231"/>
        <v/>
      </c>
      <c r="IQ643" s="926" t="str">
        <f t="shared" si="232"/>
        <v/>
      </c>
      <c r="IR643" s="926" t="str">
        <f t="shared" si="233"/>
        <v/>
      </c>
      <c r="IS643" s="926" t="str">
        <f t="shared" si="234"/>
        <v/>
      </c>
      <c r="IT643" s="926" t="str">
        <f t="shared" si="235"/>
        <v/>
      </c>
      <c r="IU643" s="926" t="str">
        <f t="shared" si="236"/>
        <v/>
      </c>
      <c r="IV643" s="926" t="str">
        <f t="shared" si="237"/>
        <v/>
      </c>
      <c r="IW643" s="926" t="str">
        <f t="shared" si="238"/>
        <v/>
      </c>
      <c r="IX643" s="926" t="str">
        <f t="shared" si="239"/>
        <v/>
      </c>
      <c r="IY643" s="926" t="str">
        <f t="shared" si="240"/>
        <v/>
      </c>
      <c r="IZ643" s="926" t="str">
        <f t="shared" si="241"/>
        <v/>
      </c>
      <c r="JA643" s="926" t="str">
        <f t="shared" si="242"/>
        <v/>
      </c>
      <c r="JB643" s="2909">
        <f t="shared" si="243"/>
        <v>0</v>
      </c>
      <c r="JC643" s="2909">
        <f t="shared" si="244"/>
        <v>0</v>
      </c>
      <c r="JD643" s="2909">
        <f t="shared" si="245"/>
        <v>0</v>
      </c>
      <c r="JE643" s="2909">
        <f t="shared" si="246"/>
        <v>0</v>
      </c>
      <c r="JF643" s="2909">
        <f t="shared" si="247"/>
        <v>0</v>
      </c>
      <c r="JG643" s="2909">
        <f t="shared" si="248"/>
        <v>0</v>
      </c>
      <c r="JH643" s="2909">
        <f t="shared" si="249"/>
        <v>0</v>
      </c>
      <c r="JI643" s="2909">
        <f t="shared" si="250"/>
        <v>0</v>
      </c>
      <c r="JJ643" s="2909">
        <f t="shared" si="251"/>
        <v>0</v>
      </c>
      <c r="JK643" s="2909">
        <f t="shared" si="252"/>
        <v>0</v>
      </c>
      <c r="JL643" s="2909">
        <f t="shared" si="253"/>
        <v>0</v>
      </c>
      <c r="JM643" s="2909">
        <f t="shared" si="254"/>
        <v>0</v>
      </c>
      <c r="JN643" s="2909">
        <f t="shared" si="255"/>
        <v>0</v>
      </c>
      <c r="JO643" s="2909">
        <f t="shared" si="256"/>
        <v>0</v>
      </c>
      <c r="JP643" s="2909">
        <f t="shared" si="257"/>
        <v>0</v>
      </c>
    </row>
    <row r="644" spans="1:276" ht="12" customHeight="1">
      <c r="A644" s="2924" t="str">
        <f t="shared" si="0"/>
        <v/>
      </c>
      <c r="B644" s="2936" t="str">
        <f>'Part VI-Revenues &amp; Expenses'!B24</f>
        <v>&lt;&lt;Select&gt;&gt;</v>
      </c>
      <c r="C644" s="2937">
        <f>'Part VI-Revenues &amp; Expenses'!C24</f>
        <v>0</v>
      </c>
      <c r="D644" s="2938">
        <f>'Part VI-Revenues &amp; Expenses'!D24</f>
        <v>0</v>
      </c>
      <c r="E644" s="2939">
        <f>'Part VI-Revenues &amp; Expenses'!E24</f>
        <v>0</v>
      </c>
      <c r="F644" s="2939">
        <f>'Part VI-Revenues &amp; Expenses'!F24</f>
        <v>0</v>
      </c>
      <c r="G644" s="2939">
        <f>'Part VI-Revenues &amp; Expenses'!G24</f>
        <v>0</v>
      </c>
      <c r="H644" s="2939">
        <f>'Part VI-Revenues &amp; Expenses'!H24</f>
        <v>0</v>
      </c>
      <c r="I644" s="2939">
        <f>'Part VI-Revenues &amp; Expenses'!I24</f>
        <v>0</v>
      </c>
      <c r="J644" s="2940">
        <f>'Part VI-Revenues &amp; Expenses'!J24</f>
        <v>0</v>
      </c>
      <c r="K644" s="2941">
        <f t="shared" si="1"/>
        <v>0</v>
      </c>
      <c r="L644" s="2941">
        <f t="shared" si="2"/>
        <v>0</v>
      </c>
      <c r="M644" s="2918">
        <f>'Part VI-Revenues &amp; Expenses'!M24</f>
        <v>0</v>
      </c>
      <c r="N644" s="2918">
        <f>'Part VI-Revenues &amp; Expenses'!N24</f>
        <v>0</v>
      </c>
      <c r="O644" s="2918">
        <f>'Part VI-Revenues &amp; Expenses'!O24</f>
        <v>0</v>
      </c>
      <c r="P644" s="2918">
        <f>'Part VI-Revenues &amp; Expenses'!P24</f>
        <v>0</v>
      </c>
      <c r="Q644" s="2942">
        <f>IF(H644="","",P644/($O$626*VLOOKUP(C644,'DCA Underwriting Assumptions'!$J$118:$K$123,2,FALSE)))</f>
        <v>0</v>
      </c>
      <c r="R644" s="2943"/>
      <c r="S644" s="2942"/>
      <c r="T644" s="2944"/>
      <c r="U644" s="2944"/>
      <c r="V644" s="926" t="str">
        <f t="shared" si="3"/>
        <v/>
      </c>
      <c r="W644" s="926" t="str">
        <f t="shared" si="4"/>
        <v/>
      </c>
      <c r="X644" s="926" t="str">
        <f t="shared" si="5"/>
        <v/>
      </c>
      <c r="Y644" s="926" t="str">
        <f t="shared" si="6"/>
        <v/>
      </c>
      <c r="Z644" s="926" t="str">
        <f t="shared" si="7"/>
        <v/>
      </c>
      <c r="AA644" s="926" t="str">
        <f t="shared" si="8"/>
        <v/>
      </c>
      <c r="AB644" s="926" t="str">
        <f t="shared" si="9"/>
        <v/>
      </c>
      <c r="AC644" s="926" t="str">
        <f t="shared" si="10"/>
        <v/>
      </c>
      <c r="AD644" s="926" t="str">
        <f t="shared" si="11"/>
        <v/>
      </c>
      <c r="AE644" s="926" t="str">
        <f t="shared" si="12"/>
        <v/>
      </c>
      <c r="AF644" s="926" t="str">
        <f t="shared" si="13"/>
        <v/>
      </c>
      <c r="AG644" s="926" t="str">
        <f t="shared" si="14"/>
        <v/>
      </c>
      <c r="AH644" s="926" t="str">
        <f t="shared" si="15"/>
        <v/>
      </c>
      <c r="AI644" s="926" t="str">
        <f t="shared" si="16"/>
        <v/>
      </c>
      <c r="AJ644" s="926" t="str">
        <f t="shared" si="17"/>
        <v/>
      </c>
      <c r="AK644" s="926" t="str">
        <f t="shared" si="18"/>
        <v/>
      </c>
      <c r="AL644" s="926" t="str">
        <f t="shared" si="19"/>
        <v/>
      </c>
      <c r="AM644" s="926" t="str">
        <f t="shared" si="20"/>
        <v/>
      </c>
      <c r="AN644" s="926" t="str">
        <f t="shared" si="21"/>
        <v/>
      </c>
      <c r="AO644" s="926" t="str">
        <f t="shared" si="22"/>
        <v/>
      </c>
      <c r="AP644" s="926" t="str">
        <f t="shared" si="23"/>
        <v/>
      </c>
      <c r="AQ644" s="926" t="str">
        <f t="shared" si="24"/>
        <v/>
      </c>
      <c r="AR644" s="926" t="str">
        <f t="shared" si="25"/>
        <v/>
      </c>
      <c r="AS644" s="926" t="str">
        <f t="shared" si="26"/>
        <v/>
      </c>
      <c r="AT644" s="926" t="str">
        <f t="shared" si="27"/>
        <v/>
      </c>
      <c r="AU644" s="926" t="str">
        <f t="shared" si="28"/>
        <v/>
      </c>
      <c r="AV644" s="926" t="str">
        <f t="shared" si="29"/>
        <v/>
      </c>
      <c r="AW644" s="926" t="str">
        <f t="shared" si="30"/>
        <v/>
      </c>
      <c r="AX644" s="926" t="str">
        <f t="shared" si="31"/>
        <v/>
      </c>
      <c r="AY644" s="926" t="str">
        <f t="shared" si="32"/>
        <v/>
      </c>
      <c r="AZ644" s="926" t="str">
        <f t="shared" si="33"/>
        <v/>
      </c>
      <c r="BA644" s="926" t="str">
        <f t="shared" si="34"/>
        <v/>
      </c>
      <c r="BB644" s="926" t="str">
        <f t="shared" si="35"/>
        <v/>
      </c>
      <c r="BC644" s="926" t="str">
        <f t="shared" si="36"/>
        <v/>
      </c>
      <c r="BD644" s="926" t="str">
        <f t="shared" si="37"/>
        <v/>
      </c>
      <c r="BE644" s="926" t="str">
        <f t="shared" si="38"/>
        <v/>
      </c>
      <c r="BF644" s="926" t="str">
        <f t="shared" si="39"/>
        <v/>
      </c>
      <c r="BG644" s="926" t="str">
        <f t="shared" si="40"/>
        <v/>
      </c>
      <c r="BH644" s="926" t="str">
        <f t="shared" si="41"/>
        <v/>
      </c>
      <c r="BI644" s="926" t="str">
        <f t="shared" si="42"/>
        <v/>
      </c>
      <c r="BJ644" s="926" t="str">
        <f t="shared" si="43"/>
        <v/>
      </c>
      <c r="BK644" s="926" t="str">
        <f t="shared" si="44"/>
        <v/>
      </c>
      <c r="BL644" s="926" t="str">
        <f t="shared" si="45"/>
        <v/>
      </c>
      <c r="BM644" s="926" t="str">
        <f t="shared" si="46"/>
        <v/>
      </c>
      <c r="BN644" s="926" t="str">
        <f t="shared" si="47"/>
        <v/>
      </c>
      <c r="BO644" s="926" t="str">
        <f t="shared" si="48"/>
        <v/>
      </c>
      <c r="BP644" s="926" t="str">
        <f t="shared" si="49"/>
        <v/>
      </c>
      <c r="BQ644" s="926" t="str">
        <f t="shared" si="50"/>
        <v/>
      </c>
      <c r="BR644" s="926" t="str">
        <f t="shared" si="51"/>
        <v/>
      </c>
      <c r="BS644" s="926" t="str">
        <f t="shared" si="52"/>
        <v/>
      </c>
      <c r="BT644" s="926" t="str">
        <f t="shared" si="53"/>
        <v/>
      </c>
      <c r="BU644" s="926" t="str">
        <f t="shared" si="54"/>
        <v/>
      </c>
      <c r="BV644" s="926" t="str">
        <f t="shared" si="55"/>
        <v/>
      </c>
      <c r="BW644" s="926" t="str">
        <f t="shared" si="56"/>
        <v/>
      </c>
      <c r="BX644" s="926" t="str">
        <f t="shared" si="57"/>
        <v/>
      </c>
      <c r="BY644" s="926" t="str">
        <f t="shared" si="58"/>
        <v/>
      </c>
      <c r="BZ644" s="926" t="str">
        <f t="shared" si="59"/>
        <v/>
      </c>
      <c r="CA644" s="926" t="str">
        <f t="shared" si="60"/>
        <v/>
      </c>
      <c r="CB644" s="926" t="str">
        <f t="shared" si="61"/>
        <v/>
      </c>
      <c r="CC644" s="926" t="str">
        <f t="shared" si="62"/>
        <v/>
      </c>
      <c r="CD644" s="926" t="str">
        <f t="shared" si="63"/>
        <v/>
      </c>
      <c r="CE644" s="926" t="str">
        <f t="shared" si="64"/>
        <v/>
      </c>
      <c r="CF644" s="926" t="str">
        <f t="shared" si="65"/>
        <v/>
      </c>
      <c r="CG644" s="926" t="str">
        <f t="shared" si="66"/>
        <v/>
      </c>
      <c r="CH644" s="926" t="str">
        <f t="shared" si="67"/>
        <v/>
      </c>
      <c r="CI644" s="926" t="str">
        <f t="shared" si="68"/>
        <v/>
      </c>
      <c r="CJ644" s="926" t="str">
        <f t="shared" si="69"/>
        <v/>
      </c>
      <c r="CK644" s="926" t="str">
        <f t="shared" si="70"/>
        <v/>
      </c>
      <c r="CL644" s="926" t="str">
        <f t="shared" si="71"/>
        <v/>
      </c>
      <c r="CM644" s="926" t="str">
        <f t="shared" si="72"/>
        <v/>
      </c>
      <c r="CN644" s="926" t="str">
        <f t="shared" si="73"/>
        <v/>
      </c>
      <c r="CO644" s="926" t="str">
        <f t="shared" si="74"/>
        <v/>
      </c>
      <c r="CP644" s="926" t="str">
        <f t="shared" si="75"/>
        <v/>
      </c>
      <c r="CQ644" s="926" t="str">
        <f t="shared" si="76"/>
        <v/>
      </c>
      <c r="CR644" s="926" t="str">
        <f t="shared" si="77"/>
        <v/>
      </c>
      <c r="CS644" s="926" t="str">
        <f t="shared" si="78"/>
        <v/>
      </c>
      <c r="CT644" s="926" t="str">
        <f t="shared" si="79"/>
        <v/>
      </c>
      <c r="CU644" s="926" t="str">
        <f t="shared" si="80"/>
        <v/>
      </c>
      <c r="CV644" s="926" t="str">
        <f t="shared" si="81"/>
        <v/>
      </c>
      <c r="CW644" s="926" t="str">
        <f t="shared" si="82"/>
        <v/>
      </c>
      <c r="CX644" s="926" t="str">
        <f t="shared" si="83"/>
        <v/>
      </c>
      <c r="CY644" s="926" t="str">
        <f t="shared" si="84"/>
        <v/>
      </c>
      <c r="CZ644" s="926" t="str">
        <f t="shared" si="85"/>
        <v/>
      </c>
      <c r="DA644" s="926" t="str">
        <f t="shared" si="86"/>
        <v/>
      </c>
      <c r="DB644" s="926" t="str">
        <f t="shared" si="87"/>
        <v/>
      </c>
      <c r="DC644" s="926" t="str">
        <f t="shared" si="88"/>
        <v/>
      </c>
      <c r="DD644" s="926" t="str">
        <f t="shared" si="89"/>
        <v/>
      </c>
      <c r="DE644" s="926" t="str">
        <f t="shared" si="90"/>
        <v/>
      </c>
      <c r="DF644" s="926" t="str">
        <f t="shared" si="91"/>
        <v/>
      </c>
      <c r="DG644" s="926" t="str">
        <f t="shared" si="92"/>
        <v/>
      </c>
      <c r="DH644" s="926" t="str">
        <f t="shared" si="93"/>
        <v/>
      </c>
      <c r="DI644" s="926" t="str">
        <f t="shared" si="94"/>
        <v/>
      </c>
      <c r="DJ644" s="926" t="str">
        <f t="shared" si="95"/>
        <v/>
      </c>
      <c r="DK644" s="926" t="str">
        <f t="shared" si="96"/>
        <v/>
      </c>
      <c r="DL644" s="926" t="str">
        <f t="shared" si="97"/>
        <v/>
      </c>
      <c r="DM644" s="926" t="str">
        <f t="shared" si="98"/>
        <v/>
      </c>
      <c r="DN644" s="926" t="str">
        <f t="shared" si="99"/>
        <v/>
      </c>
      <c r="DO644" s="926" t="str">
        <f t="shared" si="100"/>
        <v/>
      </c>
      <c r="DP644" s="926" t="str">
        <f t="shared" si="101"/>
        <v/>
      </c>
      <c r="DQ644" s="926" t="str">
        <f t="shared" si="102"/>
        <v/>
      </c>
      <c r="DR644" s="926" t="str">
        <f t="shared" si="103"/>
        <v/>
      </c>
      <c r="DS644" s="926" t="str">
        <f t="shared" si="104"/>
        <v/>
      </c>
      <c r="DT644" s="926" t="str">
        <f t="shared" si="105"/>
        <v/>
      </c>
      <c r="DU644" s="926" t="str">
        <f t="shared" si="106"/>
        <v/>
      </c>
      <c r="DV644" s="926" t="str">
        <f t="shared" si="107"/>
        <v/>
      </c>
      <c r="DW644" s="926" t="str">
        <f t="shared" si="108"/>
        <v/>
      </c>
      <c r="DX644" s="926" t="str">
        <f t="shared" si="109"/>
        <v/>
      </c>
      <c r="DY644" s="926" t="str">
        <f t="shared" si="110"/>
        <v/>
      </c>
      <c r="DZ644" s="926" t="str">
        <f t="shared" si="111"/>
        <v/>
      </c>
      <c r="EA644" s="926" t="str">
        <f t="shared" si="112"/>
        <v/>
      </c>
      <c r="EB644" s="926" t="str">
        <f t="shared" si="113"/>
        <v/>
      </c>
      <c r="EC644" s="926" t="str">
        <f t="shared" si="114"/>
        <v/>
      </c>
      <c r="ED644" s="926" t="str">
        <f t="shared" si="115"/>
        <v/>
      </c>
      <c r="EE644" s="926" t="str">
        <f t="shared" si="116"/>
        <v/>
      </c>
      <c r="EF644" s="926" t="str">
        <f t="shared" si="117"/>
        <v/>
      </c>
      <c r="EG644" s="926" t="str">
        <f t="shared" si="118"/>
        <v/>
      </c>
      <c r="EH644" s="926" t="str">
        <f t="shared" si="119"/>
        <v/>
      </c>
      <c r="EI644" s="926" t="str">
        <f t="shared" si="120"/>
        <v/>
      </c>
      <c r="EJ644" s="926" t="str">
        <f t="shared" si="121"/>
        <v/>
      </c>
      <c r="EK644" s="926" t="str">
        <f t="shared" si="122"/>
        <v/>
      </c>
      <c r="EL644" s="926" t="str">
        <f t="shared" si="123"/>
        <v/>
      </c>
      <c r="EM644" s="926" t="str">
        <f t="shared" si="124"/>
        <v/>
      </c>
      <c r="EN644" s="926" t="str">
        <f t="shared" si="125"/>
        <v/>
      </c>
      <c r="EO644" s="926" t="str">
        <f t="shared" si="126"/>
        <v/>
      </c>
      <c r="EP644" s="926" t="str">
        <f t="shared" si="127"/>
        <v/>
      </c>
      <c r="EQ644" s="926" t="str">
        <f t="shared" si="128"/>
        <v/>
      </c>
      <c r="ER644" s="926" t="str">
        <f t="shared" si="129"/>
        <v/>
      </c>
      <c r="ES644" s="926" t="str">
        <f t="shared" si="130"/>
        <v/>
      </c>
      <c r="ET644" s="926" t="str">
        <f t="shared" si="131"/>
        <v/>
      </c>
      <c r="EU644" s="926" t="str">
        <f t="shared" si="132"/>
        <v/>
      </c>
      <c r="EV644" s="2945" t="str">
        <f t="shared" si="133"/>
        <v/>
      </c>
      <c r="EW644" s="2945" t="str">
        <f t="shared" si="134"/>
        <v/>
      </c>
      <c r="EX644" s="2945" t="str">
        <f t="shared" si="135"/>
        <v/>
      </c>
      <c r="EY644" s="2945" t="str">
        <f t="shared" si="136"/>
        <v/>
      </c>
      <c r="EZ644" s="2945" t="str">
        <f t="shared" si="137"/>
        <v/>
      </c>
      <c r="FA644" s="2945" t="str">
        <f t="shared" si="138"/>
        <v/>
      </c>
      <c r="FB644" s="2945" t="str">
        <f t="shared" si="139"/>
        <v/>
      </c>
      <c r="FC644" s="2945" t="str">
        <f t="shared" si="140"/>
        <v/>
      </c>
      <c r="FD644" s="2945" t="str">
        <f t="shared" si="141"/>
        <v/>
      </c>
      <c r="FE644" s="2945" t="str">
        <f t="shared" si="142"/>
        <v/>
      </c>
      <c r="FF644" s="2945" t="str">
        <f t="shared" si="143"/>
        <v/>
      </c>
      <c r="FG644" s="2945" t="str">
        <f t="shared" si="144"/>
        <v/>
      </c>
      <c r="FH644" s="2945" t="str">
        <f t="shared" si="145"/>
        <v/>
      </c>
      <c r="FI644" s="2945" t="str">
        <f t="shared" si="146"/>
        <v/>
      </c>
      <c r="FJ644" s="2945" t="str">
        <f t="shared" si="147"/>
        <v/>
      </c>
      <c r="FK644" s="2945" t="str">
        <f t="shared" si="148"/>
        <v/>
      </c>
      <c r="FL644" s="2945" t="str">
        <f t="shared" si="149"/>
        <v/>
      </c>
      <c r="FM644" s="2945" t="str">
        <f t="shared" si="150"/>
        <v/>
      </c>
      <c r="FN644" s="2945" t="str">
        <f t="shared" si="151"/>
        <v/>
      </c>
      <c r="FO644" s="2945" t="str">
        <f t="shared" si="152"/>
        <v/>
      </c>
      <c r="FP644" s="2945" t="str">
        <f t="shared" si="153"/>
        <v/>
      </c>
      <c r="FQ644" s="2945" t="str">
        <f t="shared" si="154"/>
        <v/>
      </c>
      <c r="FR644" s="2945" t="str">
        <f t="shared" si="155"/>
        <v/>
      </c>
      <c r="FS644" s="2945" t="str">
        <f t="shared" si="156"/>
        <v/>
      </c>
      <c r="FT644" s="2945" t="str">
        <f t="shared" si="157"/>
        <v/>
      </c>
      <c r="FU644" s="2945" t="str">
        <f t="shared" si="158"/>
        <v/>
      </c>
      <c r="FV644" s="2945" t="str">
        <f t="shared" si="159"/>
        <v/>
      </c>
      <c r="FW644" s="2945" t="str">
        <f t="shared" si="160"/>
        <v/>
      </c>
      <c r="FX644" s="2945" t="str">
        <f t="shared" si="161"/>
        <v/>
      </c>
      <c r="FY644" s="2945" t="str">
        <f t="shared" si="162"/>
        <v/>
      </c>
      <c r="FZ644" s="2945" t="str">
        <f t="shared" si="163"/>
        <v/>
      </c>
      <c r="GA644" s="2945" t="str">
        <f t="shared" si="164"/>
        <v/>
      </c>
      <c r="GB644" s="2945" t="str">
        <f t="shared" si="165"/>
        <v/>
      </c>
      <c r="GC644" s="2945" t="str">
        <f t="shared" si="166"/>
        <v/>
      </c>
      <c r="GD644" s="2945" t="str">
        <f t="shared" si="167"/>
        <v/>
      </c>
      <c r="GE644" s="2945" t="str">
        <f t="shared" si="168"/>
        <v/>
      </c>
      <c r="GF644" s="2945" t="str">
        <f t="shared" si="169"/>
        <v/>
      </c>
      <c r="GG644" s="2945" t="str">
        <f t="shared" si="170"/>
        <v/>
      </c>
      <c r="GH644" s="2945" t="str">
        <f t="shared" si="171"/>
        <v/>
      </c>
      <c r="GI644" s="2945" t="str">
        <f t="shared" si="172"/>
        <v/>
      </c>
      <c r="GJ644" s="2945" t="str">
        <f t="shared" si="173"/>
        <v/>
      </c>
      <c r="GK644" s="2945" t="str">
        <f t="shared" si="174"/>
        <v/>
      </c>
      <c r="GL644" s="2945" t="str">
        <f t="shared" si="175"/>
        <v/>
      </c>
      <c r="GM644" s="2945" t="str">
        <f t="shared" si="176"/>
        <v/>
      </c>
      <c r="GN644" s="2945" t="str">
        <f t="shared" si="177"/>
        <v/>
      </c>
      <c r="GO644" s="2945" t="str">
        <f t="shared" si="178"/>
        <v/>
      </c>
      <c r="GP644" s="2945" t="str">
        <f t="shared" si="179"/>
        <v/>
      </c>
      <c r="GQ644" s="2945" t="str">
        <f t="shared" si="180"/>
        <v/>
      </c>
      <c r="GR644" s="2945" t="str">
        <f t="shared" si="181"/>
        <v/>
      </c>
      <c r="GS644" s="2945" t="str">
        <f t="shared" si="182"/>
        <v/>
      </c>
      <c r="GT644" s="2945" t="str">
        <f t="shared" si="183"/>
        <v/>
      </c>
      <c r="GU644" s="2945" t="str">
        <f t="shared" si="184"/>
        <v/>
      </c>
      <c r="GV644" s="2945" t="str">
        <f t="shared" si="185"/>
        <v/>
      </c>
      <c r="GW644" s="2945" t="str">
        <f t="shared" si="186"/>
        <v/>
      </c>
      <c r="GX644" s="2945" t="str">
        <f t="shared" si="187"/>
        <v/>
      </c>
      <c r="GY644" s="2945" t="str">
        <f t="shared" si="188"/>
        <v/>
      </c>
      <c r="GZ644" s="2945" t="str">
        <f t="shared" si="189"/>
        <v/>
      </c>
      <c r="HA644" s="2945" t="str">
        <f t="shared" si="190"/>
        <v/>
      </c>
      <c r="HB644" s="2945" t="str">
        <f t="shared" si="191"/>
        <v/>
      </c>
      <c r="HC644" s="2945" t="str">
        <f t="shared" si="192"/>
        <v/>
      </c>
      <c r="HD644" s="2945" t="str">
        <f t="shared" si="193"/>
        <v/>
      </c>
      <c r="HE644" s="2945" t="str">
        <f t="shared" si="194"/>
        <v/>
      </c>
      <c r="HF644" s="2945" t="str">
        <f t="shared" si="195"/>
        <v/>
      </c>
      <c r="HG644" s="2945" t="str">
        <f t="shared" si="196"/>
        <v/>
      </c>
      <c r="HH644" s="2945" t="str">
        <f t="shared" si="197"/>
        <v/>
      </c>
      <c r="HI644" s="2945" t="str">
        <f t="shared" si="198"/>
        <v/>
      </c>
      <c r="HJ644" s="2945" t="str">
        <f t="shared" si="199"/>
        <v/>
      </c>
      <c r="HK644" s="2945" t="str">
        <f t="shared" si="200"/>
        <v/>
      </c>
      <c r="HL644" s="2945" t="str">
        <f t="shared" si="201"/>
        <v/>
      </c>
      <c r="HM644" s="2945" t="str">
        <f t="shared" si="202"/>
        <v/>
      </c>
      <c r="HN644" s="2945" t="str">
        <f t="shared" si="203"/>
        <v/>
      </c>
      <c r="HO644" s="2945" t="str">
        <f t="shared" si="204"/>
        <v/>
      </c>
      <c r="HP644" s="2945" t="str">
        <f t="shared" si="205"/>
        <v/>
      </c>
      <c r="HQ644" s="2945" t="str">
        <f t="shared" si="206"/>
        <v/>
      </c>
      <c r="HR644" s="2945" t="str">
        <f t="shared" si="207"/>
        <v/>
      </c>
      <c r="HS644" s="2945" t="str">
        <f t="shared" si="208"/>
        <v/>
      </c>
      <c r="HT644" s="2945" t="str">
        <f t="shared" si="209"/>
        <v/>
      </c>
      <c r="HU644" s="2945" t="str">
        <f t="shared" si="210"/>
        <v/>
      </c>
      <c r="HV644" s="2945" t="str">
        <f t="shared" si="211"/>
        <v/>
      </c>
      <c r="HW644" s="2945" t="str">
        <f t="shared" si="212"/>
        <v/>
      </c>
      <c r="HX644" s="2945" t="str">
        <f t="shared" si="213"/>
        <v/>
      </c>
      <c r="HY644" s="2945" t="str">
        <f t="shared" si="214"/>
        <v/>
      </c>
      <c r="HZ644" s="2945" t="str">
        <f t="shared" si="215"/>
        <v/>
      </c>
      <c r="IA644" s="2945" t="str">
        <f t="shared" si="216"/>
        <v/>
      </c>
      <c r="IB644" s="2945" t="str">
        <f t="shared" si="217"/>
        <v/>
      </c>
      <c r="IC644" s="2911" t="str">
        <f t="shared" si="218"/>
        <v/>
      </c>
      <c r="ID644" s="2911" t="str">
        <f t="shared" si="219"/>
        <v/>
      </c>
      <c r="IE644" s="2911" t="str">
        <f t="shared" si="220"/>
        <v/>
      </c>
      <c r="IF644" s="2911" t="str">
        <f t="shared" si="221"/>
        <v/>
      </c>
      <c r="IG644" s="2911" t="str">
        <f t="shared" si="222"/>
        <v/>
      </c>
      <c r="IH644" s="926" t="str">
        <f t="shared" si="223"/>
        <v/>
      </c>
      <c r="II644" s="926" t="str">
        <f t="shared" si="224"/>
        <v/>
      </c>
      <c r="IJ644" s="926" t="str">
        <f t="shared" si="225"/>
        <v/>
      </c>
      <c r="IK644" s="926" t="str">
        <f t="shared" si="226"/>
        <v/>
      </c>
      <c r="IL644" s="926" t="str">
        <f t="shared" si="227"/>
        <v/>
      </c>
      <c r="IM644" s="926" t="str">
        <f t="shared" si="228"/>
        <v/>
      </c>
      <c r="IN644" s="926" t="str">
        <f t="shared" si="229"/>
        <v/>
      </c>
      <c r="IO644" s="926" t="str">
        <f t="shared" si="230"/>
        <v/>
      </c>
      <c r="IP644" s="926" t="str">
        <f t="shared" si="231"/>
        <v/>
      </c>
      <c r="IQ644" s="926" t="str">
        <f t="shared" si="232"/>
        <v/>
      </c>
      <c r="IR644" s="926" t="str">
        <f t="shared" si="233"/>
        <v/>
      </c>
      <c r="IS644" s="926" t="str">
        <f t="shared" si="234"/>
        <v/>
      </c>
      <c r="IT644" s="926" t="str">
        <f t="shared" si="235"/>
        <v/>
      </c>
      <c r="IU644" s="926" t="str">
        <f t="shared" si="236"/>
        <v/>
      </c>
      <c r="IV644" s="926" t="str">
        <f t="shared" si="237"/>
        <v/>
      </c>
      <c r="IW644" s="926" t="str">
        <f t="shared" si="238"/>
        <v/>
      </c>
      <c r="IX644" s="926" t="str">
        <f t="shared" si="239"/>
        <v/>
      </c>
      <c r="IY644" s="926" t="str">
        <f t="shared" si="240"/>
        <v/>
      </c>
      <c r="IZ644" s="926" t="str">
        <f t="shared" si="241"/>
        <v/>
      </c>
      <c r="JA644" s="926" t="str">
        <f t="shared" si="242"/>
        <v/>
      </c>
      <c r="JB644" s="2909">
        <f t="shared" si="243"/>
        <v>0</v>
      </c>
      <c r="JC644" s="2909">
        <f t="shared" si="244"/>
        <v>0</v>
      </c>
      <c r="JD644" s="2909">
        <f t="shared" si="245"/>
        <v>0</v>
      </c>
      <c r="JE644" s="2909">
        <f t="shared" si="246"/>
        <v>0</v>
      </c>
      <c r="JF644" s="2909">
        <f t="shared" si="247"/>
        <v>0</v>
      </c>
      <c r="JG644" s="2909">
        <f t="shared" si="248"/>
        <v>0</v>
      </c>
      <c r="JH644" s="2909">
        <f t="shared" si="249"/>
        <v>0</v>
      </c>
      <c r="JI644" s="2909">
        <f t="shared" si="250"/>
        <v>0</v>
      </c>
      <c r="JJ644" s="2909">
        <f t="shared" si="251"/>
        <v>0</v>
      </c>
      <c r="JK644" s="2909">
        <f t="shared" si="252"/>
        <v>0</v>
      </c>
      <c r="JL644" s="2909">
        <f t="shared" si="253"/>
        <v>0</v>
      </c>
      <c r="JM644" s="2909">
        <f t="shared" si="254"/>
        <v>0</v>
      </c>
      <c r="JN644" s="2909">
        <f t="shared" si="255"/>
        <v>0</v>
      </c>
      <c r="JO644" s="2909">
        <f t="shared" si="256"/>
        <v>0</v>
      </c>
      <c r="JP644" s="2909">
        <f t="shared" si="257"/>
        <v>0</v>
      </c>
    </row>
    <row r="645" spans="1:276" ht="12" customHeight="1">
      <c r="A645" s="2924" t="str">
        <f t="shared" si="0"/>
        <v/>
      </c>
      <c r="B645" s="2936" t="str">
        <f>'Part VI-Revenues &amp; Expenses'!B25</f>
        <v>&lt;&lt;Select&gt;&gt;</v>
      </c>
      <c r="C645" s="2937">
        <f>'Part VI-Revenues &amp; Expenses'!C25</f>
        <v>0</v>
      </c>
      <c r="D645" s="2938">
        <f>'Part VI-Revenues &amp; Expenses'!D25</f>
        <v>0</v>
      </c>
      <c r="E645" s="2939">
        <f>'Part VI-Revenues &amp; Expenses'!E25</f>
        <v>0</v>
      </c>
      <c r="F645" s="2939">
        <f>'Part VI-Revenues &amp; Expenses'!F25</f>
        <v>0</v>
      </c>
      <c r="G645" s="2939">
        <f>'Part VI-Revenues &amp; Expenses'!G25</f>
        <v>0</v>
      </c>
      <c r="H645" s="2939">
        <f>'Part VI-Revenues &amp; Expenses'!H25</f>
        <v>0</v>
      </c>
      <c r="I645" s="2939">
        <f>'Part VI-Revenues &amp; Expenses'!I25</f>
        <v>0</v>
      </c>
      <c r="J645" s="2940">
        <f>'Part VI-Revenues &amp; Expenses'!J25</f>
        <v>0</v>
      </c>
      <c r="K645" s="2941">
        <f t="shared" si="1"/>
        <v>0</v>
      </c>
      <c r="L645" s="2941">
        <f t="shared" si="2"/>
        <v>0</v>
      </c>
      <c r="M645" s="2918">
        <f>'Part VI-Revenues &amp; Expenses'!M25</f>
        <v>0</v>
      </c>
      <c r="N645" s="2918">
        <f>'Part VI-Revenues &amp; Expenses'!N25</f>
        <v>0</v>
      </c>
      <c r="O645" s="2918">
        <f>'Part VI-Revenues &amp; Expenses'!O25</f>
        <v>0</v>
      </c>
      <c r="P645" s="2918">
        <f>'Part VI-Revenues &amp; Expenses'!P25</f>
        <v>0</v>
      </c>
      <c r="Q645" s="2942">
        <f>IF(H645="","",P645/($O$626*VLOOKUP(C645,'DCA Underwriting Assumptions'!$J$118:$K$123,2,FALSE)))</f>
        <v>0</v>
      </c>
      <c r="R645" s="2943"/>
      <c r="S645" s="2942"/>
      <c r="T645" s="2944"/>
      <c r="U645" s="2944"/>
      <c r="V645" s="926" t="str">
        <f t="shared" si="3"/>
        <v/>
      </c>
      <c r="W645" s="926" t="str">
        <f t="shared" si="4"/>
        <v/>
      </c>
      <c r="X645" s="926" t="str">
        <f t="shared" si="5"/>
        <v/>
      </c>
      <c r="Y645" s="926" t="str">
        <f t="shared" si="6"/>
        <v/>
      </c>
      <c r="Z645" s="926" t="str">
        <f t="shared" si="7"/>
        <v/>
      </c>
      <c r="AA645" s="926" t="str">
        <f t="shared" si="8"/>
        <v/>
      </c>
      <c r="AB645" s="926" t="str">
        <f t="shared" si="9"/>
        <v/>
      </c>
      <c r="AC645" s="926" t="str">
        <f t="shared" si="10"/>
        <v/>
      </c>
      <c r="AD645" s="926" t="str">
        <f t="shared" si="11"/>
        <v/>
      </c>
      <c r="AE645" s="926" t="str">
        <f t="shared" si="12"/>
        <v/>
      </c>
      <c r="AF645" s="926" t="str">
        <f t="shared" si="13"/>
        <v/>
      </c>
      <c r="AG645" s="926" t="str">
        <f t="shared" si="14"/>
        <v/>
      </c>
      <c r="AH645" s="926" t="str">
        <f t="shared" si="15"/>
        <v/>
      </c>
      <c r="AI645" s="926" t="str">
        <f t="shared" si="16"/>
        <v/>
      </c>
      <c r="AJ645" s="926" t="str">
        <f t="shared" si="17"/>
        <v/>
      </c>
      <c r="AK645" s="926" t="str">
        <f t="shared" si="18"/>
        <v/>
      </c>
      <c r="AL645" s="926" t="str">
        <f t="shared" si="19"/>
        <v/>
      </c>
      <c r="AM645" s="926" t="str">
        <f t="shared" si="20"/>
        <v/>
      </c>
      <c r="AN645" s="926" t="str">
        <f t="shared" si="21"/>
        <v/>
      </c>
      <c r="AO645" s="926" t="str">
        <f t="shared" si="22"/>
        <v/>
      </c>
      <c r="AP645" s="926" t="str">
        <f t="shared" si="23"/>
        <v/>
      </c>
      <c r="AQ645" s="926" t="str">
        <f t="shared" si="24"/>
        <v/>
      </c>
      <c r="AR645" s="926" t="str">
        <f t="shared" si="25"/>
        <v/>
      </c>
      <c r="AS645" s="926" t="str">
        <f t="shared" si="26"/>
        <v/>
      </c>
      <c r="AT645" s="926" t="str">
        <f t="shared" si="27"/>
        <v/>
      </c>
      <c r="AU645" s="926" t="str">
        <f t="shared" si="28"/>
        <v/>
      </c>
      <c r="AV645" s="926" t="str">
        <f t="shared" si="29"/>
        <v/>
      </c>
      <c r="AW645" s="926" t="str">
        <f t="shared" si="30"/>
        <v/>
      </c>
      <c r="AX645" s="926" t="str">
        <f t="shared" si="31"/>
        <v/>
      </c>
      <c r="AY645" s="926" t="str">
        <f t="shared" si="32"/>
        <v/>
      </c>
      <c r="AZ645" s="926" t="str">
        <f t="shared" si="33"/>
        <v/>
      </c>
      <c r="BA645" s="926" t="str">
        <f t="shared" si="34"/>
        <v/>
      </c>
      <c r="BB645" s="926" t="str">
        <f t="shared" si="35"/>
        <v/>
      </c>
      <c r="BC645" s="926" t="str">
        <f t="shared" si="36"/>
        <v/>
      </c>
      <c r="BD645" s="926" t="str">
        <f t="shared" si="37"/>
        <v/>
      </c>
      <c r="BE645" s="926" t="str">
        <f t="shared" si="38"/>
        <v/>
      </c>
      <c r="BF645" s="926" t="str">
        <f t="shared" si="39"/>
        <v/>
      </c>
      <c r="BG645" s="926" t="str">
        <f t="shared" si="40"/>
        <v/>
      </c>
      <c r="BH645" s="926" t="str">
        <f t="shared" si="41"/>
        <v/>
      </c>
      <c r="BI645" s="926" t="str">
        <f t="shared" si="42"/>
        <v/>
      </c>
      <c r="BJ645" s="926" t="str">
        <f t="shared" si="43"/>
        <v/>
      </c>
      <c r="BK645" s="926" t="str">
        <f t="shared" si="44"/>
        <v/>
      </c>
      <c r="BL645" s="926" t="str">
        <f t="shared" si="45"/>
        <v/>
      </c>
      <c r="BM645" s="926" t="str">
        <f t="shared" si="46"/>
        <v/>
      </c>
      <c r="BN645" s="926" t="str">
        <f t="shared" si="47"/>
        <v/>
      </c>
      <c r="BO645" s="926" t="str">
        <f t="shared" si="48"/>
        <v/>
      </c>
      <c r="BP645" s="926" t="str">
        <f t="shared" si="49"/>
        <v/>
      </c>
      <c r="BQ645" s="926" t="str">
        <f t="shared" si="50"/>
        <v/>
      </c>
      <c r="BR645" s="926" t="str">
        <f t="shared" si="51"/>
        <v/>
      </c>
      <c r="BS645" s="926" t="str">
        <f t="shared" si="52"/>
        <v/>
      </c>
      <c r="BT645" s="926" t="str">
        <f t="shared" si="53"/>
        <v/>
      </c>
      <c r="BU645" s="926" t="str">
        <f t="shared" si="54"/>
        <v/>
      </c>
      <c r="BV645" s="926" t="str">
        <f t="shared" si="55"/>
        <v/>
      </c>
      <c r="BW645" s="926" t="str">
        <f t="shared" si="56"/>
        <v/>
      </c>
      <c r="BX645" s="926" t="str">
        <f t="shared" si="57"/>
        <v/>
      </c>
      <c r="BY645" s="926" t="str">
        <f t="shared" si="58"/>
        <v/>
      </c>
      <c r="BZ645" s="926" t="str">
        <f t="shared" si="59"/>
        <v/>
      </c>
      <c r="CA645" s="926" t="str">
        <f t="shared" si="60"/>
        <v/>
      </c>
      <c r="CB645" s="926" t="str">
        <f t="shared" si="61"/>
        <v/>
      </c>
      <c r="CC645" s="926" t="str">
        <f t="shared" si="62"/>
        <v/>
      </c>
      <c r="CD645" s="926" t="str">
        <f t="shared" si="63"/>
        <v/>
      </c>
      <c r="CE645" s="926" t="str">
        <f t="shared" si="64"/>
        <v/>
      </c>
      <c r="CF645" s="926" t="str">
        <f t="shared" si="65"/>
        <v/>
      </c>
      <c r="CG645" s="926" t="str">
        <f t="shared" si="66"/>
        <v/>
      </c>
      <c r="CH645" s="926" t="str">
        <f t="shared" si="67"/>
        <v/>
      </c>
      <c r="CI645" s="926" t="str">
        <f t="shared" si="68"/>
        <v/>
      </c>
      <c r="CJ645" s="926" t="str">
        <f t="shared" si="69"/>
        <v/>
      </c>
      <c r="CK645" s="926" t="str">
        <f t="shared" si="70"/>
        <v/>
      </c>
      <c r="CL645" s="926" t="str">
        <f t="shared" si="71"/>
        <v/>
      </c>
      <c r="CM645" s="926" t="str">
        <f t="shared" si="72"/>
        <v/>
      </c>
      <c r="CN645" s="926" t="str">
        <f t="shared" si="73"/>
        <v/>
      </c>
      <c r="CO645" s="926" t="str">
        <f t="shared" si="74"/>
        <v/>
      </c>
      <c r="CP645" s="926" t="str">
        <f t="shared" si="75"/>
        <v/>
      </c>
      <c r="CQ645" s="926" t="str">
        <f t="shared" si="76"/>
        <v/>
      </c>
      <c r="CR645" s="926" t="str">
        <f t="shared" si="77"/>
        <v/>
      </c>
      <c r="CS645" s="926" t="str">
        <f t="shared" si="78"/>
        <v/>
      </c>
      <c r="CT645" s="926" t="str">
        <f t="shared" si="79"/>
        <v/>
      </c>
      <c r="CU645" s="926" t="str">
        <f t="shared" si="80"/>
        <v/>
      </c>
      <c r="CV645" s="926" t="str">
        <f t="shared" si="81"/>
        <v/>
      </c>
      <c r="CW645" s="926" t="str">
        <f t="shared" si="82"/>
        <v/>
      </c>
      <c r="CX645" s="926" t="str">
        <f t="shared" si="83"/>
        <v/>
      </c>
      <c r="CY645" s="926" t="str">
        <f t="shared" si="84"/>
        <v/>
      </c>
      <c r="CZ645" s="926" t="str">
        <f t="shared" si="85"/>
        <v/>
      </c>
      <c r="DA645" s="926" t="str">
        <f t="shared" si="86"/>
        <v/>
      </c>
      <c r="DB645" s="926" t="str">
        <f t="shared" si="87"/>
        <v/>
      </c>
      <c r="DC645" s="926" t="str">
        <f t="shared" si="88"/>
        <v/>
      </c>
      <c r="DD645" s="926" t="str">
        <f t="shared" si="89"/>
        <v/>
      </c>
      <c r="DE645" s="926" t="str">
        <f t="shared" si="90"/>
        <v/>
      </c>
      <c r="DF645" s="926" t="str">
        <f t="shared" si="91"/>
        <v/>
      </c>
      <c r="DG645" s="926" t="str">
        <f t="shared" si="92"/>
        <v/>
      </c>
      <c r="DH645" s="926" t="str">
        <f t="shared" si="93"/>
        <v/>
      </c>
      <c r="DI645" s="926" t="str">
        <f t="shared" si="94"/>
        <v/>
      </c>
      <c r="DJ645" s="926" t="str">
        <f t="shared" si="95"/>
        <v/>
      </c>
      <c r="DK645" s="926" t="str">
        <f t="shared" si="96"/>
        <v/>
      </c>
      <c r="DL645" s="926" t="str">
        <f t="shared" si="97"/>
        <v/>
      </c>
      <c r="DM645" s="926" t="str">
        <f t="shared" si="98"/>
        <v/>
      </c>
      <c r="DN645" s="926" t="str">
        <f t="shared" si="99"/>
        <v/>
      </c>
      <c r="DO645" s="926" t="str">
        <f t="shared" si="100"/>
        <v/>
      </c>
      <c r="DP645" s="926" t="str">
        <f t="shared" si="101"/>
        <v/>
      </c>
      <c r="DQ645" s="926" t="str">
        <f t="shared" si="102"/>
        <v/>
      </c>
      <c r="DR645" s="926" t="str">
        <f t="shared" si="103"/>
        <v/>
      </c>
      <c r="DS645" s="926" t="str">
        <f t="shared" si="104"/>
        <v/>
      </c>
      <c r="DT645" s="926" t="str">
        <f t="shared" si="105"/>
        <v/>
      </c>
      <c r="DU645" s="926" t="str">
        <f t="shared" si="106"/>
        <v/>
      </c>
      <c r="DV645" s="926" t="str">
        <f t="shared" si="107"/>
        <v/>
      </c>
      <c r="DW645" s="926" t="str">
        <f t="shared" si="108"/>
        <v/>
      </c>
      <c r="DX645" s="926" t="str">
        <f t="shared" si="109"/>
        <v/>
      </c>
      <c r="DY645" s="926" t="str">
        <f t="shared" si="110"/>
        <v/>
      </c>
      <c r="DZ645" s="926" t="str">
        <f t="shared" si="111"/>
        <v/>
      </c>
      <c r="EA645" s="926" t="str">
        <f t="shared" si="112"/>
        <v/>
      </c>
      <c r="EB645" s="926" t="str">
        <f t="shared" si="113"/>
        <v/>
      </c>
      <c r="EC645" s="926" t="str">
        <f t="shared" si="114"/>
        <v/>
      </c>
      <c r="ED645" s="926" t="str">
        <f t="shared" si="115"/>
        <v/>
      </c>
      <c r="EE645" s="926" t="str">
        <f t="shared" si="116"/>
        <v/>
      </c>
      <c r="EF645" s="926" t="str">
        <f t="shared" si="117"/>
        <v/>
      </c>
      <c r="EG645" s="926" t="str">
        <f t="shared" si="118"/>
        <v/>
      </c>
      <c r="EH645" s="926" t="str">
        <f t="shared" si="119"/>
        <v/>
      </c>
      <c r="EI645" s="926" t="str">
        <f t="shared" si="120"/>
        <v/>
      </c>
      <c r="EJ645" s="926" t="str">
        <f t="shared" si="121"/>
        <v/>
      </c>
      <c r="EK645" s="926" t="str">
        <f t="shared" si="122"/>
        <v/>
      </c>
      <c r="EL645" s="926" t="str">
        <f t="shared" si="123"/>
        <v/>
      </c>
      <c r="EM645" s="926" t="str">
        <f t="shared" si="124"/>
        <v/>
      </c>
      <c r="EN645" s="926" t="str">
        <f t="shared" si="125"/>
        <v/>
      </c>
      <c r="EO645" s="926" t="str">
        <f t="shared" si="126"/>
        <v/>
      </c>
      <c r="EP645" s="926" t="str">
        <f t="shared" si="127"/>
        <v/>
      </c>
      <c r="EQ645" s="926" t="str">
        <f t="shared" si="128"/>
        <v/>
      </c>
      <c r="ER645" s="926" t="str">
        <f t="shared" si="129"/>
        <v/>
      </c>
      <c r="ES645" s="926" t="str">
        <f t="shared" si="130"/>
        <v/>
      </c>
      <c r="ET645" s="926" t="str">
        <f t="shared" si="131"/>
        <v/>
      </c>
      <c r="EU645" s="926" t="str">
        <f t="shared" si="132"/>
        <v/>
      </c>
      <c r="EV645" s="2945" t="str">
        <f t="shared" si="133"/>
        <v/>
      </c>
      <c r="EW645" s="2945" t="str">
        <f t="shared" si="134"/>
        <v/>
      </c>
      <c r="EX645" s="2945" t="str">
        <f t="shared" si="135"/>
        <v/>
      </c>
      <c r="EY645" s="2945" t="str">
        <f t="shared" si="136"/>
        <v/>
      </c>
      <c r="EZ645" s="2945" t="str">
        <f t="shared" si="137"/>
        <v/>
      </c>
      <c r="FA645" s="2945" t="str">
        <f t="shared" si="138"/>
        <v/>
      </c>
      <c r="FB645" s="2945" t="str">
        <f t="shared" si="139"/>
        <v/>
      </c>
      <c r="FC645" s="2945" t="str">
        <f t="shared" si="140"/>
        <v/>
      </c>
      <c r="FD645" s="2945" t="str">
        <f t="shared" si="141"/>
        <v/>
      </c>
      <c r="FE645" s="2945" t="str">
        <f t="shared" si="142"/>
        <v/>
      </c>
      <c r="FF645" s="2945" t="str">
        <f t="shared" si="143"/>
        <v/>
      </c>
      <c r="FG645" s="2945" t="str">
        <f t="shared" si="144"/>
        <v/>
      </c>
      <c r="FH645" s="2945" t="str">
        <f t="shared" si="145"/>
        <v/>
      </c>
      <c r="FI645" s="2945" t="str">
        <f t="shared" si="146"/>
        <v/>
      </c>
      <c r="FJ645" s="2945" t="str">
        <f t="shared" si="147"/>
        <v/>
      </c>
      <c r="FK645" s="2945" t="str">
        <f t="shared" si="148"/>
        <v/>
      </c>
      <c r="FL645" s="2945" t="str">
        <f t="shared" si="149"/>
        <v/>
      </c>
      <c r="FM645" s="2945" t="str">
        <f t="shared" si="150"/>
        <v/>
      </c>
      <c r="FN645" s="2945" t="str">
        <f t="shared" si="151"/>
        <v/>
      </c>
      <c r="FO645" s="2945" t="str">
        <f t="shared" si="152"/>
        <v/>
      </c>
      <c r="FP645" s="2945" t="str">
        <f t="shared" si="153"/>
        <v/>
      </c>
      <c r="FQ645" s="2945" t="str">
        <f t="shared" si="154"/>
        <v/>
      </c>
      <c r="FR645" s="2945" t="str">
        <f t="shared" si="155"/>
        <v/>
      </c>
      <c r="FS645" s="2945" t="str">
        <f t="shared" si="156"/>
        <v/>
      </c>
      <c r="FT645" s="2945" t="str">
        <f t="shared" si="157"/>
        <v/>
      </c>
      <c r="FU645" s="2945" t="str">
        <f t="shared" si="158"/>
        <v/>
      </c>
      <c r="FV645" s="2945" t="str">
        <f t="shared" si="159"/>
        <v/>
      </c>
      <c r="FW645" s="2945" t="str">
        <f t="shared" si="160"/>
        <v/>
      </c>
      <c r="FX645" s="2945" t="str">
        <f t="shared" si="161"/>
        <v/>
      </c>
      <c r="FY645" s="2945" t="str">
        <f t="shared" si="162"/>
        <v/>
      </c>
      <c r="FZ645" s="2945" t="str">
        <f t="shared" si="163"/>
        <v/>
      </c>
      <c r="GA645" s="2945" t="str">
        <f t="shared" si="164"/>
        <v/>
      </c>
      <c r="GB645" s="2945" t="str">
        <f t="shared" si="165"/>
        <v/>
      </c>
      <c r="GC645" s="2945" t="str">
        <f t="shared" si="166"/>
        <v/>
      </c>
      <c r="GD645" s="2945" t="str">
        <f t="shared" si="167"/>
        <v/>
      </c>
      <c r="GE645" s="2945" t="str">
        <f t="shared" si="168"/>
        <v/>
      </c>
      <c r="GF645" s="2945" t="str">
        <f t="shared" si="169"/>
        <v/>
      </c>
      <c r="GG645" s="2945" t="str">
        <f t="shared" si="170"/>
        <v/>
      </c>
      <c r="GH645" s="2945" t="str">
        <f t="shared" si="171"/>
        <v/>
      </c>
      <c r="GI645" s="2945" t="str">
        <f t="shared" si="172"/>
        <v/>
      </c>
      <c r="GJ645" s="2945" t="str">
        <f t="shared" si="173"/>
        <v/>
      </c>
      <c r="GK645" s="2945" t="str">
        <f t="shared" si="174"/>
        <v/>
      </c>
      <c r="GL645" s="2945" t="str">
        <f t="shared" si="175"/>
        <v/>
      </c>
      <c r="GM645" s="2945" t="str">
        <f t="shared" si="176"/>
        <v/>
      </c>
      <c r="GN645" s="2945" t="str">
        <f t="shared" si="177"/>
        <v/>
      </c>
      <c r="GO645" s="2945" t="str">
        <f t="shared" si="178"/>
        <v/>
      </c>
      <c r="GP645" s="2945" t="str">
        <f t="shared" si="179"/>
        <v/>
      </c>
      <c r="GQ645" s="2945" t="str">
        <f t="shared" si="180"/>
        <v/>
      </c>
      <c r="GR645" s="2945" t="str">
        <f t="shared" si="181"/>
        <v/>
      </c>
      <c r="GS645" s="2945" t="str">
        <f t="shared" si="182"/>
        <v/>
      </c>
      <c r="GT645" s="2945" t="str">
        <f t="shared" si="183"/>
        <v/>
      </c>
      <c r="GU645" s="2945" t="str">
        <f t="shared" si="184"/>
        <v/>
      </c>
      <c r="GV645" s="2945" t="str">
        <f t="shared" si="185"/>
        <v/>
      </c>
      <c r="GW645" s="2945" t="str">
        <f t="shared" si="186"/>
        <v/>
      </c>
      <c r="GX645" s="2945" t="str">
        <f t="shared" si="187"/>
        <v/>
      </c>
      <c r="GY645" s="2945" t="str">
        <f t="shared" si="188"/>
        <v/>
      </c>
      <c r="GZ645" s="2945" t="str">
        <f t="shared" si="189"/>
        <v/>
      </c>
      <c r="HA645" s="2945" t="str">
        <f t="shared" si="190"/>
        <v/>
      </c>
      <c r="HB645" s="2945" t="str">
        <f t="shared" si="191"/>
        <v/>
      </c>
      <c r="HC645" s="2945" t="str">
        <f t="shared" si="192"/>
        <v/>
      </c>
      <c r="HD645" s="2945" t="str">
        <f t="shared" si="193"/>
        <v/>
      </c>
      <c r="HE645" s="2945" t="str">
        <f t="shared" si="194"/>
        <v/>
      </c>
      <c r="HF645" s="2945" t="str">
        <f t="shared" si="195"/>
        <v/>
      </c>
      <c r="HG645" s="2945" t="str">
        <f t="shared" si="196"/>
        <v/>
      </c>
      <c r="HH645" s="2945" t="str">
        <f t="shared" si="197"/>
        <v/>
      </c>
      <c r="HI645" s="2945" t="str">
        <f t="shared" si="198"/>
        <v/>
      </c>
      <c r="HJ645" s="2945" t="str">
        <f t="shared" si="199"/>
        <v/>
      </c>
      <c r="HK645" s="2945" t="str">
        <f t="shared" si="200"/>
        <v/>
      </c>
      <c r="HL645" s="2945" t="str">
        <f t="shared" si="201"/>
        <v/>
      </c>
      <c r="HM645" s="2945" t="str">
        <f t="shared" si="202"/>
        <v/>
      </c>
      <c r="HN645" s="2945" t="str">
        <f t="shared" si="203"/>
        <v/>
      </c>
      <c r="HO645" s="2945" t="str">
        <f t="shared" si="204"/>
        <v/>
      </c>
      <c r="HP645" s="2945" t="str">
        <f t="shared" si="205"/>
        <v/>
      </c>
      <c r="HQ645" s="2945" t="str">
        <f t="shared" si="206"/>
        <v/>
      </c>
      <c r="HR645" s="2945" t="str">
        <f t="shared" si="207"/>
        <v/>
      </c>
      <c r="HS645" s="2945" t="str">
        <f t="shared" si="208"/>
        <v/>
      </c>
      <c r="HT645" s="2945" t="str">
        <f t="shared" si="209"/>
        <v/>
      </c>
      <c r="HU645" s="2945" t="str">
        <f t="shared" si="210"/>
        <v/>
      </c>
      <c r="HV645" s="2945" t="str">
        <f t="shared" si="211"/>
        <v/>
      </c>
      <c r="HW645" s="2945" t="str">
        <f t="shared" si="212"/>
        <v/>
      </c>
      <c r="HX645" s="2945" t="str">
        <f t="shared" si="213"/>
        <v/>
      </c>
      <c r="HY645" s="2945" t="str">
        <f t="shared" si="214"/>
        <v/>
      </c>
      <c r="HZ645" s="2945" t="str">
        <f t="shared" si="215"/>
        <v/>
      </c>
      <c r="IA645" s="2945" t="str">
        <f t="shared" si="216"/>
        <v/>
      </c>
      <c r="IB645" s="2945" t="str">
        <f t="shared" si="217"/>
        <v/>
      </c>
      <c r="IC645" s="2911" t="str">
        <f t="shared" si="218"/>
        <v/>
      </c>
      <c r="ID645" s="2911" t="str">
        <f t="shared" si="219"/>
        <v/>
      </c>
      <c r="IE645" s="2911" t="str">
        <f t="shared" si="220"/>
        <v/>
      </c>
      <c r="IF645" s="2911" t="str">
        <f t="shared" si="221"/>
        <v/>
      </c>
      <c r="IG645" s="2911" t="str">
        <f t="shared" si="222"/>
        <v/>
      </c>
      <c r="IH645" s="926" t="str">
        <f t="shared" si="223"/>
        <v/>
      </c>
      <c r="II645" s="926" t="str">
        <f t="shared" si="224"/>
        <v/>
      </c>
      <c r="IJ645" s="926" t="str">
        <f t="shared" si="225"/>
        <v/>
      </c>
      <c r="IK645" s="926" t="str">
        <f t="shared" si="226"/>
        <v/>
      </c>
      <c r="IL645" s="926" t="str">
        <f t="shared" si="227"/>
        <v/>
      </c>
      <c r="IM645" s="926" t="str">
        <f t="shared" si="228"/>
        <v/>
      </c>
      <c r="IN645" s="926" t="str">
        <f t="shared" si="229"/>
        <v/>
      </c>
      <c r="IO645" s="926" t="str">
        <f t="shared" si="230"/>
        <v/>
      </c>
      <c r="IP645" s="926" t="str">
        <f t="shared" si="231"/>
        <v/>
      </c>
      <c r="IQ645" s="926" t="str">
        <f t="shared" si="232"/>
        <v/>
      </c>
      <c r="IR645" s="926" t="str">
        <f t="shared" si="233"/>
        <v/>
      </c>
      <c r="IS645" s="926" t="str">
        <f t="shared" si="234"/>
        <v/>
      </c>
      <c r="IT645" s="926" t="str">
        <f t="shared" si="235"/>
        <v/>
      </c>
      <c r="IU645" s="926" t="str">
        <f t="shared" si="236"/>
        <v/>
      </c>
      <c r="IV645" s="926" t="str">
        <f t="shared" si="237"/>
        <v/>
      </c>
      <c r="IW645" s="926" t="str">
        <f t="shared" si="238"/>
        <v/>
      </c>
      <c r="IX645" s="926" t="str">
        <f t="shared" si="239"/>
        <v/>
      </c>
      <c r="IY645" s="926" t="str">
        <f t="shared" si="240"/>
        <v/>
      </c>
      <c r="IZ645" s="926" t="str">
        <f t="shared" si="241"/>
        <v/>
      </c>
      <c r="JA645" s="926" t="str">
        <f t="shared" si="242"/>
        <v/>
      </c>
      <c r="JB645" s="2909">
        <f t="shared" si="243"/>
        <v>0</v>
      </c>
      <c r="JC645" s="2909">
        <f t="shared" si="244"/>
        <v>0</v>
      </c>
      <c r="JD645" s="2909">
        <f t="shared" si="245"/>
        <v>0</v>
      </c>
      <c r="JE645" s="2909">
        <f t="shared" si="246"/>
        <v>0</v>
      </c>
      <c r="JF645" s="2909">
        <f t="shared" si="247"/>
        <v>0</v>
      </c>
      <c r="JG645" s="2909">
        <f t="shared" si="248"/>
        <v>0</v>
      </c>
      <c r="JH645" s="2909">
        <f t="shared" si="249"/>
        <v>0</v>
      </c>
      <c r="JI645" s="2909">
        <f t="shared" si="250"/>
        <v>0</v>
      </c>
      <c r="JJ645" s="2909">
        <f t="shared" si="251"/>
        <v>0</v>
      </c>
      <c r="JK645" s="2909">
        <f t="shared" si="252"/>
        <v>0</v>
      </c>
      <c r="JL645" s="2909">
        <f t="shared" si="253"/>
        <v>0</v>
      </c>
      <c r="JM645" s="2909">
        <f t="shared" si="254"/>
        <v>0</v>
      </c>
      <c r="JN645" s="2909">
        <f t="shared" si="255"/>
        <v>0</v>
      </c>
      <c r="JO645" s="2909">
        <f t="shared" si="256"/>
        <v>0</v>
      </c>
      <c r="JP645" s="2909">
        <f t="shared" si="257"/>
        <v>0</v>
      </c>
    </row>
    <row r="646" spans="1:276" ht="12" customHeight="1">
      <c r="A646" s="2924" t="str">
        <f t="shared" si="0"/>
        <v/>
      </c>
      <c r="B646" s="2936" t="str">
        <f>'Part VI-Revenues &amp; Expenses'!B26</f>
        <v>&lt;&lt;Select&gt;&gt;</v>
      </c>
      <c r="C646" s="2937">
        <f>'Part VI-Revenues &amp; Expenses'!C26</f>
        <v>0</v>
      </c>
      <c r="D646" s="2938">
        <f>'Part VI-Revenues &amp; Expenses'!D26</f>
        <v>0</v>
      </c>
      <c r="E646" s="2939">
        <f>'Part VI-Revenues &amp; Expenses'!E26</f>
        <v>0</v>
      </c>
      <c r="F646" s="2939">
        <f>'Part VI-Revenues &amp; Expenses'!F26</f>
        <v>0</v>
      </c>
      <c r="G646" s="2939">
        <f>'Part VI-Revenues &amp; Expenses'!G26</f>
        <v>0</v>
      </c>
      <c r="H646" s="2939">
        <f>'Part VI-Revenues &amp; Expenses'!H26</f>
        <v>0</v>
      </c>
      <c r="I646" s="2939">
        <f>'Part VI-Revenues &amp; Expenses'!I26</f>
        <v>0</v>
      </c>
      <c r="J646" s="2940">
        <f>'Part VI-Revenues &amp; Expenses'!J26</f>
        <v>0</v>
      </c>
      <c r="K646" s="2941">
        <f t="shared" si="1"/>
        <v>0</v>
      </c>
      <c r="L646" s="2941">
        <f t="shared" si="2"/>
        <v>0</v>
      </c>
      <c r="M646" s="2918">
        <f>'Part VI-Revenues &amp; Expenses'!M26</f>
        <v>0</v>
      </c>
      <c r="N646" s="2918">
        <f>'Part VI-Revenues &amp; Expenses'!N26</f>
        <v>0</v>
      </c>
      <c r="O646" s="2918">
        <f>'Part VI-Revenues &amp; Expenses'!O26</f>
        <v>0</v>
      </c>
      <c r="P646" s="2918">
        <f>'Part VI-Revenues &amp; Expenses'!P26</f>
        <v>0</v>
      </c>
      <c r="Q646" s="2942">
        <f>IF(H646="","",P646/($O$626*VLOOKUP(C646,'DCA Underwriting Assumptions'!$J$118:$K$123,2,FALSE)))</f>
        <v>0</v>
      </c>
      <c r="R646" s="2943"/>
      <c r="S646" s="2942"/>
      <c r="T646" s="2944"/>
      <c r="U646" s="2944"/>
      <c r="V646" s="926" t="str">
        <f t="shared" si="3"/>
        <v/>
      </c>
      <c r="W646" s="926" t="str">
        <f t="shared" si="4"/>
        <v/>
      </c>
      <c r="X646" s="926" t="str">
        <f t="shared" si="5"/>
        <v/>
      </c>
      <c r="Y646" s="926" t="str">
        <f t="shared" si="6"/>
        <v/>
      </c>
      <c r="Z646" s="926" t="str">
        <f t="shared" si="7"/>
        <v/>
      </c>
      <c r="AA646" s="926" t="str">
        <f t="shared" si="8"/>
        <v/>
      </c>
      <c r="AB646" s="926" t="str">
        <f t="shared" si="9"/>
        <v/>
      </c>
      <c r="AC646" s="926" t="str">
        <f t="shared" si="10"/>
        <v/>
      </c>
      <c r="AD646" s="926" t="str">
        <f t="shared" si="11"/>
        <v/>
      </c>
      <c r="AE646" s="926" t="str">
        <f t="shared" si="12"/>
        <v/>
      </c>
      <c r="AF646" s="926" t="str">
        <f t="shared" si="13"/>
        <v/>
      </c>
      <c r="AG646" s="926" t="str">
        <f t="shared" si="14"/>
        <v/>
      </c>
      <c r="AH646" s="926" t="str">
        <f t="shared" si="15"/>
        <v/>
      </c>
      <c r="AI646" s="926" t="str">
        <f t="shared" si="16"/>
        <v/>
      </c>
      <c r="AJ646" s="926" t="str">
        <f t="shared" si="17"/>
        <v/>
      </c>
      <c r="AK646" s="926" t="str">
        <f t="shared" si="18"/>
        <v/>
      </c>
      <c r="AL646" s="926" t="str">
        <f t="shared" si="19"/>
        <v/>
      </c>
      <c r="AM646" s="926" t="str">
        <f t="shared" si="20"/>
        <v/>
      </c>
      <c r="AN646" s="926" t="str">
        <f t="shared" si="21"/>
        <v/>
      </c>
      <c r="AO646" s="926" t="str">
        <f t="shared" si="22"/>
        <v/>
      </c>
      <c r="AP646" s="926" t="str">
        <f t="shared" si="23"/>
        <v/>
      </c>
      <c r="AQ646" s="926" t="str">
        <f t="shared" si="24"/>
        <v/>
      </c>
      <c r="AR646" s="926" t="str">
        <f t="shared" si="25"/>
        <v/>
      </c>
      <c r="AS646" s="926" t="str">
        <f t="shared" si="26"/>
        <v/>
      </c>
      <c r="AT646" s="926" t="str">
        <f t="shared" si="27"/>
        <v/>
      </c>
      <c r="AU646" s="926" t="str">
        <f t="shared" si="28"/>
        <v/>
      </c>
      <c r="AV646" s="926" t="str">
        <f t="shared" si="29"/>
        <v/>
      </c>
      <c r="AW646" s="926" t="str">
        <f t="shared" si="30"/>
        <v/>
      </c>
      <c r="AX646" s="926" t="str">
        <f t="shared" si="31"/>
        <v/>
      </c>
      <c r="AY646" s="926" t="str">
        <f t="shared" si="32"/>
        <v/>
      </c>
      <c r="AZ646" s="926" t="str">
        <f t="shared" si="33"/>
        <v/>
      </c>
      <c r="BA646" s="926" t="str">
        <f t="shared" si="34"/>
        <v/>
      </c>
      <c r="BB646" s="926" t="str">
        <f t="shared" si="35"/>
        <v/>
      </c>
      <c r="BC646" s="926" t="str">
        <f t="shared" si="36"/>
        <v/>
      </c>
      <c r="BD646" s="926" t="str">
        <f t="shared" si="37"/>
        <v/>
      </c>
      <c r="BE646" s="926" t="str">
        <f t="shared" si="38"/>
        <v/>
      </c>
      <c r="BF646" s="926" t="str">
        <f t="shared" si="39"/>
        <v/>
      </c>
      <c r="BG646" s="926" t="str">
        <f t="shared" si="40"/>
        <v/>
      </c>
      <c r="BH646" s="926" t="str">
        <f t="shared" si="41"/>
        <v/>
      </c>
      <c r="BI646" s="926" t="str">
        <f t="shared" si="42"/>
        <v/>
      </c>
      <c r="BJ646" s="926" t="str">
        <f t="shared" si="43"/>
        <v/>
      </c>
      <c r="BK646" s="926" t="str">
        <f t="shared" si="44"/>
        <v/>
      </c>
      <c r="BL646" s="926" t="str">
        <f t="shared" si="45"/>
        <v/>
      </c>
      <c r="BM646" s="926" t="str">
        <f t="shared" si="46"/>
        <v/>
      </c>
      <c r="BN646" s="926" t="str">
        <f t="shared" si="47"/>
        <v/>
      </c>
      <c r="BO646" s="926" t="str">
        <f t="shared" si="48"/>
        <v/>
      </c>
      <c r="BP646" s="926" t="str">
        <f t="shared" si="49"/>
        <v/>
      </c>
      <c r="BQ646" s="926" t="str">
        <f t="shared" si="50"/>
        <v/>
      </c>
      <c r="BR646" s="926" t="str">
        <f t="shared" si="51"/>
        <v/>
      </c>
      <c r="BS646" s="926" t="str">
        <f t="shared" si="52"/>
        <v/>
      </c>
      <c r="BT646" s="926" t="str">
        <f t="shared" si="53"/>
        <v/>
      </c>
      <c r="BU646" s="926" t="str">
        <f t="shared" si="54"/>
        <v/>
      </c>
      <c r="BV646" s="926" t="str">
        <f t="shared" si="55"/>
        <v/>
      </c>
      <c r="BW646" s="926" t="str">
        <f t="shared" si="56"/>
        <v/>
      </c>
      <c r="BX646" s="926" t="str">
        <f t="shared" si="57"/>
        <v/>
      </c>
      <c r="BY646" s="926" t="str">
        <f t="shared" si="58"/>
        <v/>
      </c>
      <c r="BZ646" s="926" t="str">
        <f t="shared" si="59"/>
        <v/>
      </c>
      <c r="CA646" s="926" t="str">
        <f t="shared" si="60"/>
        <v/>
      </c>
      <c r="CB646" s="926" t="str">
        <f t="shared" si="61"/>
        <v/>
      </c>
      <c r="CC646" s="926" t="str">
        <f t="shared" si="62"/>
        <v/>
      </c>
      <c r="CD646" s="926" t="str">
        <f t="shared" si="63"/>
        <v/>
      </c>
      <c r="CE646" s="926" t="str">
        <f t="shared" si="64"/>
        <v/>
      </c>
      <c r="CF646" s="926" t="str">
        <f t="shared" si="65"/>
        <v/>
      </c>
      <c r="CG646" s="926" t="str">
        <f t="shared" si="66"/>
        <v/>
      </c>
      <c r="CH646" s="926" t="str">
        <f t="shared" si="67"/>
        <v/>
      </c>
      <c r="CI646" s="926" t="str">
        <f t="shared" si="68"/>
        <v/>
      </c>
      <c r="CJ646" s="926" t="str">
        <f t="shared" si="69"/>
        <v/>
      </c>
      <c r="CK646" s="926" t="str">
        <f t="shared" si="70"/>
        <v/>
      </c>
      <c r="CL646" s="926" t="str">
        <f t="shared" si="71"/>
        <v/>
      </c>
      <c r="CM646" s="926" t="str">
        <f t="shared" si="72"/>
        <v/>
      </c>
      <c r="CN646" s="926" t="str">
        <f t="shared" si="73"/>
        <v/>
      </c>
      <c r="CO646" s="926" t="str">
        <f t="shared" si="74"/>
        <v/>
      </c>
      <c r="CP646" s="926" t="str">
        <f t="shared" si="75"/>
        <v/>
      </c>
      <c r="CQ646" s="926" t="str">
        <f t="shared" si="76"/>
        <v/>
      </c>
      <c r="CR646" s="926" t="str">
        <f t="shared" si="77"/>
        <v/>
      </c>
      <c r="CS646" s="926" t="str">
        <f t="shared" si="78"/>
        <v/>
      </c>
      <c r="CT646" s="926" t="str">
        <f t="shared" si="79"/>
        <v/>
      </c>
      <c r="CU646" s="926" t="str">
        <f t="shared" si="80"/>
        <v/>
      </c>
      <c r="CV646" s="926" t="str">
        <f t="shared" si="81"/>
        <v/>
      </c>
      <c r="CW646" s="926" t="str">
        <f t="shared" si="82"/>
        <v/>
      </c>
      <c r="CX646" s="926" t="str">
        <f t="shared" si="83"/>
        <v/>
      </c>
      <c r="CY646" s="926" t="str">
        <f t="shared" si="84"/>
        <v/>
      </c>
      <c r="CZ646" s="926" t="str">
        <f t="shared" si="85"/>
        <v/>
      </c>
      <c r="DA646" s="926" t="str">
        <f t="shared" si="86"/>
        <v/>
      </c>
      <c r="DB646" s="926" t="str">
        <f t="shared" si="87"/>
        <v/>
      </c>
      <c r="DC646" s="926" t="str">
        <f t="shared" si="88"/>
        <v/>
      </c>
      <c r="DD646" s="926" t="str">
        <f t="shared" si="89"/>
        <v/>
      </c>
      <c r="DE646" s="926" t="str">
        <f t="shared" si="90"/>
        <v/>
      </c>
      <c r="DF646" s="926" t="str">
        <f t="shared" si="91"/>
        <v/>
      </c>
      <c r="DG646" s="926" t="str">
        <f t="shared" si="92"/>
        <v/>
      </c>
      <c r="DH646" s="926" t="str">
        <f t="shared" si="93"/>
        <v/>
      </c>
      <c r="DI646" s="926" t="str">
        <f t="shared" si="94"/>
        <v/>
      </c>
      <c r="DJ646" s="926" t="str">
        <f t="shared" si="95"/>
        <v/>
      </c>
      <c r="DK646" s="926" t="str">
        <f t="shared" si="96"/>
        <v/>
      </c>
      <c r="DL646" s="926" t="str">
        <f t="shared" si="97"/>
        <v/>
      </c>
      <c r="DM646" s="926" t="str">
        <f t="shared" si="98"/>
        <v/>
      </c>
      <c r="DN646" s="926" t="str">
        <f t="shared" si="99"/>
        <v/>
      </c>
      <c r="DO646" s="926" t="str">
        <f t="shared" si="100"/>
        <v/>
      </c>
      <c r="DP646" s="926" t="str">
        <f t="shared" si="101"/>
        <v/>
      </c>
      <c r="DQ646" s="926" t="str">
        <f t="shared" si="102"/>
        <v/>
      </c>
      <c r="DR646" s="926" t="str">
        <f t="shared" si="103"/>
        <v/>
      </c>
      <c r="DS646" s="926" t="str">
        <f t="shared" si="104"/>
        <v/>
      </c>
      <c r="DT646" s="926" t="str">
        <f t="shared" si="105"/>
        <v/>
      </c>
      <c r="DU646" s="926" t="str">
        <f t="shared" si="106"/>
        <v/>
      </c>
      <c r="DV646" s="926" t="str">
        <f t="shared" si="107"/>
        <v/>
      </c>
      <c r="DW646" s="926" t="str">
        <f t="shared" si="108"/>
        <v/>
      </c>
      <c r="DX646" s="926" t="str">
        <f t="shared" si="109"/>
        <v/>
      </c>
      <c r="DY646" s="926" t="str">
        <f t="shared" si="110"/>
        <v/>
      </c>
      <c r="DZ646" s="926" t="str">
        <f t="shared" si="111"/>
        <v/>
      </c>
      <c r="EA646" s="926" t="str">
        <f t="shared" si="112"/>
        <v/>
      </c>
      <c r="EB646" s="926" t="str">
        <f t="shared" si="113"/>
        <v/>
      </c>
      <c r="EC646" s="926" t="str">
        <f t="shared" si="114"/>
        <v/>
      </c>
      <c r="ED646" s="926" t="str">
        <f t="shared" si="115"/>
        <v/>
      </c>
      <c r="EE646" s="926" t="str">
        <f t="shared" si="116"/>
        <v/>
      </c>
      <c r="EF646" s="926" t="str">
        <f t="shared" si="117"/>
        <v/>
      </c>
      <c r="EG646" s="926" t="str">
        <f t="shared" si="118"/>
        <v/>
      </c>
      <c r="EH646" s="926" t="str">
        <f t="shared" si="119"/>
        <v/>
      </c>
      <c r="EI646" s="926" t="str">
        <f t="shared" si="120"/>
        <v/>
      </c>
      <c r="EJ646" s="926" t="str">
        <f t="shared" si="121"/>
        <v/>
      </c>
      <c r="EK646" s="926" t="str">
        <f t="shared" si="122"/>
        <v/>
      </c>
      <c r="EL646" s="926" t="str">
        <f t="shared" si="123"/>
        <v/>
      </c>
      <c r="EM646" s="926" t="str">
        <f t="shared" si="124"/>
        <v/>
      </c>
      <c r="EN646" s="926" t="str">
        <f t="shared" si="125"/>
        <v/>
      </c>
      <c r="EO646" s="926" t="str">
        <f t="shared" si="126"/>
        <v/>
      </c>
      <c r="EP646" s="926" t="str">
        <f t="shared" si="127"/>
        <v/>
      </c>
      <c r="EQ646" s="926" t="str">
        <f t="shared" si="128"/>
        <v/>
      </c>
      <c r="ER646" s="926" t="str">
        <f t="shared" si="129"/>
        <v/>
      </c>
      <c r="ES646" s="926" t="str">
        <f t="shared" si="130"/>
        <v/>
      </c>
      <c r="ET646" s="926" t="str">
        <f t="shared" si="131"/>
        <v/>
      </c>
      <c r="EU646" s="926" t="str">
        <f t="shared" si="132"/>
        <v/>
      </c>
      <c r="EV646" s="2945" t="str">
        <f t="shared" si="133"/>
        <v/>
      </c>
      <c r="EW646" s="2945" t="str">
        <f t="shared" si="134"/>
        <v/>
      </c>
      <c r="EX646" s="2945" t="str">
        <f t="shared" si="135"/>
        <v/>
      </c>
      <c r="EY646" s="2945" t="str">
        <f t="shared" si="136"/>
        <v/>
      </c>
      <c r="EZ646" s="2945" t="str">
        <f t="shared" si="137"/>
        <v/>
      </c>
      <c r="FA646" s="2945" t="str">
        <f t="shared" si="138"/>
        <v/>
      </c>
      <c r="FB646" s="2945" t="str">
        <f t="shared" si="139"/>
        <v/>
      </c>
      <c r="FC646" s="2945" t="str">
        <f t="shared" si="140"/>
        <v/>
      </c>
      <c r="FD646" s="2945" t="str">
        <f t="shared" si="141"/>
        <v/>
      </c>
      <c r="FE646" s="2945" t="str">
        <f t="shared" si="142"/>
        <v/>
      </c>
      <c r="FF646" s="2945" t="str">
        <f t="shared" si="143"/>
        <v/>
      </c>
      <c r="FG646" s="2945" t="str">
        <f t="shared" si="144"/>
        <v/>
      </c>
      <c r="FH646" s="2945" t="str">
        <f t="shared" si="145"/>
        <v/>
      </c>
      <c r="FI646" s="2945" t="str">
        <f t="shared" si="146"/>
        <v/>
      </c>
      <c r="FJ646" s="2945" t="str">
        <f t="shared" si="147"/>
        <v/>
      </c>
      <c r="FK646" s="2945" t="str">
        <f t="shared" si="148"/>
        <v/>
      </c>
      <c r="FL646" s="2945" t="str">
        <f t="shared" si="149"/>
        <v/>
      </c>
      <c r="FM646" s="2945" t="str">
        <f t="shared" si="150"/>
        <v/>
      </c>
      <c r="FN646" s="2945" t="str">
        <f t="shared" si="151"/>
        <v/>
      </c>
      <c r="FO646" s="2945" t="str">
        <f t="shared" si="152"/>
        <v/>
      </c>
      <c r="FP646" s="2945" t="str">
        <f t="shared" si="153"/>
        <v/>
      </c>
      <c r="FQ646" s="2945" t="str">
        <f t="shared" si="154"/>
        <v/>
      </c>
      <c r="FR646" s="2945" t="str">
        <f t="shared" si="155"/>
        <v/>
      </c>
      <c r="FS646" s="2945" t="str">
        <f t="shared" si="156"/>
        <v/>
      </c>
      <c r="FT646" s="2945" t="str">
        <f t="shared" si="157"/>
        <v/>
      </c>
      <c r="FU646" s="2945" t="str">
        <f t="shared" si="158"/>
        <v/>
      </c>
      <c r="FV646" s="2945" t="str">
        <f t="shared" si="159"/>
        <v/>
      </c>
      <c r="FW646" s="2945" t="str">
        <f t="shared" si="160"/>
        <v/>
      </c>
      <c r="FX646" s="2945" t="str">
        <f t="shared" si="161"/>
        <v/>
      </c>
      <c r="FY646" s="2945" t="str">
        <f t="shared" si="162"/>
        <v/>
      </c>
      <c r="FZ646" s="2945" t="str">
        <f t="shared" si="163"/>
        <v/>
      </c>
      <c r="GA646" s="2945" t="str">
        <f t="shared" si="164"/>
        <v/>
      </c>
      <c r="GB646" s="2945" t="str">
        <f t="shared" si="165"/>
        <v/>
      </c>
      <c r="GC646" s="2945" t="str">
        <f t="shared" si="166"/>
        <v/>
      </c>
      <c r="GD646" s="2945" t="str">
        <f t="shared" si="167"/>
        <v/>
      </c>
      <c r="GE646" s="2945" t="str">
        <f t="shared" si="168"/>
        <v/>
      </c>
      <c r="GF646" s="2945" t="str">
        <f t="shared" si="169"/>
        <v/>
      </c>
      <c r="GG646" s="2945" t="str">
        <f t="shared" si="170"/>
        <v/>
      </c>
      <c r="GH646" s="2945" t="str">
        <f t="shared" si="171"/>
        <v/>
      </c>
      <c r="GI646" s="2945" t="str">
        <f t="shared" si="172"/>
        <v/>
      </c>
      <c r="GJ646" s="2945" t="str">
        <f t="shared" si="173"/>
        <v/>
      </c>
      <c r="GK646" s="2945" t="str">
        <f t="shared" si="174"/>
        <v/>
      </c>
      <c r="GL646" s="2945" t="str">
        <f t="shared" si="175"/>
        <v/>
      </c>
      <c r="GM646" s="2945" t="str">
        <f t="shared" si="176"/>
        <v/>
      </c>
      <c r="GN646" s="2945" t="str">
        <f t="shared" si="177"/>
        <v/>
      </c>
      <c r="GO646" s="2945" t="str">
        <f t="shared" si="178"/>
        <v/>
      </c>
      <c r="GP646" s="2945" t="str">
        <f t="shared" si="179"/>
        <v/>
      </c>
      <c r="GQ646" s="2945" t="str">
        <f t="shared" si="180"/>
        <v/>
      </c>
      <c r="GR646" s="2945" t="str">
        <f t="shared" si="181"/>
        <v/>
      </c>
      <c r="GS646" s="2945" t="str">
        <f t="shared" si="182"/>
        <v/>
      </c>
      <c r="GT646" s="2945" t="str">
        <f t="shared" si="183"/>
        <v/>
      </c>
      <c r="GU646" s="2945" t="str">
        <f t="shared" si="184"/>
        <v/>
      </c>
      <c r="GV646" s="2945" t="str">
        <f t="shared" si="185"/>
        <v/>
      </c>
      <c r="GW646" s="2945" t="str">
        <f t="shared" si="186"/>
        <v/>
      </c>
      <c r="GX646" s="2945" t="str">
        <f t="shared" si="187"/>
        <v/>
      </c>
      <c r="GY646" s="2945" t="str">
        <f t="shared" si="188"/>
        <v/>
      </c>
      <c r="GZ646" s="2945" t="str">
        <f t="shared" si="189"/>
        <v/>
      </c>
      <c r="HA646" s="2945" t="str">
        <f t="shared" si="190"/>
        <v/>
      </c>
      <c r="HB646" s="2945" t="str">
        <f t="shared" si="191"/>
        <v/>
      </c>
      <c r="HC646" s="2945" t="str">
        <f t="shared" si="192"/>
        <v/>
      </c>
      <c r="HD646" s="2945" t="str">
        <f t="shared" si="193"/>
        <v/>
      </c>
      <c r="HE646" s="2945" t="str">
        <f t="shared" si="194"/>
        <v/>
      </c>
      <c r="HF646" s="2945" t="str">
        <f t="shared" si="195"/>
        <v/>
      </c>
      <c r="HG646" s="2945" t="str">
        <f t="shared" si="196"/>
        <v/>
      </c>
      <c r="HH646" s="2945" t="str">
        <f t="shared" si="197"/>
        <v/>
      </c>
      <c r="HI646" s="2945" t="str">
        <f t="shared" si="198"/>
        <v/>
      </c>
      <c r="HJ646" s="2945" t="str">
        <f t="shared" si="199"/>
        <v/>
      </c>
      <c r="HK646" s="2945" t="str">
        <f t="shared" si="200"/>
        <v/>
      </c>
      <c r="HL646" s="2945" t="str">
        <f t="shared" si="201"/>
        <v/>
      </c>
      <c r="HM646" s="2945" t="str">
        <f t="shared" si="202"/>
        <v/>
      </c>
      <c r="HN646" s="2945" t="str">
        <f t="shared" si="203"/>
        <v/>
      </c>
      <c r="HO646" s="2945" t="str">
        <f t="shared" si="204"/>
        <v/>
      </c>
      <c r="HP646" s="2945" t="str">
        <f t="shared" si="205"/>
        <v/>
      </c>
      <c r="HQ646" s="2945" t="str">
        <f t="shared" si="206"/>
        <v/>
      </c>
      <c r="HR646" s="2945" t="str">
        <f t="shared" si="207"/>
        <v/>
      </c>
      <c r="HS646" s="2945" t="str">
        <f t="shared" si="208"/>
        <v/>
      </c>
      <c r="HT646" s="2945" t="str">
        <f t="shared" si="209"/>
        <v/>
      </c>
      <c r="HU646" s="2945" t="str">
        <f t="shared" si="210"/>
        <v/>
      </c>
      <c r="HV646" s="2945" t="str">
        <f t="shared" si="211"/>
        <v/>
      </c>
      <c r="HW646" s="2945" t="str">
        <f t="shared" si="212"/>
        <v/>
      </c>
      <c r="HX646" s="2945" t="str">
        <f t="shared" si="213"/>
        <v/>
      </c>
      <c r="HY646" s="2945" t="str">
        <f t="shared" si="214"/>
        <v/>
      </c>
      <c r="HZ646" s="2945" t="str">
        <f t="shared" si="215"/>
        <v/>
      </c>
      <c r="IA646" s="2945" t="str">
        <f t="shared" si="216"/>
        <v/>
      </c>
      <c r="IB646" s="2945" t="str">
        <f t="shared" si="217"/>
        <v/>
      </c>
      <c r="IC646" s="2911" t="str">
        <f t="shared" si="218"/>
        <v/>
      </c>
      <c r="ID646" s="2911" t="str">
        <f t="shared" si="219"/>
        <v/>
      </c>
      <c r="IE646" s="2911" t="str">
        <f t="shared" si="220"/>
        <v/>
      </c>
      <c r="IF646" s="2911" t="str">
        <f t="shared" si="221"/>
        <v/>
      </c>
      <c r="IG646" s="2911" t="str">
        <f t="shared" si="222"/>
        <v/>
      </c>
      <c r="IH646" s="926" t="str">
        <f t="shared" si="223"/>
        <v/>
      </c>
      <c r="II646" s="926" t="str">
        <f t="shared" si="224"/>
        <v/>
      </c>
      <c r="IJ646" s="926" t="str">
        <f t="shared" si="225"/>
        <v/>
      </c>
      <c r="IK646" s="926" t="str">
        <f t="shared" si="226"/>
        <v/>
      </c>
      <c r="IL646" s="926" t="str">
        <f t="shared" si="227"/>
        <v/>
      </c>
      <c r="IM646" s="926" t="str">
        <f t="shared" si="228"/>
        <v/>
      </c>
      <c r="IN646" s="926" t="str">
        <f t="shared" si="229"/>
        <v/>
      </c>
      <c r="IO646" s="926" t="str">
        <f t="shared" si="230"/>
        <v/>
      </c>
      <c r="IP646" s="926" t="str">
        <f t="shared" si="231"/>
        <v/>
      </c>
      <c r="IQ646" s="926" t="str">
        <f t="shared" si="232"/>
        <v/>
      </c>
      <c r="IR646" s="926" t="str">
        <f t="shared" si="233"/>
        <v/>
      </c>
      <c r="IS646" s="926" t="str">
        <f t="shared" si="234"/>
        <v/>
      </c>
      <c r="IT646" s="926" t="str">
        <f t="shared" si="235"/>
        <v/>
      </c>
      <c r="IU646" s="926" t="str">
        <f t="shared" si="236"/>
        <v/>
      </c>
      <c r="IV646" s="926" t="str">
        <f t="shared" si="237"/>
        <v/>
      </c>
      <c r="IW646" s="926" t="str">
        <f t="shared" si="238"/>
        <v/>
      </c>
      <c r="IX646" s="926" t="str">
        <f t="shared" si="239"/>
        <v/>
      </c>
      <c r="IY646" s="926" t="str">
        <f t="shared" si="240"/>
        <v/>
      </c>
      <c r="IZ646" s="926" t="str">
        <f t="shared" si="241"/>
        <v/>
      </c>
      <c r="JA646" s="926" t="str">
        <f t="shared" si="242"/>
        <v/>
      </c>
      <c r="JB646" s="2909">
        <f t="shared" si="243"/>
        <v>0</v>
      </c>
      <c r="JC646" s="2909">
        <f t="shared" si="244"/>
        <v>0</v>
      </c>
      <c r="JD646" s="2909">
        <f t="shared" si="245"/>
        <v>0</v>
      </c>
      <c r="JE646" s="2909">
        <f t="shared" si="246"/>
        <v>0</v>
      </c>
      <c r="JF646" s="2909">
        <f t="shared" si="247"/>
        <v>0</v>
      </c>
      <c r="JG646" s="2909">
        <f t="shared" si="248"/>
        <v>0</v>
      </c>
      <c r="JH646" s="2909">
        <f t="shared" si="249"/>
        <v>0</v>
      </c>
      <c r="JI646" s="2909">
        <f t="shared" si="250"/>
        <v>0</v>
      </c>
      <c r="JJ646" s="2909">
        <f t="shared" si="251"/>
        <v>0</v>
      </c>
      <c r="JK646" s="2909">
        <f t="shared" si="252"/>
        <v>0</v>
      </c>
      <c r="JL646" s="2909">
        <f t="shared" si="253"/>
        <v>0</v>
      </c>
      <c r="JM646" s="2909">
        <f t="shared" si="254"/>
        <v>0</v>
      </c>
      <c r="JN646" s="2909">
        <f t="shared" si="255"/>
        <v>0</v>
      </c>
      <c r="JO646" s="2909">
        <f t="shared" si="256"/>
        <v>0</v>
      </c>
      <c r="JP646" s="2909">
        <f t="shared" si="257"/>
        <v>0</v>
      </c>
    </row>
    <row r="647" spans="1:276" ht="12" customHeight="1">
      <c r="A647" s="2924" t="str">
        <f t="shared" si="0"/>
        <v/>
      </c>
      <c r="B647" s="2936" t="str">
        <f>'Part VI-Revenues &amp; Expenses'!B27</f>
        <v>&lt;&lt;Select&gt;&gt;</v>
      </c>
      <c r="C647" s="2937">
        <f>'Part VI-Revenues &amp; Expenses'!C27</f>
        <v>0</v>
      </c>
      <c r="D647" s="2938">
        <f>'Part VI-Revenues &amp; Expenses'!D27</f>
        <v>0</v>
      </c>
      <c r="E647" s="2939">
        <f>'Part VI-Revenues &amp; Expenses'!E27</f>
        <v>0</v>
      </c>
      <c r="F647" s="2939">
        <f>'Part VI-Revenues &amp; Expenses'!F27</f>
        <v>0</v>
      </c>
      <c r="G647" s="2939">
        <f>'Part VI-Revenues &amp; Expenses'!G27</f>
        <v>0</v>
      </c>
      <c r="H647" s="2939">
        <f>'Part VI-Revenues &amp; Expenses'!H27</f>
        <v>0</v>
      </c>
      <c r="I647" s="2939">
        <f>'Part VI-Revenues &amp; Expenses'!I27</f>
        <v>0</v>
      </c>
      <c r="J647" s="2940">
        <f>'Part VI-Revenues &amp; Expenses'!J27</f>
        <v>0</v>
      </c>
      <c r="K647" s="2941">
        <f t="shared" si="1"/>
        <v>0</v>
      </c>
      <c r="L647" s="2941">
        <f t="shared" si="2"/>
        <v>0</v>
      </c>
      <c r="M647" s="2918">
        <f>'Part VI-Revenues &amp; Expenses'!M27</f>
        <v>0</v>
      </c>
      <c r="N647" s="2918">
        <f>'Part VI-Revenues &amp; Expenses'!N27</f>
        <v>0</v>
      </c>
      <c r="O647" s="2918">
        <f>'Part VI-Revenues &amp; Expenses'!O27</f>
        <v>0</v>
      </c>
      <c r="P647" s="2918">
        <f>'Part VI-Revenues &amp; Expenses'!P27</f>
        <v>0</v>
      </c>
      <c r="Q647" s="2942">
        <f>IF(H647="","",P647/($O$626*VLOOKUP(C647,'DCA Underwriting Assumptions'!$J$118:$K$123,2,FALSE)))</f>
        <v>0</v>
      </c>
      <c r="R647" s="2943"/>
      <c r="S647" s="2942"/>
      <c r="T647" s="2944"/>
      <c r="U647" s="2944"/>
      <c r="V647" s="926" t="str">
        <f t="shared" si="3"/>
        <v/>
      </c>
      <c r="W647" s="926" t="str">
        <f t="shared" si="4"/>
        <v/>
      </c>
      <c r="X647" s="926" t="str">
        <f t="shared" si="5"/>
        <v/>
      </c>
      <c r="Y647" s="926" t="str">
        <f t="shared" si="6"/>
        <v/>
      </c>
      <c r="Z647" s="926" t="str">
        <f t="shared" si="7"/>
        <v/>
      </c>
      <c r="AA647" s="926" t="str">
        <f t="shared" si="8"/>
        <v/>
      </c>
      <c r="AB647" s="926" t="str">
        <f t="shared" si="9"/>
        <v/>
      </c>
      <c r="AC647" s="926" t="str">
        <f t="shared" si="10"/>
        <v/>
      </c>
      <c r="AD647" s="926" t="str">
        <f t="shared" si="11"/>
        <v/>
      </c>
      <c r="AE647" s="926" t="str">
        <f t="shared" si="12"/>
        <v/>
      </c>
      <c r="AF647" s="926" t="str">
        <f t="shared" si="13"/>
        <v/>
      </c>
      <c r="AG647" s="926" t="str">
        <f t="shared" si="14"/>
        <v/>
      </c>
      <c r="AH647" s="926" t="str">
        <f t="shared" si="15"/>
        <v/>
      </c>
      <c r="AI647" s="926" t="str">
        <f t="shared" si="16"/>
        <v/>
      </c>
      <c r="AJ647" s="926" t="str">
        <f t="shared" si="17"/>
        <v/>
      </c>
      <c r="AK647" s="926" t="str">
        <f t="shared" si="18"/>
        <v/>
      </c>
      <c r="AL647" s="926" t="str">
        <f t="shared" si="19"/>
        <v/>
      </c>
      <c r="AM647" s="926" t="str">
        <f t="shared" si="20"/>
        <v/>
      </c>
      <c r="AN647" s="926" t="str">
        <f t="shared" si="21"/>
        <v/>
      </c>
      <c r="AO647" s="926" t="str">
        <f t="shared" si="22"/>
        <v/>
      </c>
      <c r="AP647" s="926" t="str">
        <f t="shared" si="23"/>
        <v/>
      </c>
      <c r="AQ647" s="926" t="str">
        <f t="shared" si="24"/>
        <v/>
      </c>
      <c r="AR647" s="926" t="str">
        <f t="shared" si="25"/>
        <v/>
      </c>
      <c r="AS647" s="926" t="str">
        <f t="shared" si="26"/>
        <v/>
      </c>
      <c r="AT647" s="926" t="str">
        <f t="shared" si="27"/>
        <v/>
      </c>
      <c r="AU647" s="926" t="str">
        <f t="shared" si="28"/>
        <v/>
      </c>
      <c r="AV647" s="926" t="str">
        <f t="shared" si="29"/>
        <v/>
      </c>
      <c r="AW647" s="926" t="str">
        <f t="shared" si="30"/>
        <v/>
      </c>
      <c r="AX647" s="926" t="str">
        <f t="shared" si="31"/>
        <v/>
      </c>
      <c r="AY647" s="926" t="str">
        <f t="shared" si="32"/>
        <v/>
      </c>
      <c r="AZ647" s="926" t="str">
        <f t="shared" si="33"/>
        <v/>
      </c>
      <c r="BA647" s="926" t="str">
        <f t="shared" si="34"/>
        <v/>
      </c>
      <c r="BB647" s="926" t="str">
        <f t="shared" si="35"/>
        <v/>
      </c>
      <c r="BC647" s="926" t="str">
        <f t="shared" si="36"/>
        <v/>
      </c>
      <c r="BD647" s="926" t="str">
        <f t="shared" si="37"/>
        <v/>
      </c>
      <c r="BE647" s="926" t="str">
        <f t="shared" si="38"/>
        <v/>
      </c>
      <c r="BF647" s="926" t="str">
        <f t="shared" si="39"/>
        <v/>
      </c>
      <c r="BG647" s="926" t="str">
        <f t="shared" si="40"/>
        <v/>
      </c>
      <c r="BH647" s="926" t="str">
        <f t="shared" si="41"/>
        <v/>
      </c>
      <c r="BI647" s="926" t="str">
        <f t="shared" si="42"/>
        <v/>
      </c>
      <c r="BJ647" s="926" t="str">
        <f t="shared" si="43"/>
        <v/>
      </c>
      <c r="BK647" s="926" t="str">
        <f t="shared" si="44"/>
        <v/>
      </c>
      <c r="BL647" s="926" t="str">
        <f t="shared" si="45"/>
        <v/>
      </c>
      <c r="BM647" s="926" t="str">
        <f t="shared" si="46"/>
        <v/>
      </c>
      <c r="BN647" s="926" t="str">
        <f t="shared" si="47"/>
        <v/>
      </c>
      <c r="BO647" s="926" t="str">
        <f t="shared" si="48"/>
        <v/>
      </c>
      <c r="BP647" s="926" t="str">
        <f t="shared" si="49"/>
        <v/>
      </c>
      <c r="BQ647" s="926" t="str">
        <f t="shared" si="50"/>
        <v/>
      </c>
      <c r="BR647" s="926" t="str">
        <f t="shared" si="51"/>
        <v/>
      </c>
      <c r="BS647" s="926" t="str">
        <f t="shared" si="52"/>
        <v/>
      </c>
      <c r="BT647" s="926" t="str">
        <f t="shared" si="53"/>
        <v/>
      </c>
      <c r="BU647" s="926" t="str">
        <f t="shared" si="54"/>
        <v/>
      </c>
      <c r="BV647" s="926" t="str">
        <f t="shared" si="55"/>
        <v/>
      </c>
      <c r="BW647" s="926" t="str">
        <f t="shared" si="56"/>
        <v/>
      </c>
      <c r="BX647" s="926" t="str">
        <f t="shared" si="57"/>
        <v/>
      </c>
      <c r="BY647" s="926" t="str">
        <f t="shared" si="58"/>
        <v/>
      </c>
      <c r="BZ647" s="926" t="str">
        <f t="shared" si="59"/>
        <v/>
      </c>
      <c r="CA647" s="926" t="str">
        <f t="shared" si="60"/>
        <v/>
      </c>
      <c r="CB647" s="926" t="str">
        <f t="shared" si="61"/>
        <v/>
      </c>
      <c r="CC647" s="926" t="str">
        <f t="shared" si="62"/>
        <v/>
      </c>
      <c r="CD647" s="926" t="str">
        <f t="shared" si="63"/>
        <v/>
      </c>
      <c r="CE647" s="926" t="str">
        <f t="shared" si="64"/>
        <v/>
      </c>
      <c r="CF647" s="926" t="str">
        <f t="shared" si="65"/>
        <v/>
      </c>
      <c r="CG647" s="926" t="str">
        <f t="shared" si="66"/>
        <v/>
      </c>
      <c r="CH647" s="926" t="str">
        <f t="shared" si="67"/>
        <v/>
      </c>
      <c r="CI647" s="926" t="str">
        <f t="shared" si="68"/>
        <v/>
      </c>
      <c r="CJ647" s="926" t="str">
        <f t="shared" si="69"/>
        <v/>
      </c>
      <c r="CK647" s="926" t="str">
        <f t="shared" si="70"/>
        <v/>
      </c>
      <c r="CL647" s="926" t="str">
        <f t="shared" si="71"/>
        <v/>
      </c>
      <c r="CM647" s="926" t="str">
        <f t="shared" si="72"/>
        <v/>
      </c>
      <c r="CN647" s="926" t="str">
        <f t="shared" si="73"/>
        <v/>
      </c>
      <c r="CO647" s="926" t="str">
        <f t="shared" si="74"/>
        <v/>
      </c>
      <c r="CP647" s="926" t="str">
        <f t="shared" si="75"/>
        <v/>
      </c>
      <c r="CQ647" s="926" t="str">
        <f t="shared" si="76"/>
        <v/>
      </c>
      <c r="CR647" s="926" t="str">
        <f t="shared" si="77"/>
        <v/>
      </c>
      <c r="CS647" s="926" t="str">
        <f t="shared" si="78"/>
        <v/>
      </c>
      <c r="CT647" s="926" t="str">
        <f t="shared" si="79"/>
        <v/>
      </c>
      <c r="CU647" s="926" t="str">
        <f t="shared" si="80"/>
        <v/>
      </c>
      <c r="CV647" s="926" t="str">
        <f t="shared" si="81"/>
        <v/>
      </c>
      <c r="CW647" s="926" t="str">
        <f t="shared" si="82"/>
        <v/>
      </c>
      <c r="CX647" s="926" t="str">
        <f t="shared" si="83"/>
        <v/>
      </c>
      <c r="CY647" s="926" t="str">
        <f t="shared" si="84"/>
        <v/>
      </c>
      <c r="CZ647" s="926" t="str">
        <f t="shared" si="85"/>
        <v/>
      </c>
      <c r="DA647" s="926" t="str">
        <f t="shared" si="86"/>
        <v/>
      </c>
      <c r="DB647" s="926" t="str">
        <f t="shared" si="87"/>
        <v/>
      </c>
      <c r="DC647" s="926" t="str">
        <f t="shared" si="88"/>
        <v/>
      </c>
      <c r="DD647" s="926" t="str">
        <f t="shared" si="89"/>
        <v/>
      </c>
      <c r="DE647" s="926" t="str">
        <f t="shared" si="90"/>
        <v/>
      </c>
      <c r="DF647" s="926" t="str">
        <f t="shared" si="91"/>
        <v/>
      </c>
      <c r="DG647" s="926" t="str">
        <f t="shared" si="92"/>
        <v/>
      </c>
      <c r="DH647" s="926" t="str">
        <f t="shared" si="93"/>
        <v/>
      </c>
      <c r="DI647" s="926" t="str">
        <f t="shared" si="94"/>
        <v/>
      </c>
      <c r="DJ647" s="926" t="str">
        <f t="shared" si="95"/>
        <v/>
      </c>
      <c r="DK647" s="926" t="str">
        <f t="shared" si="96"/>
        <v/>
      </c>
      <c r="DL647" s="926" t="str">
        <f t="shared" si="97"/>
        <v/>
      </c>
      <c r="DM647" s="926" t="str">
        <f t="shared" si="98"/>
        <v/>
      </c>
      <c r="DN647" s="926" t="str">
        <f t="shared" si="99"/>
        <v/>
      </c>
      <c r="DO647" s="926" t="str">
        <f t="shared" si="100"/>
        <v/>
      </c>
      <c r="DP647" s="926" t="str">
        <f t="shared" si="101"/>
        <v/>
      </c>
      <c r="DQ647" s="926" t="str">
        <f t="shared" si="102"/>
        <v/>
      </c>
      <c r="DR647" s="926" t="str">
        <f t="shared" si="103"/>
        <v/>
      </c>
      <c r="DS647" s="926" t="str">
        <f t="shared" si="104"/>
        <v/>
      </c>
      <c r="DT647" s="926" t="str">
        <f t="shared" si="105"/>
        <v/>
      </c>
      <c r="DU647" s="926" t="str">
        <f t="shared" si="106"/>
        <v/>
      </c>
      <c r="DV647" s="926" t="str">
        <f t="shared" si="107"/>
        <v/>
      </c>
      <c r="DW647" s="926" t="str">
        <f t="shared" si="108"/>
        <v/>
      </c>
      <c r="DX647" s="926" t="str">
        <f t="shared" si="109"/>
        <v/>
      </c>
      <c r="DY647" s="926" t="str">
        <f t="shared" si="110"/>
        <v/>
      </c>
      <c r="DZ647" s="926" t="str">
        <f t="shared" si="111"/>
        <v/>
      </c>
      <c r="EA647" s="926" t="str">
        <f t="shared" si="112"/>
        <v/>
      </c>
      <c r="EB647" s="926" t="str">
        <f t="shared" si="113"/>
        <v/>
      </c>
      <c r="EC647" s="926" t="str">
        <f t="shared" si="114"/>
        <v/>
      </c>
      <c r="ED647" s="926" t="str">
        <f t="shared" si="115"/>
        <v/>
      </c>
      <c r="EE647" s="926" t="str">
        <f t="shared" si="116"/>
        <v/>
      </c>
      <c r="EF647" s="926" t="str">
        <f t="shared" si="117"/>
        <v/>
      </c>
      <c r="EG647" s="926" t="str">
        <f t="shared" si="118"/>
        <v/>
      </c>
      <c r="EH647" s="926" t="str">
        <f t="shared" si="119"/>
        <v/>
      </c>
      <c r="EI647" s="926" t="str">
        <f t="shared" si="120"/>
        <v/>
      </c>
      <c r="EJ647" s="926" t="str">
        <f t="shared" si="121"/>
        <v/>
      </c>
      <c r="EK647" s="926" t="str">
        <f t="shared" si="122"/>
        <v/>
      </c>
      <c r="EL647" s="926" t="str">
        <f t="shared" si="123"/>
        <v/>
      </c>
      <c r="EM647" s="926" t="str">
        <f t="shared" si="124"/>
        <v/>
      </c>
      <c r="EN647" s="926" t="str">
        <f t="shared" si="125"/>
        <v/>
      </c>
      <c r="EO647" s="926" t="str">
        <f t="shared" si="126"/>
        <v/>
      </c>
      <c r="EP647" s="926" t="str">
        <f t="shared" si="127"/>
        <v/>
      </c>
      <c r="EQ647" s="926" t="str">
        <f t="shared" si="128"/>
        <v/>
      </c>
      <c r="ER647" s="926" t="str">
        <f t="shared" si="129"/>
        <v/>
      </c>
      <c r="ES647" s="926" t="str">
        <f t="shared" si="130"/>
        <v/>
      </c>
      <c r="ET647" s="926" t="str">
        <f t="shared" si="131"/>
        <v/>
      </c>
      <c r="EU647" s="926" t="str">
        <f t="shared" si="132"/>
        <v/>
      </c>
      <c r="EV647" s="2945" t="str">
        <f t="shared" si="133"/>
        <v/>
      </c>
      <c r="EW647" s="2945" t="str">
        <f t="shared" si="134"/>
        <v/>
      </c>
      <c r="EX647" s="2945" t="str">
        <f t="shared" si="135"/>
        <v/>
      </c>
      <c r="EY647" s="2945" t="str">
        <f t="shared" si="136"/>
        <v/>
      </c>
      <c r="EZ647" s="2945" t="str">
        <f t="shared" si="137"/>
        <v/>
      </c>
      <c r="FA647" s="2945" t="str">
        <f t="shared" si="138"/>
        <v/>
      </c>
      <c r="FB647" s="2945" t="str">
        <f t="shared" si="139"/>
        <v/>
      </c>
      <c r="FC647" s="2945" t="str">
        <f t="shared" si="140"/>
        <v/>
      </c>
      <c r="FD647" s="2945" t="str">
        <f t="shared" si="141"/>
        <v/>
      </c>
      <c r="FE647" s="2945" t="str">
        <f t="shared" si="142"/>
        <v/>
      </c>
      <c r="FF647" s="2945" t="str">
        <f t="shared" si="143"/>
        <v/>
      </c>
      <c r="FG647" s="2945" t="str">
        <f t="shared" si="144"/>
        <v/>
      </c>
      <c r="FH647" s="2945" t="str">
        <f t="shared" si="145"/>
        <v/>
      </c>
      <c r="FI647" s="2945" t="str">
        <f t="shared" si="146"/>
        <v/>
      </c>
      <c r="FJ647" s="2945" t="str">
        <f t="shared" si="147"/>
        <v/>
      </c>
      <c r="FK647" s="2945" t="str">
        <f t="shared" si="148"/>
        <v/>
      </c>
      <c r="FL647" s="2945" t="str">
        <f t="shared" si="149"/>
        <v/>
      </c>
      <c r="FM647" s="2945" t="str">
        <f t="shared" si="150"/>
        <v/>
      </c>
      <c r="FN647" s="2945" t="str">
        <f t="shared" si="151"/>
        <v/>
      </c>
      <c r="FO647" s="2945" t="str">
        <f t="shared" si="152"/>
        <v/>
      </c>
      <c r="FP647" s="2945" t="str">
        <f t="shared" si="153"/>
        <v/>
      </c>
      <c r="FQ647" s="2945" t="str">
        <f t="shared" si="154"/>
        <v/>
      </c>
      <c r="FR647" s="2945" t="str">
        <f t="shared" si="155"/>
        <v/>
      </c>
      <c r="FS647" s="2945" t="str">
        <f t="shared" si="156"/>
        <v/>
      </c>
      <c r="FT647" s="2945" t="str">
        <f t="shared" si="157"/>
        <v/>
      </c>
      <c r="FU647" s="2945" t="str">
        <f t="shared" si="158"/>
        <v/>
      </c>
      <c r="FV647" s="2945" t="str">
        <f t="shared" si="159"/>
        <v/>
      </c>
      <c r="FW647" s="2945" t="str">
        <f t="shared" si="160"/>
        <v/>
      </c>
      <c r="FX647" s="2945" t="str">
        <f t="shared" si="161"/>
        <v/>
      </c>
      <c r="FY647" s="2945" t="str">
        <f t="shared" si="162"/>
        <v/>
      </c>
      <c r="FZ647" s="2945" t="str">
        <f t="shared" si="163"/>
        <v/>
      </c>
      <c r="GA647" s="2945" t="str">
        <f t="shared" si="164"/>
        <v/>
      </c>
      <c r="GB647" s="2945" t="str">
        <f t="shared" si="165"/>
        <v/>
      </c>
      <c r="GC647" s="2945" t="str">
        <f t="shared" si="166"/>
        <v/>
      </c>
      <c r="GD647" s="2945" t="str">
        <f t="shared" si="167"/>
        <v/>
      </c>
      <c r="GE647" s="2945" t="str">
        <f t="shared" si="168"/>
        <v/>
      </c>
      <c r="GF647" s="2945" t="str">
        <f t="shared" si="169"/>
        <v/>
      </c>
      <c r="GG647" s="2945" t="str">
        <f t="shared" si="170"/>
        <v/>
      </c>
      <c r="GH647" s="2945" t="str">
        <f t="shared" si="171"/>
        <v/>
      </c>
      <c r="GI647" s="2945" t="str">
        <f t="shared" si="172"/>
        <v/>
      </c>
      <c r="GJ647" s="2945" t="str">
        <f t="shared" si="173"/>
        <v/>
      </c>
      <c r="GK647" s="2945" t="str">
        <f t="shared" si="174"/>
        <v/>
      </c>
      <c r="GL647" s="2945" t="str">
        <f t="shared" si="175"/>
        <v/>
      </c>
      <c r="GM647" s="2945" t="str">
        <f t="shared" si="176"/>
        <v/>
      </c>
      <c r="GN647" s="2945" t="str">
        <f t="shared" si="177"/>
        <v/>
      </c>
      <c r="GO647" s="2945" t="str">
        <f t="shared" si="178"/>
        <v/>
      </c>
      <c r="GP647" s="2945" t="str">
        <f t="shared" si="179"/>
        <v/>
      </c>
      <c r="GQ647" s="2945" t="str">
        <f t="shared" si="180"/>
        <v/>
      </c>
      <c r="GR647" s="2945" t="str">
        <f t="shared" si="181"/>
        <v/>
      </c>
      <c r="GS647" s="2945" t="str">
        <f t="shared" si="182"/>
        <v/>
      </c>
      <c r="GT647" s="2945" t="str">
        <f t="shared" si="183"/>
        <v/>
      </c>
      <c r="GU647" s="2945" t="str">
        <f t="shared" si="184"/>
        <v/>
      </c>
      <c r="GV647" s="2945" t="str">
        <f t="shared" si="185"/>
        <v/>
      </c>
      <c r="GW647" s="2945" t="str">
        <f t="shared" si="186"/>
        <v/>
      </c>
      <c r="GX647" s="2945" t="str">
        <f t="shared" si="187"/>
        <v/>
      </c>
      <c r="GY647" s="2945" t="str">
        <f t="shared" si="188"/>
        <v/>
      </c>
      <c r="GZ647" s="2945" t="str">
        <f t="shared" si="189"/>
        <v/>
      </c>
      <c r="HA647" s="2945" t="str">
        <f t="shared" si="190"/>
        <v/>
      </c>
      <c r="HB647" s="2945" t="str">
        <f t="shared" si="191"/>
        <v/>
      </c>
      <c r="HC647" s="2945" t="str">
        <f t="shared" si="192"/>
        <v/>
      </c>
      <c r="HD647" s="2945" t="str">
        <f t="shared" si="193"/>
        <v/>
      </c>
      <c r="HE647" s="2945" t="str">
        <f t="shared" si="194"/>
        <v/>
      </c>
      <c r="HF647" s="2945" t="str">
        <f t="shared" si="195"/>
        <v/>
      </c>
      <c r="HG647" s="2945" t="str">
        <f t="shared" si="196"/>
        <v/>
      </c>
      <c r="HH647" s="2945" t="str">
        <f t="shared" si="197"/>
        <v/>
      </c>
      <c r="HI647" s="2945" t="str">
        <f t="shared" si="198"/>
        <v/>
      </c>
      <c r="HJ647" s="2945" t="str">
        <f t="shared" si="199"/>
        <v/>
      </c>
      <c r="HK647" s="2945" t="str">
        <f t="shared" si="200"/>
        <v/>
      </c>
      <c r="HL647" s="2945" t="str">
        <f t="shared" si="201"/>
        <v/>
      </c>
      <c r="HM647" s="2945" t="str">
        <f t="shared" si="202"/>
        <v/>
      </c>
      <c r="HN647" s="2945" t="str">
        <f t="shared" si="203"/>
        <v/>
      </c>
      <c r="HO647" s="2945" t="str">
        <f t="shared" si="204"/>
        <v/>
      </c>
      <c r="HP647" s="2945" t="str">
        <f t="shared" si="205"/>
        <v/>
      </c>
      <c r="HQ647" s="2945" t="str">
        <f t="shared" si="206"/>
        <v/>
      </c>
      <c r="HR647" s="2945" t="str">
        <f t="shared" si="207"/>
        <v/>
      </c>
      <c r="HS647" s="2945" t="str">
        <f t="shared" si="208"/>
        <v/>
      </c>
      <c r="HT647" s="2945" t="str">
        <f t="shared" si="209"/>
        <v/>
      </c>
      <c r="HU647" s="2945" t="str">
        <f t="shared" si="210"/>
        <v/>
      </c>
      <c r="HV647" s="2945" t="str">
        <f t="shared" si="211"/>
        <v/>
      </c>
      <c r="HW647" s="2945" t="str">
        <f t="shared" si="212"/>
        <v/>
      </c>
      <c r="HX647" s="2945" t="str">
        <f t="shared" si="213"/>
        <v/>
      </c>
      <c r="HY647" s="2945" t="str">
        <f t="shared" si="214"/>
        <v/>
      </c>
      <c r="HZ647" s="2945" t="str">
        <f t="shared" si="215"/>
        <v/>
      </c>
      <c r="IA647" s="2945" t="str">
        <f t="shared" si="216"/>
        <v/>
      </c>
      <c r="IB647" s="2945" t="str">
        <f t="shared" si="217"/>
        <v/>
      </c>
      <c r="IC647" s="2911" t="str">
        <f t="shared" si="218"/>
        <v/>
      </c>
      <c r="ID647" s="2911" t="str">
        <f t="shared" si="219"/>
        <v/>
      </c>
      <c r="IE647" s="2911" t="str">
        <f t="shared" si="220"/>
        <v/>
      </c>
      <c r="IF647" s="2911" t="str">
        <f t="shared" si="221"/>
        <v/>
      </c>
      <c r="IG647" s="2911" t="str">
        <f t="shared" si="222"/>
        <v/>
      </c>
      <c r="IH647" s="926" t="str">
        <f t="shared" si="223"/>
        <v/>
      </c>
      <c r="II647" s="926" t="str">
        <f t="shared" si="224"/>
        <v/>
      </c>
      <c r="IJ647" s="926" t="str">
        <f t="shared" si="225"/>
        <v/>
      </c>
      <c r="IK647" s="926" t="str">
        <f t="shared" si="226"/>
        <v/>
      </c>
      <c r="IL647" s="926" t="str">
        <f t="shared" si="227"/>
        <v/>
      </c>
      <c r="IM647" s="926" t="str">
        <f t="shared" si="228"/>
        <v/>
      </c>
      <c r="IN647" s="926" t="str">
        <f t="shared" si="229"/>
        <v/>
      </c>
      <c r="IO647" s="926" t="str">
        <f t="shared" si="230"/>
        <v/>
      </c>
      <c r="IP647" s="926" t="str">
        <f t="shared" si="231"/>
        <v/>
      </c>
      <c r="IQ647" s="926" t="str">
        <f t="shared" si="232"/>
        <v/>
      </c>
      <c r="IR647" s="926" t="str">
        <f t="shared" si="233"/>
        <v/>
      </c>
      <c r="IS647" s="926" t="str">
        <f t="shared" si="234"/>
        <v/>
      </c>
      <c r="IT647" s="926" t="str">
        <f t="shared" si="235"/>
        <v/>
      </c>
      <c r="IU647" s="926" t="str">
        <f t="shared" si="236"/>
        <v/>
      </c>
      <c r="IV647" s="926" t="str">
        <f t="shared" si="237"/>
        <v/>
      </c>
      <c r="IW647" s="926" t="str">
        <f t="shared" si="238"/>
        <v/>
      </c>
      <c r="IX647" s="926" t="str">
        <f t="shared" si="239"/>
        <v/>
      </c>
      <c r="IY647" s="926" t="str">
        <f t="shared" si="240"/>
        <v/>
      </c>
      <c r="IZ647" s="926" t="str">
        <f t="shared" si="241"/>
        <v/>
      </c>
      <c r="JA647" s="926" t="str">
        <f t="shared" si="242"/>
        <v/>
      </c>
      <c r="JB647" s="2909">
        <f t="shared" si="243"/>
        <v>0</v>
      </c>
      <c r="JC647" s="2909">
        <f t="shared" si="244"/>
        <v>0</v>
      </c>
      <c r="JD647" s="2909">
        <f t="shared" si="245"/>
        <v>0</v>
      </c>
      <c r="JE647" s="2909">
        <f t="shared" si="246"/>
        <v>0</v>
      </c>
      <c r="JF647" s="2909">
        <f t="shared" si="247"/>
        <v>0</v>
      </c>
      <c r="JG647" s="2909">
        <f t="shared" si="248"/>
        <v>0</v>
      </c>
      <c r="JH647" s="2909">
        <f t="shared" si="249"/>
        <v>0</v>
      </c>
      <c r="JI647" s="2909">
        <f t="shared" si="250"/>
        <v>0</v>
      </c>
      <c r="JJ647" s="2909">
        <f t="shared" si="251"/>
        <v>0</v>
      </c>
      <c r="JK647" s="2909">
        <f t="shared" si="252"/>
        <v>0</v>
      </c>
      <c r="JL647" s="2909">
        <f t="shared" si="253"/>
        <v>0</v>
      </c>
      <c r="JM647" s="2909">
        <f t="shared" si="254"/>
        <v>0</v>
      </c>
      <c r="JN647" s="2909">
        <f t="shared" si="255"/>
        <v>0</v>
      </c>
      <c r="JO647" s="2909">
        <f t="shared" si="256"/>
        <v>0</v>
      </c>
      <c r="JP647" s="2909">
        <f t="shared" si="257"/>
        <v>0</v>
      </c>
    </row>
    <row r="648" spans="1:276" ht="12" customHeight="1">
      <c r="A648" s="2924" t="str">
        <f t="shared" si="0"/>
        <v/>
      </c>
      <c r="B648" s="2936" t="str">
        <f>'Part VI-Revenues &amp; Expenses'!B28</f>
        <v>&lt;&lt;Select&gt;&gt;</v>
      </c>
      <c r="C648" s="2937">
        <f>'Part VI-Revenues &amp; Expenses'!C28</f>
        <v>0</v>
      </c>
      <c r="D648" s="2938">
        <f>'Part VI-Revenues &amp; Expenses'!D28</f>
        <v>0</v>
      </c>
      <c r="E648" s="2939">
        <f>'Part VI-Revenues &amp; Expenses'!E28</f>
        <v>0</v>
      </c>
      <c r="F648" s="2939">
        <f>'Part VI-Revenues &amp; Expenses'!F28</f>
        <v>0</v>
      </c>
      <c r="G648" s="2939">
        <f>'Part VI-Revenues &amp; Expenses'!G28</f>
        <v>0</v>
      </c>
      <c r="H648" s="2939">
        <f>'Part VI-Revenues &amp; Expenses'!H28</f>
        <v>0</v>
      </c>
      <c r="I648" s="2939">
        <f>'Part VI-Revenues &amp; Expenses'!I28</f>
        <v>0</v>
      </c>
      <c r="J648" s="2940">
        <f>'Part VI-Revenues &amp; Expenses'!J28</f>
        <v>0</v>
      </c>
      <c r="K648" s="2941">
        <f t="shared" si="1"/>
        <v>0</v>
      </c>
      <c r="L648" s="2941">
        <f t="shared" si="2"/>
        <v>0</v>
      </c>
      <c r="M648" s="2918">
        <f>'Part VI-Revenues &amp; Expenses'!M28</f>
        <v>0</v>
      </c>
      <c r="N648" s="2918">
        <f>'Part VI-Revenues &amp; Expenses'!N28</f>
        <v>0</v>
      </c>
      <c r="O648" s="2918">
        <f>'Part VI-Revenues &amp; Expenses'!O28</f>
        <v>0</v>
      </c>
      <c r="P648" s="2918">
        <f>'Part VI-Revenues &amp; Expenses'!P28</f>
        <v>0</v>
      </c>
      <c r="Q648" s="2942">
        <f>IF(H648="","",P648/($O$626*VLOOKUP(C648,'DCA Underwriting Assumptions'!$J$118:$K$123,2,FALSE)))</f>
        <v>0</v>
      </c>
      <c r="R648" s="2943"/>
      <c r="S648" s="2942"/>
      <c r="T648" s="2944"/>
      <c r="U648" s="2944"/>
      <c r="V648" s="926" t="str">
        <f t="shared" si="3"/>
        <v/>
      </c>
      <c r="W648" s="926" t="str">
        <f t="shared" si="4"/>
        <v/>
      </c>
      <c r="X648" s="926" t="str">
        <f t="shared" si="5"/>
        <v/>
      </c>
      <c r="Y648" s="926" t="str">
        <f t="shared" si="6"/>
        <v/>
      </c>
      <c r="Z648" s="926" t="str">
        <f t="shared" si="7"/>
        <v/>
      </c>
      <c r="AA648" s="926" t="str">
        <f t="shared" si="8"/>
        <v/>
      </c>
      <c r="AB648" s="926" t="str">
        <f t="shared" si="9"/>
        <v/>
      </c>
      <c r="AC648" s="926" t="str">
        <f t="shared" si="10"/>
        <v/>
      </c>
      <c r="AD648" s="926" t="str">
        <f t="shared" si="11"/>
        <v/>
      </c>
      <c r="AE648" s="926" t="str">
        <f t="shared" si="12"/>
        <v/>
      </c>
      <c r="AF648" s="926" t="str">
        <f t="shared" si="13"/>
        <v/>
      </c>
      <c r="AG648" s="926" t="str">
        <f t="shared" si="14"/>
        <v/>
      </c>
      <c r="AH648" s="926" t="str">
        <f t="shared" si="15"/>
        <v/>
      </c>
      <c r="AI648" s="926" t="str">
        <f t="shared" si="16"/>
        <v/>
      </c>
      <c r="AJ648" s="926" t="str">
        <f t="shared" si="17"/>
        <v/>
      </c>
      <c r="AK648" s="926" t="str">
        <f t="shared" si="18"/>
        <v/>
      </c>
      <c r="AL648" s="926" t="str">
        <f t="shared" si="19"/>
        <v/>
      </c>
      <c r="AM648" s="926" t="str">
        <f t="shared" si="20"/>
        <v/>
      </c>
      <c r="AN648" s="926" t="str">
        <f t="shared" si="21"/>
        <v/>
      </c>
      <c r="AO648" s="926" t="str">
        <f t="shared" si="22"/>
        <v/>
      </c>
      <c r="AP648" s="926" t="str">
        <f t="shared" si="23"/>
        <v/>
      </c>
      <c r="AQ648" s="926" t="str">
        <f t="shared" si="24"/>
        <v/>
      </c>
      <c r="AR648" s="926" t="str">
        <f t="shared" si="25"/>
        <v/>
      </c>
      <c r="AS648" s="926" t="str">
        <f t="shared" si="26"/>
        <v/>
      </c>
      <c r="AT648" s="926" t="str">
        <f t="shared" si="27"/>
        <v/>
      </c>
      <c r="AU648" s="926" t="str">
        <f t="shared" si="28"/>
        <v/>
      </c>
      <c r="AV648" s="926" t="str">
        <f t="shared" si="29"/>
        <v/>
      </c>
      <c r="AW648" s="926" t="str">
        <f t="shared" si="30"/>
        <v/>
      </c>
      <c r="AX648" s="926" t="str">
        <f t="shared" si="31"/>
        <v/>
      </c>
      <c r="AY648" s="926" t="str">
        <f t="shared" si="32"/>
        <v/>
      </c>
      <c r="AZ648" s="926" t="str">
        <f t="shared" si="33"/>
        <v/>
      </c>
      <c r="BA648" s="926" t="str">
        <f t="shared" si="34"/>
        <v/>
      </c>
      <c r="BB648" s="926" t="str">
        <f t="shared" si="35"/>
        <v/>
      </c>
      <c r="BC648" s="926" t="str">
        <f t="shared" si="36"/>
        <v/>
      </c>
      <c r="BD648" s="926" t="str">
        <f t="shared" si="37"/>
        <v/>
      </c>
      <c r="BE648" s="926" t="str">
        <f t="shared" si="38"/>
        <v/>
      </c>
      <c r="BF648" s="926" t="str">
        <f t="shared" si="39"/>
        <v/>
      </c>
      <c r="BG648" s="926" t="str">
        <f t="shared" si="40"/>
        <v/>
      </c>
      <c r="BH648" s="926" t="str">
        <f t="shared" si="41"/>
        <v/>
      </c>
      <c r="BI648" s="926" t="str">
        <f t="shared" si="42"/>
        <v/>
      </c>
      <c r="BJ648" s="926" t="str">
        <f t="shared" si="43"/>
        <v/>
      </c>
      <c r="BK648" s="926" t="str">
        <f t="shared" si="44"/>
        <v/>
      </c>
      <c r="BL648" s="926" t="str">
        <f t="shared" si="45"/>
        <v/>
      </c>
      <c r="BM648" s="926" t="str">
        <f t="shared" si="46"/>
        <v/>
      </c>
      <c r="BN648" s="926" t="str">
        <f t="shared" si="47"/>
        <v/>
      </c>
      <c r="BO648" s="926" t="str">
        <f t="shared" si="48"/>
        <v/>
      </c>
      <c r="BP648" s="926" t="str">
        <f t="shared" si="49"/>
        <v/>
      </c>
      <c r="BQ648" s="926" t="str">
        <f t="shared" si="50"/>
        <v/>
      </c>
      <c r="BR648" s="926" t="str">
        <f t="shared" si="51"/>
        <v/>
      </c>
      <c r="BS648" s="926" t="str">
        <f t="shared" si="52"/>
        <v/>
      </c>
      <c r="BT648" s="926" t="str">
        <f t="shared" si="53"/>
        <v/>
      </c>
      <c r="BU648" s="926" t="str">
        <f t="shared" si="54"/>
        <v/>
      </c>
      <c r="BV648" s="926" t="str">
        <f t="shared" si="55"/>
        <v/>
      </c>
      <c r="BW648" s="926" t="str">
        <f t="shared" si="56"/>
        <v/>
      </c>
      <c r="BX648" s="926" t="str">
        <f t="shared" si="57"/>
        <v/>
      </c>
      <c r="BY648" s="926" t="str">
        <f t="shared" si="58"/>
        <v/>
      </c>
      <c r="BZ648" s="926" t="str">
        <f t="shared" si="59"/>
        <v/>
      </c>
      <c r="CA648" s="926" t="str">
        <f t="shared" si="60"/>
        <v/>
      </c>
      <c r="CB648" s="926" t="str">
        <f t="shared" si="61"/>
        <v/>
      </c>
      <c r="CC648" s="926" t="str">
        <f t="shared" si="62"/>
        <v/>
      </c>
      <c r="CD648" s="926" t="str">
        <f t="shared" si="63"/>
        <v/>
      </c>
      <c r="CE648" s="926" t="str">
        <f t="shared" si="64"/>
        <v/>
      </c>
      <c r="CF648" s="926" t="str">
        <f t="shared" si="65"/>
        <v/>
      </c>
      <c r="CG648" s="926" t="str">
        <f t="shared" si="66"/>
        <v/>
      </c>
      <c r="CH648" s="926" t="str">
        <f t="shared" si="67"/>
        <v/>
      </c>
      <c r="CI648" s="926" t="str">
        <f t="shared" si="68"/>
        <v/>
      </c>
      <c r="CJ648" s="926" t="str">
        <f t="shared" si="69"/>
        <v/>
      </c>
      <c r="CK648" s="926" t="str">
        <f t="shared" si="70"/>
        <v/>
      </c>
      <c r="CL648" s="926" t="str">
        <f t="shared" si="71"/>
        <v/>
      </c>
      <c r="CM648" s="926" t="str">
        <f t="shared" si="72"/>
        <v/>
      </c>
      <c r="CN648" s="926" t="str">
        <f t="shared" si="73"/>
        <v/>
      </c>
      <c r="CO648" s="926" t="str">
        <f t="shared" si="74"/>
        <v/>
      </c>
      <c r="CP648" s="926" t="str">
        <f t="shared" si="75"/>
        <v/>
      </c>
      <c r="CQ648" s="926" t="str">
        <f t="shared" si="76"/>
        <v/>
      </c>
      <c r="CR648" s="926" t="str">
        <f t="shared" si="77"/>
        <v/>
      </c>
      <c r="CS648" s="926" t="str">
        <f t="shared" si="78"/>
        <v/>
      </c>
      <c r="CT648" s="926" t="str">
        <f t="shared" si="79"/>
        <v/>
      </c>
      <c r="CU648" s="926" t="str">
        <f t="shared" si="80"/>
        <v/>
      </c>
      <c r="CV648" s="926" t="str">
        <f t="shared" si="81"/>
        <v/>
      </c>
      <c r="CW648" s="926" t="str">
        <f t="shared" si="82"/>
        <v/>
      </c>
      <c r="CX648" s="926" t="str">
        <f t="shared" si="83"/>
        <v/>
      </c>
      <c r="CY648" s="926" t="str">
        <f t="shared" si="84"/>
        <v/>
      </c>
      <c r="CZ648" s="926" t="str">
        <f t="shared" si="85"/>
        <v/>
      </c>
      <c r="DA648" s="926" t="str">
        <f t="shared" si="86"/>
        <v/>
      </c>
      <c r="DB648" s="926" t="str">
        <f t="shared" si="87"/>
        <v/>
      </c>
      <c r="DC648" s="926" t="str">
        <f t="shared" si="88"/>
        <v/>
      </c>
      <c r="DD648" s="926" t="str">
        <f t="shared" si="89"/>
        <v/>
      </c>
      <c r="DE648" s="926" t="str">
        <f t="shared" si="90"/>
        <v/>
      </c>
      <c r="DF648" s="926" t="str">
        <f t="shared" si="91"/>
        <v/>
      </c>
      <c r="DG648" s="926" t="str">
        <f t="shared" si="92"/>
        <v/>
      </c>
      <c r="DH648" s="926" t="str">
        <f t="shared" si="93"/>
        <v/>
      </c>
      <c r="DI648" s="926" t="str">
        <f t="shared" si="94"/>
        <v/>
      </c>
      <c r="DJ648" s="926" t="str">
        <f t="shared" si="95"/>
        <v/>
      </c>
      <c r="DK648" s="926" t="str">
        <f t="shared" si="96"/>
        <v/>
      </c>
      <c r="DL648" s="926" t="str">
        <f t="shared" si="97"/>
        <v/>
      </c>
      <c r="DM648" s="926" t="str">
        <f t="shared" si="98"/>
        <v/>
      </c>
      <c r="DN648" s="926" t="str">
        <f t="shared" si="99"/>
        <v/>
      </c>
      <c r="DO648" s="926" t="str">
        <f t="shared" si="100"/>
        <v/>
      </c>
      <c r="DP648" s="926" t="str">
        <f t="shared" si="101"/>
        <v/>
      </c>
      <c r="DQ648" s="926" t="str">
        <f t="shared" si="102"/>
        <v/>
      </c>
      <c r="DR648" s="926" t="str">
        <f t="shared" si="103"/>
        <v/>
      </c>
      <c r="DS648" s="926" t="str">
        <f t="shared" si="104"/>
        <v/>
      </c>
      <c r="DT648" s="926" t="str">
        <f t="shared" si="105"/>
        <v/>
      </c>
      <c r="DU648" s="926" t="str">
        <f t="shared" si="106"/>
        <v/>
      </c>
      <c r="DV648" s="926" t="str">
        <f t="shared" si="107"/>
        <v/>
      </c>
      <c r="DW648" s="926" t="str">
        <f t="shared" si="108"/>
        <v/>
      </c>
      <c r="DX648" s="926" t="str">
        <f t="shared" si="109"/>
        <v/>
      </c>
      <c r="DY648" s="926" t="str">
        <f t="shared" si="110"/>
        <v/>
      </c>
      <c r="DZ648" s="926" t="str">
        <f t="shared" si="111"/>
        <v/>
      </c>
      <c r="EA648" s="926" t="str">
        <f t="shared" si="112"/>
        <v/>
      </c>
      <c r="EB648" s="926" t="str">
        <f t="shared" si="113"/>
        <v/>
      </c>
      <c r="EC648" s="926" t="str">
        <f t="shared" si="114"/>
        <v/>
      </c>
      <c r="ED648" s="926" t="str">
        <f t="shared" si="115"/>
        <v/>
      </c>
      <c r="EE648" s="926" t="str">
        <f t="shared" si="116"/>
        <v/>
      </c>
      <c r="EF648" s="926" t="str">
        <f t="shared" si="117"/>
        <v/>
      </c>
      <c r="EG648" s="926" t="str">
        <f t="shared" si="118"/>
        <v/>
      </c>
      <c r="EH648" s="926" t="str">
        <f t="shared" si="119"/>
        <v/>
      </c>
      <c r="EI648" s="926" t="str">
        <f t="shared" si="120"/>
        <v/>
      </c>
      <c r="EJ648" s="926" t="str">
        <f t="shared" si="121"/>
        <v/>
      </c>
      <c r="EK648" s="926" t="str">
        <f t="shared" si="122"/>
        <v/>
      </c>
      <c r="EL648" s="926" t="str">
        <f t="shared" si="123"/>
        <v/>
      </c>
      <c r="EM648" s="926" t="str">
        <f t="shared" si="124"/>
        <v/>
      </c>
      <c r="EN648" s="926" t="str">
        <f t="shared" si="125"/>
        <v/>
      </c>
      <c r="EO648" s="926" t="str">
        <f t="shared" si="126"/>
        <v/>
      </c>
      <c r="EP648" s="926" t="str">
        <f t="shared" si="127"/>
        <v/>
      </c>
      <c r="EQ648" s="926" t="str">
        <f t="shared" si="128"/>
        <v/>
      </c>
      <c r="ER648" s="926" t="str">
        <f t="shared" si="129"/>
        <v/>
      </c>
      <c r="ES648" s="926" t="str">
        <f t="shared" si="130"/>
        <v/>
      </c>
      <c r="ET648" s="926" t="str">
        <f t="shared" si="131"/>
        <v/>
      </c>
      <c r="EU648" s="926" t="str">
        <f t="shared" si="132"/>
        <v/>
      </c>
      <c r="EV648" s="2945" t="str">
        <f t="shared" si="133"/>
        <v/>
      </c>
      <c r="EW648" s="2945" t="str">
        <f t="shared" si="134"/>
        <v/>
      </c>
      <c r="EX648" s="2945" t="str">
        <f t="shared" si="135"/>
        <v/>
      </c>
      <c r="EY648" s="2945" t="str">
        <f t="shared" si="136"/>
        <v/>
      </c>
      <c r="EZ648" s="2945" t="str">
        <f t="shared" si="137"/>
        <v/>
      </c>
      <c r="FA648" s="2945" t="str">
        <f t="shared" si="138"/>
        <v/>
      </c>
      <c r="FB648" s="2945" t="str">
        <f t="shared" si="139"/>
        <v/>
      </c>
      <c r="FC648" s="2945" t="str">
        <f t="shared" si="140"/>
        <v/>
      </c>
      <c r="FD648" s="2945" t="str">
        <f t="shared" si="141"/>
        <v/>
      </c>
      <c r="FE648" s="2945" t="str">
        <f t="shared" si="142"/>
        <v/>
      </c>
      <c r="FF648" s="2945" t="str">
        <f t="shared" si="143"/>
        <v/>
      </c>
      <c r="FG648" s="2945" t="str">
        <f t="shared" si="144"/>
        <v/>
      </c>
      <c r="FH648" s="2945" t="str">
        <f t="shared" si="145"/>
        <v/>
      </c>
      <c r="FI648" s="2945" t="str">
        <f t="shared" si="146"/>
        <v/>
      </c>
      <c r="FJ648" s="2945" t="str">
        <f t="shared" si="147"/>
        <v/>
      </c>
      <c r="FK648" s="2945" t="str">
        <f t="shared" si="148"/>
        <v/>
      </c>
      <c r="FL648" s="2945" t="str">
        <f t="shared" si="149"/>
        <v/>
      </c>
      <c r="FM648" s="2945" t="str">
        <f t="shared" si="150"/>
        <v/>
      </c>
      <c r="FN648" s="2945" t="str">
        <f t="shared" si="151"/>
        <v/>
      </c>
      <c r="FO648" s="2945" t="str">
        <f t="shared" si="152"/>
        <v/>
      </c>
      <c r="FP648" s="2945" t="str">
        <f t="shared" si="153"/>
        <v/>
      </c>
      <c r="FQ648" s="2945" t="str">
        <f t="shared" si="154"/>
        <v/>
      </c>
      <c r="FR648" s="2945" t="str">
        <f t="shared" si="155"/>
        <v/>
      </c>
      <c r="FS648" s="2945" t="str">
        <f t="shared" si="156"/>
        <v/>
      </c>
      <c r="FT648" s="2945" t="str">
        <f t="shared" si="157"/>
        <v/>
      </c>
      <c r="FU648" s="2945" t="str">
        <f t="shared" si="158"/>
        <v/>
      </c>
      <c r="FV648" s="2945" t="str">
        <f t="shared" si="159"/>
        <v/>
      </c>
      <c r="FW648" s="2945" t="str">
        <f t="shared" si="160"/>
        <v/>
      </c>
      <c r="FX648" s="2945" t="str">
        <f t="shared" si="161"/>
        <v/>
      </c>
      <c r="FY648" s="2945" t="str">
        <f t="shared" si="162"/>
        <v/>
      </c>
      <c r="FZ648" s="2945" t="str">
        <f t="shared" si="163"/>
        <v/>
      </c>
      <c r="GA648" s="2945" t="str">
        <f t="shared" si="164"/>
        <v/>
      </c>
      <c r="GB648" s="2945" t="str">
        <f t="shared" si="165"/>
        <v/>
      </c>
      <c r="GC648" s="2945" t="str">
        <f t="shared" si="166"/>
        <v/>
      </c>
      <c r="GD648" s="2945" t="str">
        <f t="shared" si="167"/>
        <v/>
      </c>
      <c r="GE648" s="2945" t="str">
        <f t="shared" si="168"/>
        <v/>
      </c>
      <c r="GF648" s="2945" t="str">
        <f t="shared" si="169"/>
        <v/>
      </c>
      <c r="GG648" s="2945" t="str">
        <f t="shared" si="170"/>
        <v/>
      </c>
      <c r="GH648" s="2945" t="str">
        <f t="shared" si="171"/>
        <v/>
      </c>
      <c r="GI648" s="2945" t="str">
        <f t="shared" si="172"/>
        <v/>
      </c>
      <c r="GJ648" s="2945" t="str">
        <f t="shared" si="173"/>
        <v/>
      </c>
      <c r="GK648" s="2945" t="str">
        <f t="shared" si="174"/>
        <v/>
      </c>
      <c r="GL648" s="2945" t="str">
        <f t="shared" si="175"/>
        <v/>
      </c>
      <c r="GM648" s="2945" t="str">
        <f t="shared" si="176"/>
        <v/>
      </c>
      <c r="GN648" s="2945" t="str">
        <f t="shared" si="177"/>
        <v/>
      </c>
      <c r="GO648" s="2945" t="str">
        <f t="shared" si="178"/>
        <v/>
      </c>
      <c r="GP648" s="2945" t="str">
        <f t="shared" si="179"/>
        <v/>
      </c>
      <c r="GQ648" s="2945" t="str">
        <f t="shared" si="180"/>
        <v/>
      </c>
      <c r="GR648" s="2945" t="str">
        <f t="shared" si="181"/>
        <v/>
      </c>
      <c r="GS648" s="2945" t="str">
        <f t="shared" si="182"/>
        <v/>
      </c>
      <c r="GT648" s="2945" t="str">
        <f t="shared" si="183"/>
        <v/>
      </c>
      <c r="GU648" s="2945" t="str">
        <f t="shared" si="184"/>
        <v/>
      </c>
      <c r="GV648" s="2945" t="str">
        <f t="shared" si="185"/>
        <v/>
      </c>
      <c r="GW648" s="2945" t="str">
        <f t="shared" si="186"/>
        <v/>
      </c>
      <c r="GX648" s="2945" t="str">
        <f t="shared" si="187"/>
        <v/>
      </c>
      <c r="GY648" s="2945" t="str">
        <f t="shared" si="188"/>
        <v/>
      </c>
      <c r="GZ648" s="2945" t="str">
        <f t="shared" si="189"/>
        <v/>
      </c>
      <c r="HA648" s="2945" t="str">
        <f t="shared" si="190"/>
        <v/>
      </c>
      <c r="HB648" s="2945" t="str">
        <f t="shared" si="191"/>
        <v/>
      </c>
      <c r="HC648" s="2945" t="str">
        <f t="shared" si="192"/>
        <v/>
      </c>
      <c r="HD648" s="2945" t="str">
        <f t="shared" si="193"/>
        <v/>
      </c>
      <c r="HE648" s="2945" t="str">
        <f t="shared" si="194"/>
        <v/>
      </c>
      <c r="HF648" s="2945" t="str">
        <f t="shared" si="195"/>
        <v/>
      </c>
      <c r="HG648" s="2945" t="str">
        <f t="shared" si="196"/>
        <v/>
      </c>
      <c r="HH648" s="2945" t="str">
        <f t="shared" si="197"/>
        <v/>
      </c>
      <c r="HI648" s="2945" t="str">
        <f t="shared" si="198"/>
        <v/>
      </c>
      <c r="HJ648" s="2945" t="str">
        <f t="shared" si="199"/>
        <v/>
      </c>
      <c r="HK648" s="2945" t="str">
        <f t="shared" si="200"/>
        <v/>
      </c>
      <c r="HL648" s="2945" t="str">
        <f t="shared" si="201"/>
        <v/>
      </c>
      <c r="HM648" s="2945" t="str">
        <f t="shared" si="202"/>
        <v/>
      </c>
      <c r="HN648" s="2945" t="str">
        <f t="shared" si="203"/>
        <v/>
      </c>
      <c r="HO648" s="2945" t="str">
        <f t="shared" si="204"/>
        <v/>
      </c>
      <c r="HP648" s="2945" t="str">
        <f t="shared" si="205"/>
        <v/>
      </c>
      <c r="HQ648" s="2945" t="str">
        <f t="shared" si="206"/>
        <v/>
      </c>
      <c r="HR648" s="2945" t="str">
        <f t="shared" si="207"/>
        <v/>
      </c>
      <c r="HS648" s="2945" t="str">
        <f t="shared" si="208"/>
        <v/>
      </c>
      <c r="HT648" s="2945" t="str">
        <f t="shared" si="209"/>
        <v/>
      </c>
      <c r="HU648" s="2945" t="str">
        <f t="shared" si="210"/>
        <v/>
      </c>
      <c r="HV648" s="2945" t="str">
        <f t="shared" si="211"/>
        <v/>
      </c>
      <c r="HW648" s="2945" t="str">
        <f t="shared" si="212"/>
        <v/>
      </c>
      <c r="HX648" s="2945" t="str">
        <f t="shared" si="213"/>
        <v/>
      </c>
      <c r="HY648" s="2945" t="str">
        <f t="shared" si="214"/>
        <v/>
      </c>
      <c r="HZ648" s="2945" t="str">
        <f t="shared" si="215"/>
        <v/>
      </c>
      <c r="IA648" s="2945" t="str">
        <f t="shared" si="216"/>
        <v/>
      </c>
      <c r="IB648" s="2945" t="str">
        <f t="shared" si="217"/>
        <v/>
      </c>
      <c r="IC648" s="2911" t="str">
        <f t="shared" si="218"/>
        <v/>
      </c>
      <c r="ID648" s="2911" t="str">
        <f t="shared" si="219"/>
        <v/>
      </c>
      <c r="IE648" s="2911" t="str">
        <f t="shared" si="220"/>
        <v/>
      </c>
      <c r="IF648" s="2911" t="str">
        <f t="shared" si="221"/>
        <v/>
      </c>
      <c r="IG648" s="2911" t="str">
        <f t="shared" si="222"/>
        <v/>
      </c>
      <c r="IH648" s="926" t="str">
        <f t="shared" si="223"/>
        <v/>
      </c>
      <c r="II648" s="926" t="str">
        <f t="shared" si="224"/>
        <v/>
      </c>
      <c r="IJ648" s="926" t="str">
        <f t="shared" si="225"/>
        <v/>
      </c>
      <c r="IK648" s="926" t="str">
        <f t="shared" si="226"/>
        <v/>
      </c>
      <c r="IL648" s="926" t="str">
        <f t="shared" si="227"/>
        <v/>
      </c>
      <c r="IM648" s="926" t="str">
        <f t="shared" si="228"/>
        <v/>
      </c>
      <c r="IN648" s="926" t="str">
        <f t="shared" si="229"/>
        <v/>
      </c>
      <c r="IO648" s="926" t="str">
        <f t="shared" si="230"/>
        <v/>
      </c>
      <c r="IP648" s="926" t="str">
        <f t="shared" si="231"/>
        <v/>
      </c>
      <c r="IQ648" s="926" t="str">
        <f t="shared" si="232"/>
        <v/>
      </c>
      <c r="IR648" s="926" t="str">
        <f t="shared" si="233"/>
        <v/>
      </c>
      <c r="IS648" s="926" t="str">
        <f t="shared" si="234"/>
        <v/>
      </c>
      <c r="IT648" s="926" t="str">
        <f t="shared" si="235"/>
        <v/>
      </c>
      <c r="IU648" s="926" t="str">
        <f t="shared" si="236"/>
        <v/>
      </c>
      <c r="IV648" s="926" t="str">
        <f t="shared" si="237"/>
        <v/>
      </c>
      <c r="IW648" s="926" t="str">
        <f t="shared" si="238"/>
        <v/>
      </c>
      <c r="IX648" s="926" t="str">
        <f t="shared" si="239"/>
        <v/>
      </c>
      <c r="IY648" s="926" t="str">
        <f t="shared" si="240"/>
        <v/>
      </c>
      <c r="IZ648" s="926" t="str">
        <f t="shared" si="241"/>
        <v/>
      </c>
      <c r="JA648" s="926" t="str">
        <f t="shared" si="242"/>
        <v/>
      </c>
      <c r="JB648" s="2909">
        <f t="shared" si="243"/>
        <v>0</v>
      </c>
      <c r="JC648" s="2909">
        <f t="shared" si="244"/>
        <v>0</v>
      </c>
      <c r="JD648" s="2909">
        <f t="shared" si="245"/>
        <v>0</v>
      </c>
      <c r="JE648" s="2909">
        <f t="shared" si="246"/>
        <v>0</v>
      </c>
      <c r="JF648" s="2909">
        <f t="shared" si="247"/>
        <v>0</v>
      </c>
      <c r="JG648" s="2909">
        <f t="shared" si="248"/>
        <v>0</v>
      </c>
      <c r="JH648" s="2909">
        <f t="shared" si="249"/>
        <v>0</v>
      </c>
      <c r="JI648" s="2909">
        <f t="shared" si="250"/>
        <v>0</v>
      </c>
      <c r="JJ648" s="2909">
        <f t="shared" si="251"/>
        <v>0</v>
      </c>
      <c r="JK648" s="2909">
        <f t="shared" si="252"/>
        <v>0</v>
      </c>
      <c r="JL648" s="2909">
        <f t="shared" si="253"/>
        <v>0</v>
      </c>
      <c r="JM648" s="2909">
        <f t="shared" si="254"/>
        <v>0</v>
      </c>
      <c r="JN648" s="2909">
        <f t="shared" si="255"/>
        <v>0</v>
      </c>
      <c r="JO648" s="2909">
        <f t="shared" si="256"/>
        <v>0</v>
      </c>
      <c r="JP648" s="2909">
        <f t="shared" si="257"/>
        <v>0</v>
      </c>
    </row>
    <row r="649" spans="1:276" ht="12" customHeight="1">
      <c r="A649" s="2924" t="str">
        <f t="shared" si="0"/>
        <v/>
      </c>
      <c r="B649" s="2936" t="str">
        <f>'Part VI-Revenues &amp; Expenses'!B29</f>
        <v>&lt;&lt;Select&gt;&gt;</v>
      </c>
      <c r="C649" s="2937">
        <f>'Part VI-Revenues &amp; Expenses'!C29</f>
        <v>0</v>
      </c>
      <c r="D649" s="2938">
        <f>'Part VI-Revenues &amp; Expenses'!D29</f>
        <v>0</v>
      </c>
      <c r="E649" s="2939">
        <f>'Part VI-Revenues &amp; Expenses'!E29</f>
        <v>0</v>
      </c>
      <c r="F649" s="2939">
        <f>'Part VI-Revenues &amp; Expenses'!F29</f>
        <v>0</v>
      </c>
      <c r="G649" s="2939">
        <f>'Part VI-Revenues &amp; Expenses'!G29</f>
        <v>0</v>
      </c>
      <c r="H649" s="2939">
        <f>'Part VI-Revenues &amp; Expenses'!H29</f>
        <v>0</v>
      </c>
      <c r="I649" s="2939">
        <f>'Part VI-Revenues &amp; Expenses'!I29</f>
        <v>0</v>
      </c>
      <c r="J649" s="2940">
        <f>'Part VI-Revenues &amp; Expenses'!J29</f>
        <v>0</v>
      </c>
      <c r="K649" s="2941">
        <f t="shared" si="1"/>
        <v>0</v>
      </c>
      <c r="L649" s="2941">
        <f t="shared" si="2"/>
        <v>0</v>
      </c>
      <c r="M649" s="2918">
        <f>'Part VI-Revenues &amp; Expenses'!M29</f>
        <v>0</v>
      </c>
      <c r="N649" s="2918">
        <f>'Part VI-Revenues &amp; Expenses'!N29</f>
        <v>0</v>
      </c>
      <c r="O649" s="2918">
        <f>'Part VI-Revenues &amp; Expenses'!O29</f>
        <v>0</v>
      </c>
      <c r="P649" s="2918">
        <f>'Part VI-Revenues &amp; Expenses'!P29</f>
        <v>0</v>
      </c>
      <c r="Q649" s="2942">
        <f>IF(H649="","",P649/($O$626*VLOOKUP(C649,'DCA Underwriting Assumptions'!$J$118:$K$123,2,FALSE)))</f>
        <v>0</v>
      </c>
      <c r="R649" s="2943"/>
      <c r="S649" s="2942"/>
      <c r="T649" s="2944"/>
      <c r="U649" s="2944"/>
      <c r="V649" s="926" t="str">
        <f t="shared" si="3"/>
        <v/>
      </c>
      <c r="W649" s="926" t="str">
        <f t="shared" si="4"/>
        <v/>
      </c>
      <c r="X649" s="926" t="str">
        <f t="shared" si="5"/>
        <v/>
      </c>
      <c r="Y649" s="926" t="str">
        <f t="shared" si="6"/>
        <v/>
      </c>
      <c r="Z649" s="926" t="str">
        <f t="shared" si="7"/>
        <v/>
      </c>
      <c r="AA649" s="926" t="str">
        <f t="shared" si="8"/>
        <v/>
      </c>
      <c r="AB649" s="926" t="str">
        <f t="shared" si="9"/>
        <v/>
      </c>
      <c r="AC649" s="926" t="str">
        <f t="shared" si="10"/>
        <v/>
      </c>
      <c r="AD649" s="926" t="str">
        <f t="shared" si="11"/>
        <v/>
      </c>
      <c r="AE649" s="926" t="str">
        <f t="shared" si="12"/>
        <v/>
      </c>
      <c r="AF649" s="926" t="str">
        <f t="shared" si="13"/>
        <v/>
      </c>
      <c r="AG649" s="926" t="str">
        <f t="shared" si="14"/>
        <v/>
      </c>
      <c r="AH649" s="926" t="str">
        <f t="shared" si="15"/>
        <v/>
      </c>
      <c r="AI649" s="926" t="str">
        <f t="shared" si="16"/>
        <v/>
      </c>
      <c r="AJ649" s="926" t="str">
        <f t="shared" si="17"/>
        <v/>
      </c>
      <c r="AK649" s="926" t="str">
        <f t="shared" si="18"/>
        <v/>
      </c>
      <c r="AL649" s="926" t="str">
        <f t="shared" si="19"/>
        <v/>
      </c>
      <c r="AM649" s="926" t="str">
        <f t="shared" si="20"/>
        <v/>
      </c>
      <c r="AN649" s="926" t="str">
        <f t="shared" si="21"/>
        <v/>
      </c>
      <c r="AO649" s="926" t="str">
        <f t="shared" si="22"/>
        <v/>
      </c>
      <c r="AP649" s="926" t="str">
        <f t="shared" si="23"/>
        <v/>
      </c>
      <c r="AQ649" s="926" t="str">
        <f t="shared" si="24"/>
        <v/>
      </c>
      <c r="AR649" s="926" t="str">
        <f t="shared" si="25"/>
        <v/>
      </c>
      <c r="AS649" s="926" t="str">
        <f t="shared" si="26"/>
        <v/>
      </c>
      <c r="AT649" s="926" t="str">
        <f t="shared" si="27"/>
        <v/>
      </c>
      <c r="AU649" s="926" t="str">
        <f t="shared" si="28"/>
        <v/>
      </c>
      <c r="AV649" s="926" t="str">
        <f t="shared" si="29"/>
        <v/>
      </c>
      <c r="AW649" s="926" t="str">
        <f t="shared" si="30"/>
        <v/>
      </c>
      <c r="AX649" s="926" t="str">
        <f t="shared" si="31"/>
        <v/>
      </c>
      <c r="AY649" s="926" t="str">
        <f t="shared" si="32"/>
        <v/>
      </c>
      <c r="AZ649" s="926" t="str">
        <f t="shared" si="33"/>
        <v/>
      </c>
      <c r="BA649" s="926" t="str">
        <f t="shared" si="34"/>
        <v/>
      </c>
      <c r="BB649" s="926" t="str">
        <f t="shared" si="35"/>
        <v/>
      </c>
      <c r="BC649" s="926" t="str">
        <f t="shared" si="36"/>
        <v/>
      </c>
      <c r="BD649" s="926" t="str">
        <f t="shared" si="37"/>
        <v/>
      </c>
      <c r="BE649" s="926" t="str">
        <f t="shared" si="38"/>
        <v/>
      </c>
      <c r="BF649" s="926" t="str">
        <f t="shared" si="39"/>
        <v/>
      </c>
      <c r="BG649" s="926" t="str">
        <f t="shared" si="40"/>
        <v/>
      </c>
      <c r="BH649" s="926" t="str">
        <f t="shared" si="41"/>
        <v/>
      </c>
      <c r="BI649" s="926" t="str">
        <f t="shared" si="42"/>
        <v/>
      </c>
      <c r="BJ649" s="926" t="str">
        <f t="shared" si="43"/>
        <v/>
      </c>
      <c r="BK649" s="926" t="str">
        <f t="shared" si="44"/>
        <v/>
      </c>
      <c r="BL649" s="926" t="str">
        <f t="shared" si="45"/>
        <v/>
      </c>
      <c r="BM649" s="926" t="str">
        <f t="shared" si="46"/>
        <v/>
      </c>
      <c r="BN649" s="926" t="str">
        <f t="shared" si="47"/>
        <v/>
      </c>
      <c r="BO649" s="926" t="str">
        <f t="shared" si="48"/>
        <v/>
      </c>
      <c r="BP649" s="926" t="str">
        <f t="shared" si="49"/>
        <v/>
      </c>
      <c r="BQ649" s="926" t="str">
        <f t="shared" si="50"/>
        <v/>
      </c>
      <c r="BR649" s="926" t="str">
        <f t="shared" si="51"/>
        <v/>
      </c>
      <c r="BS649" s="926" t="str">
        <f t="shared" si="52"/>
        <v/>
      </c>
      <c r="BT649" s="926" t="str">
        <f t="shared" si="53"/>
        <v/>
      </c>
      <c r="BU649" s="926" t="str">
        <f t="shared" si="54"/>
        <v/>
      </c>
      <c r="BV649" s="926" t="str">
        <f t="shared" si="55"/>
        <v/>
      </c>
      <c r="BW649" s="926" t="str">
        <f t="shared" si="56"/>
        <v/>
      </c>
      <c r="BX649" s="926" t="str">
        <f t="shared" si="57"/>
        <v/>
      </c>
      <c r="BY649" s="926" t="str">
        <f t="shared" si="58"/>
        <v/>
      </c>
      <c r="BZ649" s="926" t="str">
        <f t="shared" si="59"/>
        <v/>
      </c>
      <c r="CA649" s="926" t="str">
        <f t="shared" si="60"/>
        <v/>
      </c>
      <c r="CB649" s="926" t="str">
        <f t="shared" si="61"/>
        <v/>
      </c>
      <c r="CC649" s="926" t="str">
        <f t="shared" si="62"/>
        <v/>
      </c>
      <c r="CD649" s="926" t="str">
        <f t="shared" si="63"/>
        <v/>
      </c>
      <c r="CE649" s="926" t="str">
        <f t="shared" si="64"/>
        <v/>
      </c>
      <c r="CF649" s="926" t="str">
        <f t="shared" si="65"/>
        <v/>
      </c>
      <c r="CG649" s="926" t="str">
        <f t="shared" si="66"/>
        <v/>
      </c>
      <c r="CH649" s="926" t="str">
        <f t="shared" si="67"/>
        <v/>
      </c>
      <c r="CI649" s="926" t="str">
        <f t="shared" si="68"/>
        <v/>
      </c>
      <c r="CJ649" s="926" t="str">
        <f t="shared" si="69"/>
        <v/>
      </c>
      <c r="CK649" s="926" t="str">
        <f t="shared" si="70"/>
        <v/>
      </c>
      <c r="CL649" s="926" t="str">
        <f t="shared" si="71"/>
        <v/>
      </c>
      <c r="CM649" s="926" t="str">
        <f t="shared" si="72"/>
        <v/>
      </c>
      <c r="CN649" s="926" t="str">
        <f t="shared" si="73"/>
        <v/>
      </c>
      <c r="CO649" s="926" t="str">
        <f t="shared" si="74"/>
        <v/>
      </c>
      <c r="CP649" s="926" t="str">
        <f t="shared" si="75"/>
        <v/>
      </c>
      <c r="CQ649" s="926" t="str">
        <f t="shared" si="76"/>
        <v/>
      </c>
      <c r="CR649" s="926" t="str">
        <f t="shared" si="77"/>
        <v/>
      </c>
      <c r="CS649" s="926" t="str">
        <f t="shared" si="78"/>
        <v/>
      </c>
      <c r="CT649" s="926" t="str">
        <f t="shared" si="79"/>
        <v/>
      </c>
      <c r="CU649" s="926" t="str">
        <f t="shared" si="80"/>
        <v/>
      </c>
      <c r="CV649" s="926" t="str">
        <f t="shared" si="81"/>
        <v/>
      </c>
      <c r="CW649" s="926" t="str">
        <f t="shared" si="82"/>
        <v/>
      </c>
      <c r="CX649" s="926" t="str">
        <f t="shared" si="83"/>
        <v/>
      </c>
      <c r="CY649" s="926" t="str">
        <f t="shared" si="84"/>
        <v/>
      </c>
      <c r="CZ649" s="926" t="str">
        <f t="shared" si="85"/>
        <v/>
      </c>
      <c r="DA649" s="926" t="str">
        <f t="shared" si="86"/>
        <v/>
      </c>
      <c r="DB649" s="926" t="str">
        <f t="shared" si="87"/>
        <v/>
      </c>
      <c r="DC649" s="926" t="str">
        <f t="shared" si="88"/>
        <v/>
      </c>
      <c r="DD649" s="926" t="str">
        <f t="shared" si="89"/>
        <v/>
      </c>
      <c r="DE649" s="926" t="str">
        <f t="shared" si="90"/>
        <v/>
      </c>
      <c r="DF649" s="926" t="str">
        <f t="shared" si="91"/>
        <v/>
      </c>
      <c r="DG649" s="926" t="str">
        <f t="shared" si="92"/>
        <v/>
      </c>
      <c r="DH649" s="926" t="str">
        <f t="shared" si="93"/>
        <v/>
      </c>
      <c r="DI649" s="926" t="str">
        <f t="shared" si="94"/>
        <v/>
      </c>
      <c r="DJ649" s="926" t="str">
        <f t="shared" si="95"/>
        <v/>
      </c>
      <c r="DK649" s="926" t="str">
        <f t="shared" si="96"/>
        <v/>
      </c>
      <c r="DL649" s="926" t="str">
        <f t="shared" si="97"/>
        <v/>
      </c>
      <c r="DM649" s="926" t="str">
        <f t="shared" si="98"/>
        <v/>
      </c>
      <c r="DN649" s="926" t="str">
        <f t="shared" si="99"/>
        <v/>
      </c>
      <c r="DO649" s="926" t="str">
        <f t="shared" si="100"/>
        <v/>
      </c>
      <c r="DP649" s="926" t="str">
        <f t="shared" si="101"/>
        <v/>
      </c>
      <c r="DQ649" s="926" t="str">
        <f t="shared" si="102"/>
        <v/>
      </c>
      <c r="DR649" s="926" t="str">
        <f t="shared" si="103"/>
        <v/>
      </c>
      <c r="DS649" s="926" t="str">
        <f t="shared" si="104"/>
        <v/>
      </c>
      <c r="DT649" s="926" t="str">
        <f t="shared" si="105"/>
        <v/>
      </c>
      <c r="DU649" s="926" t="str">
        <f t="shared" si="106"/>
        <v/>
      </c>
      <c r="DV649" s="926" t="str">
        <f t="shared" si="107"/>
        <v/>
      </c>
      <c r="DW649" s="926" t="str">
        <f t="shared" si="108"/>
        <v/>
      </c>
      <c r="DX649" s="926" t="str">
        <f t="shared" si="109"/>
        <v/>
      </c>
      <c r="DY649" s="926" t="str">
        <f t="shared" si="110"/>
        <v/>
      </c>
      <c r="DZ649" s="926" t="str">
        <f t="shared" si="111"/>
        <v/>
      </c>
      <c r="EA649" s="926" t="str">
        <f t="shared" si="112"/>
        <v/>
      </c>
      <c r="EB649" s="926" t="str">
        <f t="shared" si="113"/>
        <v/>
      </c>
      <c r="EC649" s="926" t="str">
        <f t="shared" si="114"/>
        <v/>
      </c>
      <c r="ED649" s="926" t="str">
        <f t="shared" si="115"/>
        <v/>
      </c>
      <c r="EE649" s="926" t="str">
        <f t="shared" si="116"/>
        <v/>
      </c>
      <c r="EF649" s="926" t="str">
        <f t="shared" si="117"/>
        <v/>
      </c>
      <c r="EG649" s="926" t="str">
        <f t="shared" si="118"/>
        <v/>
      </c>
      <c r="EH649" s="926" t="str">
        <f t="shared" si="119"/>
        <v/>
      </c>
      <c r="EI649" s="926" t="str">
        <f t="shared" si="120"/>
        <v/>
      </c>
      <c r="EJ649" s="926" t="str">
        <f t="shared" si="121"/>
        <v/>
      </c>
      <c r="EK649" s="926" t="str">
        <f t="shared" si="122"/>
        <v/>
      </c>
      <c r="EL649" s="926" t="str">
        <f t="shared" si="123"/>
        <v/>
      </c>
      <c r="EM649" s="926" t="str">
        <f t="shared" si="124"/>
        <v/>
      </c>
      <c r="EN649" s="926" t="str">
        <f t="shared" si="125"/>
        <v/>
      </c>
      <c r="EO649" s="926" t="str">
        <f t="shared" si="126"/>
        <v/>
      </c>
      <c r="EP649" s="926" t="str">
        <f t="shared" si="127"/>
        <v/>
      </c>
      <c r="EQ649" s="926" t="str">
        <f t="shared" si="128"/>
        <v/>
      </c>
      <c r="ER649" s="926" t="str">
        <f t="shared" si="129"/>
        <v/>
      </c>
      <c r="ES649" s="926" t="str">
        <f t="shared" si="130"/>
        <v/>
      </c>
      <c r="ET649" s="926" t="str">
        <f t="shared" si="131"/>
        <v/>
      </c>
      <c r="EU649" s="926" t="str">
        <f t="shared" si="132"/>
        <v/>
      </c>
      <c r="EV649" s="2945" t="str">
        <f t="shared" si="133"/>
        <v/>
      </c>
      <c r="EW649" s="2945" t="str">
        <f t="shared" si="134"/>
        <v/>
      </c>
      <c r="EX649" s="2945" t="str">
        <f t="shared" si="135"/>
        <v/>
      </c>
      <c r="EY649" s="2945" t="str">
        <f t="shared" si="136"/>
        <v/>
      </c>
      <c r="EZ649" s="2945" t="str">
        <f t="shared" si="137"/>
        <v/>
      </c>
      <c r="FA649" s="2945" t="str">
        <f t="shared" si="138"/>
        <v/>
      </c>
      <c r="FB649" s="2945" t="str">
        <f t="shared" si="139"/>
        <v/>
      </c>
      <c r="FC649" s="2945" t="str">
        <f t="shared" si="140"/>
        <v/>
      </c>
      <c r="FD649" s="2945" t="str">
        <f t="shared" si="141"/>
        <v/>
      </c>
      <c r="FE649" s="2945" t="str">
        <f t="shared" si="142"/>
        <v/>
      </c>
      <c r="FF649" s="2945" t="str">
        <f t="shared" si="143"/>
        <v/>
      </c>
      <c r="FG649" s="2945" t="str">
        <f t="shared" si="144"/>
        <v/>
      </c>
      <c r="FH649" s="2945" t="str">
        <f t="shared" si="145"/>
        <v/>
      </c>
      <c r="FI649" s="2945" t="str">
        <f t="shared" si="146"/>
        <v/>
      </c>
      <c r="FJ649" s="2945" t="str">
        <f t="shared" si="147"/>
        <v/>
      </c>
      <c r="FK649" s="2945" t="str">
        <f t="shared" si="148"/>
        <v/>
      </c>
      <c r="FL649" s="2945" t="str">
        <f t="shared" si="149"/>
        <v/>
      </c>
      <c r="FM649" s="2945" t="str">
        <f t="shared" si="150"/>
        <v/>
      </c>
      <c r="FN649" s="2945" t="str">
        <f t="shared" si="151"/>
        <v/>
      </c>
      <c r="FO649" s="2945" t="str">
        <f t="shared" si="152"/>
        <v/>
      </c>
      <c r="FP649" s="2945" t="str">
        <f t="shared" si="153"/>
        <v/>
      </c>
      <c r="FQ649" s="2945" t="str">
        <f t="shared" si="154"/>
        <v/>
      </c>
      <c r="FR649" s="2945" t="str">
        <f t="shared" si="155"/>
        <v/>
      </c>
      <c r="FS649" s="2945" t="str">
        <f t="shared" si="156"/>
        <v/>
      </c>
      <c r="FT649" s="2945" t="str">
        <f t="shared" si="157"/>
        <v/>
      </c>
      <c r="FU649" s="2945" t="str">
        <f t="shared" si="158"/>
        <v/>
      </c>
      <c r="FV649" s="2945" t="str">
        <f t="shared" si="159"/>
        <v/>
      </c>
      <c r="FW649" s="2945" t="str">
        <f t="shared" si="160"/>
        <v/>
      </c>
      <c r="FX649" s="2945" t="str">
        <f t="shared" si="161"/>
        <v/>
      </c>
      <c r="FY649" s="2945" t="str">
        <f t="shared" si="162"/>
        <v/>
      </c>
      <c r="FZ649" s="2945" t="str">
        <f t="shared" si="163"/>
        <v/>
      </c>
      <c r="GA649" s="2945" t="str">
        <f t="shared" si="164"/>
        <v/>
      </c>
      <c r="GB649" s="2945" t="str">
        <f t="shared" si="165"/>
        <v/>
      </c>
      <c r="GC649" s="2945" t="str">
        <f t="shared" si="166"/>
        <v/>
      </c>
      <c r="GD649" s="2945" t="str">
        <f t="shared" si="167"/>
        <v/>
      </c>
      <c r="GE649" s="2945" t="str">
        <f t="shared" si="168"/>
        <v/>
      </c>
      <c r="GF649" s="2945" t="str">
        <f t="shared" si="169"/>
        <v/>
      </c>
      <c r="GG649" s="2945" t="str">
        <f t="shared" si="170"/>
        <v/>
      </c>
      <c r="GH649" s="2945" t="str">
        <f t="shared" si="171"/>
        <v/>
      </c>
      <c r="GI649" s="2945" t="str">
        <f t="shared" si="172"/>
        <v/>
      </c>
      <c r="GJ649" s="2945" t="str">
        <f t="shared" si="173"/>
        <v/>
      </c>
      <c r="GK649" s="2945" t="str">
        <f t="shared" si="174"/>
        <v/>
      </c>
      <c r="GL649" s="2945" t="str">
        <f t="shared" si="175"/>
        <v/>
      </c>
      <c r="GM649" s="2945" t="str">
        <f t="shared" si="176"/>
        <v/>
      </c>
      <c r="GN649" s="2945" t="str">
        <f t="shared" si="177"/>
        <v/>
      </c>
      <c r="GO649" s="2945" t="str">
        <f t="shared" si="178"/>
        <v/>
      </c>
      <c r="GP649" s="2945" t="str">
        <f t="shared" si="179"/>
        <v/>
      </c>
      <c r="GQ649" s="2945" t="str">
        <f t="shared" si="180"/>
        <v/>
      </c>
      <c r="GR649" s="2945" t="str">
        <f t="shared" si="181"/>
        <v/>
      </c>
      <c r="GS649" s="2945" t="str">
        <f t="shared" si="182"/>
        <v/>
      </c>
      <c r="GT649" s="2945" t="str">
        <f t="shared" si="183"/>
        <v/>
      </c>
      <c r="GU649" s="2945" t="str">
        <f t="shared" si="184"/>
        <v/>
      </c>
      <c r="GV649" s="2945" t="str">
        <f t="shared" si="185"/>
        <v/>
      </c>
      <c r="GW649" s="2945" t="str">
        <f t="shared" si="186"/>
        <v/>
      </c>
      <c r="GX649" s="2945" t="str">
        <f t="shared" si="187"/>
        <v/>
      </c>
      <c r="GY649" s="2945" t="str">
        <f t="shared" si="188"/>
        <v/>
      </c>
      <c r="GZ649" s="2945" t="str">
        <f t="shared" si="189"/>
        <v/>
      </c>
      <c r="HA649" s="2945" t="str">
        <f t="shared" si="190"/>
        <v/>
      </c>
      <c r="HB649" s="2945" t="str">
        <f t="shared" si="191"/>
        <v/>
      </c>
      <c r="HC649" s="2945" t="str">
        <f t="shared" si="192"/>
        <v/>
      </c>
      <c r="HD649" s="2945" t="str">
        <f t="shared" si="193"/>
        <v/>
      </c>
      <c r="HE649" s="2945" t="str">
        <f t="shared" si="194"/>
        <v/>
      </c>
      <c r="HF649" s="2945" t="str">
        <f t="shared" si="195"/>
        <v/>
      </c>
      <c r="HG649" s="2945" t="str">
        <f t="shared" si="196"/>
        <v/>
      </c>
      <c r="HH649" s="2945" t="str">
        <f t="shared" si="197"/>
        <v/>
      </c>
      <c r="HI649" s="2945" t="str">
        <f t="shared" si="198"/>
        <v/>
      </c>
      <c r="HJ649" s="2945" t="str">
        <f t="shared" si="199"/>
        <v/>
      </c>
      <c r="HK649" s="2945" t="str">
        <f t="shared" si="200"/>
        <v/>
      </c>
      <c r="HL649" s="2945" t="str">
        <f t="shared" si="201"/>
        <v/>
      </c>
      <c r="HM649" s="2945" t="str">
        <f t="shared" si="202"/>
        <v/>
      </c>
      <c r="HN649" s="2945" t="str">
        <f t="shared" si="203"/>
        <v/>
      </c>
      <c r="HO649" s="2945" t="str">
        <f t="shared" si="204"/>
        <v/>
      </c>
      <c r="HP649" s="2945" t="str">
        <f t="shared" si="205"/>
        <v/>
      </c>
      <c r="HQ649" s="2945" t="str">
        <f t="shared" si="206"/>
        <v/>
      </c>
      <c r="HR649" s="2945" t="str">
        <f t="shared" si="207"/>
        <v/>
      </c>
      <c r="HS649" s="2945" t="str">
        <f t="shared" si="208"/>
        <v/>
      </c>
      <c r="HT649" s="2945" t="str">
        <f t="shared" si="209"/>
        <v/>
      </c>
      <c r="HU649" s="2945" t="str">
        <f t="shared" si="210"/>
        <v/>
      </c>
      <c r="HV649" s="2945" t="str">
        <f t="shared" si="211"/>
        <v/>
      </c>
      <c r="HW649" s="2945" t="str">
        <f t="shared" si="212"/>
        <v/>
      </c>
      <c r="HX649" s="2945" t="str">
        <f t="shared" si="213"/>
        <v/>
      </c>
      <c r="HY649" s="2945" t="str">
        <f t="shared" si="214"/>
        <v/>
      </c>
      <c r="HZ649" s="2945" t="str">
        <f t="shared" si="215"/>
        <v/>
      </c>
      <c r="IA649" s="2945" t="str">
        <f t="shared" si="216"/>
        <v/>
      </c>
      <c r="IB649" s="2945" t="str">
        <f t="shared" si="217"/>
        <v/>
      </c>
      <c r="IC649" s="2911" t="str">
        <f t="shared" si="218"/>
        <v/>
      </c>
      <c r="ID649" s="2911" t="str">
        <f t="shared" si="219"/>
        <v/>
      </c>
      <c r="IE649" s="2911" t="str">
        <f t="shared" si="220"/>
        <v/>
      </c>
      <c r="IF649" s="2911" t="str">
        <f t="shared" si="221"/>
        <v/>
      </c>
      <c r="IG649" s="2911" t="str">
        <f t="shared" si="222"/>
        <v/>
      </c>
      <c r="IH649" s="926" t="str">
        <f t="shared" si="223"/>
        <v/>
      </c>
      <c r="II649" s="926" t="str">
        <f t="shared" si="224"/>
        <v/>
      </c>
      <c r="IJ649" s="926" t="str">
        <f t="shared" si="225"/>
        <v/>
      </c>
      <c r="IK649" s="926" t="str">
        <f t="shared" si="226"/>
        <v/>
      </c>
      <c r="IL649" s="926" t="str">
        <f t="shared" si="227"/>
        <v/>
      </c>
      <c r="IM649" s="926" t="str">
        <f t="shared" si="228"/>
        <v/>
      </c>
      <c r="IN649" s="926" t="str">
        <f t="shared" si="229"/>
        <v/>
      </c>
      <c r="IO649" s="926" t="str">
        <f t="shared" si="230"/>
        <v/>
      </c>
      <c r="IP649" s="926" t="str">
        <f t="shared" si="231"/>
        <v/>
      </c>
      <c r="IQ649" s="926" t="str">
        <f t="shared" si="232"/>
        <v/>
      </c>
      <c r="IR649" s="926" t="str">
        <f t="shared" si="233"/>
        <v/>
      </c>
      <c r="IS649" s="926" t="str">
        <f t="shared" si="234"/>
        <v/>
      </c>
      <c r="IT649" s="926" t="str">
        <f t="shared" si="235"/>
        <v/>
      </c>
      <c r="IU649" s="926" t="str">
        <f t="shared" si="236"/>
        <v/>
      </c>
      <c r="IV649" s="926" t="str">
        <f t="shared" si="237"/>
        <v/>
      </c>
      <c r="IW649" s="926" t="str">
        <f t="shared" si="238"/>
        <v/>
      </c>
      <c r="IX649" s="926" t="str">
        <f t="shared" si="239"/>
        <v/>
      </c>
      <c r="IY649" s="926" t="str">
        <f t="shared" si="240"/>
        <v/>
      </c>
      <c r="IZ649" s="926" t="str">
        <f t="shared" si="241"/>
        <v/>
      </c>
      <c r="JA649" s="926" t="str">
        <f t="shared" si="242"/>
        <v/>
      </c>
      <c r="JB649" s="2909">
        <f t="shared" si="243"/>
        <v>0</v>
      </c>
      <c r="JC649" s="2909">
        <f t="shared" si="244"/>
        <v>0</v>
      </c>
      <c r="JD649" s="2909">
        <f t="shared" si="245"/>
        <v>0</v>
      </c>
      <c r="JE649" s="2909">
        <f t="shared" si="246"/>
        <v>0</v>
      </c>
      <c r="JF649" s="2909">
        <f t="shared" si="247"/>
        <v>0</v>
      </c>
      <c r="JG649" s="2909">
        <f t="shared" si="248"/>
        <v>0</v>
      </c>
      <c r="JH649" s="2909">
        <f t="shared" si="249"/>
        <v>0</v>
      </c>
      <c r="JI649" s="2909">
        <f t="shared" si="250"/>
        <v>0</v>
      </c>
      <c r="JJ649" s="2909">
        <f t="shared" si="251"/>
        <v>0</v>
      </c>
      <c r="JK649" s="2909">
        <f t="shared" si="252"/>
        <v>0</v>
      </c>
      <c r="JL649" s="2909">
        <f t="shared" si="253"/>
        <v>0</v>
      </c>
      <c r="JM649" s="2909">
        <f t="shared" si="254"/>
        <v>0</v>
      </c>
      <c r="JN649" s="2909">
        <f t="shared" si="255"/>
        <v>0</v>
      </c>
      <c r="JO649" s="2909">
        <f t="shared" si="256"/>
        <v>0</v>
      </c>
      <c r="JP649" s="2909">
        <f t="shared" si="257"/>
        <v>0</v>
      </c>
    </row>
    <row r="650" spans="1:276" ht="12" customHeight="1">
      <c r="A650" s="2924" t="str">
        <f t="shared" si="0"/>
        <v/>
      </c>
      <c r="B650" s="2936" t="str">
        <f>'Part VI-Revenues &amp; Expenses'!B30</f>
        <v>&lt;&lt;Select&gt;&gt;</v>
      </c>
      <c r="C650" s="2937">
        <f>'Part VI-Revenues &amp; Expenses'!C30</f>
        <v>0</v>
      </c>
      <c r="D650" s="2938">
        <f>'Part VI-Revenues &amp; Expenses'!D30</f>
        <v>0</v>
      </c>
      <c r="E650" s="2939">
        <f>'Part VI-Revenues &amp; Expenses'!E30</f>
        <v>0</v>
      </c>
      <c r="F650" s="2939">
        <f>'Part VI-Revenues &amp; Expenses'!F30</f>
        <v>0</v>
      </c>
      <c r="G650" s="2939">
        <f>'Part VI-Revenues &amp; Expenses'!G30</f>
        <v>0</v>
      </c>
      <c r="H650" s="2939">
        <f>'Part VI-Revenues &amp; Expenses'!H30</f>
        <v>0</v>
      </c>
      <c r="I650" s="2939">
        <f>'Part VI-Revenues &amp; Expenses'!I30</f>
        <v>0</v>
      </c>
      <c r="J650" s="2940">
        <f>'Part VI-Revenues &amp; Expenses'!J30</f>
        <v>0</v>
      </c>
      <c r="K650" s="2941">
        <f t="shared" si="1"/>
        <v>0</v>
      </c>
      <c r="L650" s="2941">
        <f t="shared" si="2"/>
        <v>0</v>
      </c>
      <c r="M650" s="2918">
        <f>'Part VI-Revenues &amp; Expenses'!M30</f>
        <v>0</v>
      </c>
      <c r="N650" s="2918">
        <f>'Part VI-Revenues &amp; Expenses'!N30</f>
        <v>0</v>
      </c>
      <c r="O650" s="2918">
        <f>'Part VI-Revenues &amp; Expenses'!O30</f>
        <v>0</v>
      </c>
      <c r="P650" s="2918">
        <f>'Part VI-Revenues &amp; Expenses'!P30</f>
        <v>0</v>
      </c>
      <c r="Q650" s="2942">
        <f>IF(H650="","",P650/($O$626*VLOOKUP(C650,'DCA Underwriting Assumptions'!$J$118:$K$123,2,FALSE)))</f>
        <v>0</v>
      </c>
      <c r="R650" s="2943"/>
      <c r="S650" s="2942"/>
      <c r="T650" s="2944"/>
      <c r="U650" s="2944"/>
      <c r="V650" s="926" t="str">
        <f t="shared" si="3"/>
        <v/>
      </c>
      <c r="W650" s="926" t="str">
        <f t="shared" si="4"/>
        <v/>
      </c>
      <c r="X650" s="926" t="str">
        <f t="shared" si="5"/>
        <v/>
      </c>
      <c r="Y650" s="926" t="str">
        <f t="shared" si="6"/>
        <v/>
      </c>
      <c r="Z650" s="926" t="str">
        <f t="shared" si="7"/>
        <v/>
      </c>
      <c r="AA650" s="926" t="str">
        <f t="shared" si="8"/>
        <v/>
      </c>
      <c r="AB650" s="926" t="str">
        <f t="shared" si="9"/>
        <v/>
      </c>
      <c r="AC650" s="926" t="str">
        <f t="shared" si="10"/>
        <v/>
      </c>
      <c r="AD650" s="926" t="str">
        <f t="shared" si="11"/>
        <v/>
      </c>
      <c r="AE650" s="926" t="str">
        <f t="shared" si="12"/>
        <v/>
      </c>
      <c r="AF650" s="926" t="str">
        <f t="shared" si="13"/>
        <v/>
      </c>
      <c r="AG650" s="926" t="str">
        <f t="shared" si="14"/>
        <v/>
      </c>
      <c r="AH650" s="926" t="str">
        <f t="shared" si="15"/>
        <v/>
      </c>
      <c r="AI650" s="926" t="str">
        <f t="shared" si="16"/>
        <v/>
      </c>
      <c r="AJ650" s="926" t="str">
        <f t="shared" si="17"/>
        <v/>
      </c>
      <c r="AK650" s="926" t="str">
        <f t="shared" si="18"/>
        <v/>
      </c>
      <c r="AL650" s="926" t="str">
        <f t="shared" si="19"/>
        <v/>
      </c>
      <c r="AM650" s="926" t="str">
        <f t="shared" si="20"/>
        <v/>
      </c>
      <c r="AN650" s="926" t="str">
        <f t="shared" si="21"/>
        <v/>
      </c>
      <c r="AO650" s="926" t="str">
        <f t="shared" si="22"/>
        <v/>
      </c>
      <c r="AP650" s="926" t="str">
        <f t="shared" si="23"/>
        <v/>
      </c>
      <c r="AQ650" s="926" t="str">
        <f t="shared" si="24"/>
        <v/>
      </c>
      <c r="AR650" s="926" t="str">
        <f t="shared" si="25"/>
        <v/>
      </c>
      <c r="AS650" s="926" t="str">
        <f t="shared" si="26"/>
        <v/>
      </c>
      <c r="AT650" s="926" t="str">
        <f t="shared" si="27"/>
        <v/>
      </c>
      <c r="AU650" s="926" t="str">
        <f t="shared" si="28"/>
        <v/>
      </c>
      <c r="AV650" s="926" t="str">
        <f t="shared" si="29"/>
        <v/>
      </c>
      <c r="AW650" s="926" t="str">
        <f t="shared" si="30"/>
        <v/>
      </c>
      <c r="AX650" s="926" t="str">
        <f t="shared" si="31"/>
        <v/>
      </c>
      <c r="AY650" s="926" t="str">
        <f t="shared" si="32"/>
        <v/>
      </c>
      <c r="AZ650" s="926" t="str">
        <f t="shared" si="33"/>
        <v/>
      </c>
      <c r="BA650" s="926" t="str">
        <f t="shared" si="34"/>
        <v/>
      </c>
      <c r="BB650" s="926" t="str">
        <f t="shared" si="35"/>
        <v/>
      </c>
      <c r="BC650" s="926" t="str">
        <f t="shared" si="36"/>
        <v/>
      </c>
      <c r="BD650" s="926" t="str">
        <f t="shared" si="37"/>
        <v/>
      </c>
      <c r="BE650" s="926" t="str">
        <f t="shared" si="38"/>
        <v/>
      </c>
      <c r="BF650" s="926" t="str">
        <f t="shared" si="39"/>
        <v/>
      </c>
      <c r="BG650" s="926" t="str">
        <f t="shared" si="40"/>
        <v/>
      </c>
      <c r="BH650" s="926" t="str">
        <f t="shared" si="41"/>
        <v/>
      </c>
      <c r="BI650" s="926" t="str">
        <f t="shared" si="42"/>
        <v/>
      </c>
      <c r="BJ650" s="926" t="str">
        <f t="shared" si="43"/>
        <v/>
      </c>
      <c r="BK650" s="926" t="str">
        <f t="shared" si="44"/>
        <v/>
      </c>
      <c r="BL650" s="926" t="str">
        <f t="shared" si="45"/>
        <v/>
      </c>
      <c r="BM650" s="926" t="str">
        <f t="shared" si="46"/>
        <v/>
      </c>
      <c r="BN650" s="926" t="str">
        <f t="shared" si="47"/>
        <v/>
      </c>
      <c r="BO650" s="926" t="str">
        <f t="shared" si="48"/>
        <v/>
      </c>
      <c r="BP650" s="926" t="str">
        <f t="shared" si="49"/>
        <v/>
      </c>
      <c r="BQ650" s="926" t="str">
        <f t="shared" si="50"/>
        <v/>
      </c>
      <c r="BR650" s="926" t="str">
        <f t="shared" si="51"/>
        <v/>
      </c>
      <c r="BS650" s="926" t="str">
        <f t="shared" si="52"/>
        <v/>
      </c>
      <c r="BT650" s="926" t="str">
        <f t="shared" si="53"/>
        <v/>
      </c>
      <c r="BU650" s="926" t="str">
        <f t="shared" si="54"/>
        <v/>
      </c>
      <c r="BV650" s="926" t="str">
        <f t="shared" si="55"/>
        <v/>
      </c>
      <c r="BW650" s="926" t="str">
        <f t="shared" si="56"/>
        <v/>
      </c>
      <c r="BX650" s="926" t="str">
        <f t="shared" si="57"/>
        <v/>
      </c>
      <c r="BY650" s="926" t="str">
        <f t="shared" si="58"/>
        <v/>
      </c>
      <c r="BZ650" s="926" t="str">
        <f t="shared" si="59"/>
        <v/>
      </c>
      <c r="CA650" s="926" t="str">
        <f t="shared" si="60"/>
        <v/>
      </c>
      <c r="CB650" s="926" t="str">
        <f t="shared" si="61"/>
        <v/>
      </c>
      <c r="CC650" s="926" t="str">
        <f t="shared" si="62"/>
        <v/>
      </c>
      <c r="CD650" s="926" t="str">
        <f t="shared" si="63"/>
        <v/>
      </c>
      <c r="CE650" s="926" t="str">
        <f t="shared" si="64"/>
        <v/>
      </c>
      <c r="CF650" s="926" t="str">
        <f t="shared" si="65"/>
        <v/>
      </c>
      <c r="CG650" s="926" t="str">
        <f t="shared" si="66"/>
        <v/>
      </c>
      <c r="CH650" s="926" t="str">
        <f t="shared" si="67"/>
        <v/>
      </c>
      <c r="CI650" s="926" t="str">
        <f t="shared" si="68"/>
        <v/>
      </c>
      <c r="CJ650" s="926" t="str">
        <f t="shared" si="69"/>
        <v/>
      </c>
      <c r="CK650" s="926" t="str">
        <f t="shared" si="70"/>
        <v/>
      </c>
      <c r="CL650" s="926" t="str">
        <f t="shared" si="71"/>
        <v/>
      </c>
      <c r="CM650" s="926" t="str">
        <f t="shared" si="72"/>
        <v/>
      </c>
      <c r="CN650" s="926" t="str">
        <f t="shared" si="73"/>
        <v/>
      </c>
      <c r="CO650" s="926" t="str">
        <f t="shared" si="74"/>
        <v/>
      </c>
      <c r="CP650" s="926" t="str">
        <f t="shared" si="75"/>
        <v/>
      </c>
      <c r="CQ650" s="926" t="str">
        <f t="shared" si="76"/>
        <v/>
      </c>
      <c r="CR650" s="926" t="str">
        <f t="shared" si="77"/>
        <v/>
      </c>
      <c r="CS650" s="926" t="str">
        <f t="shared" si="78"/>
        <v/>
      </c>
      <c r="CT650" s="926" t="str">
        <f t="shared" si="79"/>
        <v/>
      </c>
      <c r="CU650" s="926" t="str">
        <f t="shared" si="80"/>
        <v/>
      </c>
      <c r="CV650" s="926" t="str">
        <f t="shared" si="81"/>
        <v/>
      </c>
      <c r="CW650" s="926" t="str">
        <f t="shared" si="82"/>
        <v/>
      </c>
      <c r="CX650" s="926" t="str">
        <f t="shared" si="83"/>
        <v/>
      </c>
      <c r="CY650" s="926" t="str">
        <f t="shared" si="84"/>
        <v/>
      </c>
      <c r="CZ650" s="926" t="str">
        <f t="shared" si="85"/>
        <v/>
      </c>
      <c r="DA650" s="926" t="str">
        <f t="shared" si="86"/>
        <v/>
      </c>
      <c r="DB650" s="926" t="str">
        <f t="shared" si="87"/>
        <v/>
      </c>
      <c r="DC650" s="926" t="str">
        <f t="shared" si="88"/>
        <v/>
      </c>
      <c r="DD650" s="926" t="str">
        <f t="shared" si="89"/>
        <v/>
      </c>
      <c r="DE650" s="926" t="str">
        <f t="shared" si="90"/>
        <v/>
      </c>
      <c r="DF650" s="926" t="str">
        <f t="shared" si="91"/>
        <v/>
      </c>
      <c r="DG650" s="926" t="str">
        <f t="shared" si="92"/>
        <v/>
      </c>
      <c r="DH650" s="926" t="str">
        <f t="shared" si="93"/>
        <v/>
      </c>
      <c r="DI650" s="926" t="str">
        <f t="shared" si="94"/>
        <v/>
      </c>
      <c r="DJ650" s="926" t="str">
        <f t="shared" si="95"/>
        <v/>
      </c>
      <c r="DK650" s="926" t="str">
        <f t="shared" si="96"/>
        <v/>
      </c>
      <c r="DL650" s="926" t="str">
        <f t="shared" si="97"/>
        <v/>
      </c>
      <c r="DM650" s="926" t="str">
        <f t="shared" si="98"/>
        <v/>
      </c>
      <c r="DN650" s="926" t="str">
        <f t="shared" si="99"/>
        <v/>
      </c>
      <c r="DO650" s="926" t="str">
        <f t="shared" si="100"/>
        <v/>
      </c>
      <c r="DP650" s="926" t="str">
        <f t="shared" si="101"/>
        <v/>
      </c>
      <c r="DQ650" s="926" t="str">
        <f t="shared" si="102"/>
        <v/>
      </c>
      <c r="DR650" s="926" t="str">
        <f t="shared" si="103"/>
        <v/>
      </c>
      <c r="DS650" s="926" t="str">
        <f t="shared" si="104"/>
        <v/>
      </c>
      <c r="DT650" s="926" t="str">
        <f t="shared" si="105"/>
        <v/>
      </c>
      <c r="DU650" s="926" t="str">
        <f t="shared" si="106"/>
        <v/>
      </c>
      <c r="DV650" s="926" t="str">
        <f t="shared" si="107"/>
        <v/>
      </c>
      <c r="DW650" s="926" t="str">
        <f t="shared" si="108"/>
        <v/>
      </c>
      <c r="DX650" s="926" t="str">
        <f t="shared" si="109"/>
        <v/>
      </c>
      <c r="DY650" s="926" t="str">
        <f t="shared" si="110"/>
        <v/>
      </c>
      <c r="DZ650" s="926" t="str">
        <f t="shared" si="111"/>
        <v/>
      </c>
      <c r="EA650" s="926" t="str">
        <f t="shared" si="112"/>
        <v/>
      </c>
      <c r="EB650" s="926" t="str">
        <f t="shared" si="113"/>
        <v/>
      </c>
      <c r="EC650" s="926" t="str">
        <f t="shared" si="114"/>
        <v/>
      </c>
      <c r="ED650" s="926" t="str">
        <f t="shared" si="115"/>
        <v/>
      </c>
      <c r="EE650" s="926" t="str">
        <f t="shared" si="116"/>
        <v/>
      </c>
      <c r="EF650" s="926" t="str">
        <f t="shared" si="117"/>
        <v/>
      </c>
      <c r="EG650" s="926" t="str">
        <f t="shared" si="118"/>
        <v/>
      </c>
      <c r="EH650" s="926" t="str">
        <f t="shared" si="119"/>
        <v/>
      </c>
      <c r="EI650" s="926" t="str">
        <f t="shared" si="120"/>
        <v/>
      </c>
      <c r="EJ650" s="926" t="str">
        <f t="shared" si="121"/>
        <v/>
      </c>
      <c r="EK650" s="926" t="str">
        <f t="shared" si="122"/>
        <v/>
      </c>
      <c r="EL650" s="926" t="str">
        <f t="shared" si="123"/>
        <v/>
      </c>
      <c r="EM650" s="926" t="str">
        <f t="shared" si="124"/>
        <v/>
      </c>
      <c r="EN650" s="926" t="str">
        <f t="shared" si="125"/>
        <v/>
      </c>
      <c r="EO650" s="926" t="str">
        <f t="shared" si="126"/>
        <v/>
      </c>
      <c r="EP650" s="926" t="str">
        <f t="shared" si="127"/>
        <v/>
      </c>
      <c r="EQ650" s="926" t="str">
        <f t="shared" si="128"/>
        <v/>
      </c>
      <c r="ER650" s="926" t="str">
        <f t="shared" si="129"/>
        <v/>
      </c>
      <c r="ES650" s="926" t="str">
        <f t="shared" si="130"/>
        <v/>
      </c>
      <c r="ET650" s="926" t="str">
        <f t="shared" si="131"/>
        <v/>
      </c>
      <c r="EU650" s="926" t="str">
        <f t="shared" si="132"/>
        <v/>
      </c>
      <c r="EV650" s="2945" t="str">
        <f t="shared" si="133"/>
        <v/>
      </c>
      <c r="EW650" s="2945" t="str">
        <f t="shared" si="134"/>
        <v/>
      </c>
      <c r="EX650" s="2945" t="str">
        <f t="shared" si="135"/>
        <v/>
      </c>
      <c r="EY650" s="2945" t="str">
        <f t="shared" si="136"/>
        <v/>
      </c>
      <c r="EZ650" s="2945" t="str">
        <f t="shared" si="137"/>
        <v/>
      </c>
      <c r="FA650" s="2945" t="str">
        <f t="shared" si="138"/>
        <v/>
      </c>
      <c r="FB650" s="2945" t="str">
        <f t="shared" si="139"/>
        <v/>
      </c>
      <c r="FC650" s="2945" t="str">
        <f t="shared" si="140"/>
        <v/>
      </c>
      <c r="FD650" s="2945" t="str">
        <f t="shared" si="141"/>
        <v/>
      </c>
      <c r="FE650" s="2945" t="str">
        <f t="shared" si="142"/>
        <v/>
      </c>
      <c r="FF650" s="2945" t="str">
        <f t="shared" si="143"/>
        <v/>
      </c>
      <c r="FG650" s="2945" t="str">
        <f t="shared" si="144"/>
        <v/>
      </c>
      <c r="FH650" s="2945" t="str">
        <f t="shared" si="145"/>
        <v/>
      </c>
      <c r="FI650" s="2945" t="str">
        <f t="shared" si="146"/>
        <v/>
      </c>
      <c r="FJ650" s="2945" t="str">
        <f t="shared" si="147"/>
        <v/>
      </c>
      <c r="FK650" s="2945" t="str">
        <f t="shared" si="148"/>
        <v/>
      </c>
      <c r="FL650" s="2945" t="str">
        <f t="shared" si="149"/>
        <v/>
      </c>
      <c r="FM650" s="2945" t="str">
        <f t="shared" si="150"/>
        <v/>
      </c>
      <c r="FN650" s="2945" t="str">
        <f t="shared" si="151"/>
        <v/>
      </c>
      <c r="FO650" s="2945" t="str">
        <f t="shared" si="152"/>
        <v/>
      </c>
      <c r="FP650" s="2945" t="str">
        <f t="shared" si="153"/>
        <v/>
      </c>
      <c r="FQ650" s="2945" t="str">
        <f t="shared" si="154"/>
        <v/>
      </c>
      <c r="FR650" s="2945" t="str">
        <f t="shared" si="155"/>
        <v/>
      </c>
      <c r="FS650" s="2945" t="str">
        <f t="shared" si="156"/>
        <v/>
      </c>
      <c r="FT650" s="2945" t="str">
        <f t="shared" si="157"/>
        <v/>
      </c>
      <c r="FU650" s="2945" t="str">
        <f t="shared" si="158"/>
        <v/>
      </c>
      <c r="FV650" s="2945" t="str">
        <f t="shared" si="159"/>
        <v/>
      </c>
      <c r="FW650" s="2945" t="str">
        <f t="shared" si="160"/>
        <v/>
      </c>
      <c r="FX650" s="2945" t="str">
        <f t="shared" si="161"/>
        <v/>
      </c>
      <c r="FY650" s="2945" t="str">
        <f t="shared" si="162"/>
        <v/>
      </c>
      <c r="FZ650" s="2945" t="str">
        <f t="shared" si="163"/>
        <v/>
      </c>
      <c r="GA650" s="2945" t="str">
        <f t="shared" si="164"/>
        <v/>
      </c>
      <c r="GB650" s="2945" t="str">
        <f t="shared" si="165"/>
        <v/>
      </c>
      <c r="GC650" s="2945" t="str">
        <f t="shared" si="166"/>
        <v/>
      </c>
      <c r="GD650" s="2945" t="str">
        <f t="shared" si="167"/>
        <v/>
      </c>
      <c r="GE650" s="2945" t="str">
        <f t="shared" si="168"/>
        <v/>
      </c>
      <c r="GF650" s="2945" t="str">
        <f t="shared" si="169"/>
        <v/>
      </c>
      <c r="GG650" s="2945" t="str">
        <f t="shared" si="170"/>
        <v/>
      </c>
      <c r="GH650" s="2945" t="str">
        <f t="shared" si="171"/>
        <v/>
      </c>
      <c r="GI650" s="2945" t="str">
        <f t="shared" si="172"/>
        <v/>
      </c>
      <c r="GJ650" s="2945" t="str">
        <f t="shared" si="173"/>
        <v/>
      </c>
      <c r="GK650" s="2945" t="str">
        <f t="shared" si="174"/>
        <v/>
      </c>
      <c r="GL650" s="2945" t="str">
        <f t="shared" si="175"/>
        <v/>
      </c>
      <c r="GM650" s="2945" t="str">
        <f t="shared" si="176"/>
        <v/>
      </c>
      <c r="GN650" s="2945" t="str">
        <f t="shared" si="177"/>
        <v/>
      </c>
      <c r="GO650" s="2945" t="str">
        <f t="shared" si="178"/>
        <v/>
      </c>
      <c r="GP650" s="2945" t="str">
        <f t="shared" si="179"/>
        <v/>
      </c>
      <c r="GQ650" s="2945" t="str">
        <f t="shared" si="180"/>
        <v/>
      </c>
      <c r="GR650" s="2945" t="str">
        <f t="shared" si="181"/>
        <v/>
      </c>
      <c r="GS650" s="2945" t="str">
        <f t="shared" si="182"/>
        <v/>
      </c>
      <c r="GT650" s="2945" t="str">
        <f t="shared" si="183"/>
        <v/>
      </c>
      <c r="GU650" s="2945" t="str">
        <f t="shared" si="184"/>
        <v/>
      </c>
      <c r="GV650" s="2945" t="str">
        <f t="shared" si="185"/>
        <v/>
      </c>
      <c r="GW650" s="2945" t="str">
        <f t="shared" si="186"/>
        <v/>
      </c>
      <c r="GX650" s="2945" t="str">
        <f t="shared" si="187"/>
        <v/>
      </c>
      <c r="GY650" s="2945" t="str">
        <f t="shared" si="188"/>
        <v/>
      </c>
      <c r="GZ650" s="2945" t="str">
        <f t="shared" si="189"/>
        <v/>
      </c>
      <c r="HA650" s="2945" t="str">
        <f t="shared" si="190"/>
        <v/>
      </c>
      <c r="HB650" s="2945" t="str">
        <f t="shared" si="191"/>
        <v/>
      </c>
      <c r="HC650" s="2945" t="str">
        <f t="shared" si="192"/>
        <v/>
      </c>
      <c r="HD650" s="2945" t="str">
        <f t="shared" si="193"/>
        <v/>
      </c>
      <c r="HE650" s="2945" t="str">
        <f t="shared" si="194"/>
        <v/>
      </c>
      <c r="HF650" s="2945" t="str">
        <f t="shared" si="195"/>
        <v/>
      </c>
      <c r="HG650" s="2945" t="str">
        <f t="shared" si="196"/>
        <v/>
      </c>
      <c r="HH650" s="2945" t="str">
        <f t="shared" si="197"/>
        <v/>
      </c>
      <c r="HI650" s="2945" t="str">
        <f t="shared" si="198"/>
        <v/>
      </c>
      <c r="HJ650" s="2945" t="str">
        <f t="shared" si="199"/>
        <v/>
      </c>
      <c r="HK650" s="2945" t="str">
        <f t="shared" si="200"/>
        <v/>
      </c>
      <c r="HL650" s="2945" t="str">
        <f t="shared" si="201"/>
        <v/>
      </c>
      <c r="HM650" s="2945" t="str">
        <f t="shared" si="202"/>
        <v/>
      </c>
      <c r="HN650" s="2945" t="str">
        <f t="shared" si="203"/>
        <v/>
      </c>
      <c r="HO650" s="2945" t="str">
        <f t="shared" si="204"/>
        <v/>
      </c>
      <c r="HP650" s="2945" t="str">
        <f t="shared" si="205"/>
        <v/>
      </c>
      <c r="HQ650" s="2945" t="str">
        <f t="shared" si="206"/>
        <v/>
      </c>
      <c r="HR650" s="2945" t="str">
        <f t="shared" si="207"/>
        <v/>
      </c>
      <c r="HS650" s="2945" t="str">
        <f t="shared" si="208"/>
        <v/>
      </c>
      <c r="HT650" s="2945" t="str">
        <f t="shared" si="209"/>
        <v/>
      </c>
      <c r="HU650" s="2945" t="str">
        <f t="shared" si="210"/>
        <v/>
      </c>
      <c r="HV650" s="2945" t="str">
        <f t="shared" si="211"/>
        <v/>
      </c>
      <c r="HW650" s="2945" t="str">
        <f t="shared" si="212"/>
        <v/>
      </c>
      <c r="HX650" s="2945" t="str">
        <f t="shared" si="213"/>
        <v/>
      </c>
      <c r="HY650" s="2945" t="str">
        <f t="shared" si="214"/>
        <v/>
      </c>
      <c r="HZ650" s="2945" t="str">
        <f t="shared" si="215"/>
        <v/>
      </c>
      <c r="IA650" s="2945" t="str">
        <f t="shared" si="216"/>
        <v/>
      </c>
      <c r="IB650" s="2945" t="str">
        <f t="shared" si="217"/>
        <v/>
      </c>
      <c r="IC650" s="2911" t="str">
        <f t="shared" si="218"/>
        <v/>
      </c>
      <c r="ID650" s="2911" t="str">
        <f t="shared" si="219"/>
        <v/>
      </c>
      <c r="IE650" s="2911" t="str">
        <f t="shared" si="220"/>
        <v/>
      </c>
      <c r="IF650" s="2911" t="str">
        <f t="shared" si="221"/>
        <v/>
      </c>
      <c r="IG650" s="2911" t="str">
        <f t="shared" si="222"/>
        <v/>
      </c>
      <c r="IH650" s="926" t="str">
        <f t="shared" si="223"/>
        <v/>
      </c>
      <c r="II650" s="926" t="str">
        <f t="shared" si="224"/>
        <v/>
      </c>
      <c r="IJ650" s="926" t="str">
        <f t="shared" si="225"/>
        <v/>
      </c>
      <c r="IK650" s="926" t="str">
        <f t="shared" si="226"/>
        <v/>
      </c>
      <c r="IL650" s="926" t="str">
        <f t="shared" si="227"/>
        <v/>
      </c>
      <c r="IM650" s="926" t="str">
        <f t="shared" si="228"/>
        <v/>
      </c>
      <c r="IN650" s="926" t="str">
        <f t="shared" si="229"/>
        <v/>
      </c>
      <c r="IO650" s="926" t="str">
        <f t="shared" si="230"/>
        <v/>
      </c>
      <c r="IP650" s="926" t="str">
        <f t="shared" si="231"/>
        <v/>
      </c>
      <c r="IQ650" s="926" t="str">
        <f t="shared" si="232"/>
        <v/>
      </c>
      <c r="IR650" s="926" t="str">
        <f t="shared" si="233"/>
        <v/>
      </c>
      <c r="IS650" s="926" t="str">
        <f t="shared" si="234"/>
        <v/>
      </c>
      <c r="IT650" s="926" t="str">
        <f t="shared" si="235"/>
        <v/>
      </c>
      <c r="IU650" s="926" t="str">
        <f t="shared" si="236"/>
        <v/>
      </c>
      <c r="IV650" s="926" t="str">
        <f t="shared" si="237"/>
        <v/>
      </c>
      <c r="IW650" s="926" t="str">
        <f t="shared" si="238"/>
        <v/>
      </c>
      <c r="IX650" s="926" t="str">
        <f t="shared" si="239"/>
        <v/>
      </c>
      <c r="IY650" s="926" t="str">
        <f t="shared" si="240"/>
        <v/>
      </c>
      <c r="IZ650" s="926" t="str">
        <f t="shared" si="241"/>
        <v/>
      </c>
      <c r="JA650" s="926" t="str">
        <f t="shared" si="242"/>
        <v/>
      </c>
      <c r="JB650" s="2909">
        <f t="shared" si="243"/>
        <v>0</v>
      </c>
      <c r="JC650" s="2909">
        <f t="shared" si="244"/>
        <v>0</v>
      </c>
      <c r="JD650" s="2909">
        <f t="shared" si="245"/>
        <v>0</v>
      </c>
      <c r="JE650" s="2909">
        <f t="shared" si="246"/>
        <v>0</v>
      </c>
      <c r="JF650" s="2909">
        <f t="shared" si="247"/>
        <v>0</v>
      </c>
      <c r="JG650" s="2909">
        <f t="shared" si="248"/>
        <v>0</v>
      </c>
      <c r="JH650" s="2909">
        <f t="shared" si="249"/>
        <v>0</v>
      </c>
      <c r="JI650" s="2909">
        <f t="shared" si="250"/>
        <v>0</v>
      </c>
      <c r="JJ650" s="2909">
        <f t="shared" si="251"/>
        <v>0</v>
      </c>
      <c r="JK650" s="2909">
        <f t="shared" si="252"/>
        <v>0</v>
      </c>
      <c r="JL650" s="2909">
        <f t="shared" si="253"/>
        <v>0</v>
      </c>
      <c r="JM650" s="2909">
        <f t="shared" si="254"/>
        <v>0</v>
      </c>
      <c r="JN650" s="2909">
        <f t="shared" si="255"/>
        <v>0</v>
      </c>
      <c r="JO650" s="2909">
        <f t="shared" si="256"/>
        <v>0</v>
      </c>
      <c r="JP650" s="2909">
        <f t="shared" si="257"/>
        <v>0</v>
      </c>
    </row>
    <row r="651" spans="1:276" ht="12" customHeight="1">
      <c r="A651" s="2924" t="str">
        <f t="shared" si="0"/>
        <v/>
      </c>
      <c r="B651" s="2936" t="str">
        <f>'Part VI-Revenues &amp; Expenses'!B31</f>
        <v>&lt;&lt;Select&gt;&gt;</v>
      </c>
      <c r="C651" s="2937">
        <f>'Part VI-Revenues &amp; Expenses'!C31</f>
        <v>0</v>
      </c>
      <c r="D651" s="2938">
        <f>'Part VI-Revenues &amp; Expenses'!D31</f>
        <v>0</v>
      </c>
      <c r="E651" s="2939">
        <f>'Part VI-Revenues &amp; Expenses'!E31</f>
        <v>0</v>
      </c>
      <c r="F651" s="2939">
        <f>'Part VI-Revenues &amp; Expenses'!F31</f>
        <v>0</v>
      </c>
      <c r="G651" s="2939">
        <f>'Part VI-Revenues &amp; Expenses'!G31</f>
        <v>0</v>
      </c>
      <c r="H651" s="2939">
        <f>'Part VI-Revenues &amp; Expenses'!H31</f>
        <v>0</v>
      </c>
      <c r="I651" s="2939">
        <f>'Part VI-Revenues &amp; Expenses'!I31</f>
        <v>0</v>
      </c>
      <c r="J651" s="2940">
        <f>'Part VI-Revenues &amp; Expenses'!J31</f>
        <v>0</v>
      </c>
      <c r="K651" s="2941">
        <f t="shared" si="1"/>
        <v>0</v>
      </c>
      <c r="L651" s="2941">
        <f t="shared" si="2"/>
        <v>0</v>
      </c>
      <c r="M651" s="2918">
        <f>'Part VI-Revenues &amp; Expenses'!M31</f>
        <v>0</v>
      </c>
      <c r="N651" s="2918">
        <f>'Part VI-Revenues &amp; Expenses'!N31</f>
        <v>0</v>
      </c>
      <c r="O651" s="2918">
        <f>'Part VI-Revenues &amp; Expenses'!O31</f>
        <v>0</v>
      </c>
      <c r="P651" s="2918">
        <f>'Part VI-Revenues &amp; Expenses'!P31</f>
        <v>0</v>
      </c>
      <c r="Q651" s="2942">
        <f>IF(H651="","",P651/($O$626*VLOOKUP(C651,'DCA Underwriting Assumptions'!$J$118:$K$123,2,FALSE)))</f>
        <v>0</v>
      </c>
      <c r="R651" s="2943"/>
      <c r="S651" s="2942"/>
      <c r="T651" s="2944"/>
      <c r="U651" s="2944"/>
      <c r="V651" s="926" t="str">
        <f t="shared" si="3"/>
        <v/>
      </c>
      <c r="W651" s="926" t="str">
        <f t="shared" si="4"/>
        <v/>
      </c>
      <c r="X651" s="926" t="str">
        <f t="shared" si="5"/>
        <v/>
      </c>
      <c r="Y651" s="926" t="str">
        <f t="shared" si="6"/>
        <v/>
      </c>
      <c r="Z651" s="926" t="str">
        <f t="shared" si="7"/>
        <v/>
      </c>
      <c r="AA651" s="926" t="str">
        <f t="shared" si="8"/>
        <v/>
      </c>
      <c r="AB651" s="926" t="str">
        <f t="shared" si="9"/>
        <v/>
      </c>
      <c r="AC651" s="926" t="str">
        <f t="shared" si="10"/>
        <v/>
      </c>
      <c r="AD651" s="926" t="str">
        <f t="shared" si="11"/>
        <v/>
      </c>
      <c r="AE651" s="926" t="str">
        <f t="shared" si="12"/>
        <v/>
      </c>
      <c r="AF651" s="926" t="str">
        <f t="shared" si="13"/>
        <v/>
      </c>
      <c r="AG651" s="926" t="str">
        <f t="shared" si="14"/>
        <v/>
      </c>
      <c r="AH651" s="926" t="str">
        <f t="shared" si="15"/>
        <v/>
      </c>
      <c r="AI651" s="926" t="str">
        <f t="shared" si="16"/>
        <v/>
      </c>
      <c r="AJ651" s="926" t="str">
        <f t="shared" si="17"/>
        <v/>
      </c>
      <c r="AK651" s="926" t="str">
        <f t="shared" si="18"/>
        <v/>
      </c>
      <c r="AL651" s="926" t="str">
        <f t="shared" si="19"/>
        <v/>
      </c>
      <c r="AM651" s="926" t="str">
        <f t="shared" si="20"/>
        <v/>
      </c>
      <c r="AN651" s="926" t="str">
        <f t="shared" si="21"/>
        <v/>
      </c>
      <c r="AO651" s="926" t="str">
        <f t="shared" si="22"/>
        <v/>
      </c>
      <c r="AP651" s="926" t="str">
        <f t="shared" si="23"/>
        <v/>
      </c>
      <c r="AQ651" s="926" t="str">
        <f t="shared" si="24"/>
        <v/>
      </c>
      <c r="AR651" s="926" t="str">
        <f t="shared" si="25"/>
        <v/>
      </c>
      <c r="AS651" s="926" t="str">
        <f t="shared" si="26"/>
        <v/>
      </c>
      <c r="AT651" s="926" t="str">
        <f t="shared" si="27"/>
        <v/>
      </c>
      <c r="AU651" s="926" t="str">
        <f t="shared" si="28"/>
        <v/>
      </c>
      <c r="AV651" s="926" t="str">
        <f t="shared" si="29"/>
        <v/>
      </c>
      <c r="AW651" s="926" t="str">
        <f t="shared" si="30"/>
        <v/>
      </c>
      <c r="AX651" s="926" t="str">
        <f t="shared" si="31"/>
        <v/>
      </c>
      <c r="AY651" s="926" t="str">
        <f t="shared" si="32"/>
        <v/>
      </c>
      <c r="AZ651" s="926" t="str">
        <f t="shared" si="33"/>
        <v/>
      </c>
      <c r="BA651" s="926" t="str">
        <f t="shared" si="34"/>
        <v/>
      </c>
      <c r="BB651" s="926" t="str">
        <f t="shared" si="35"/>
        <v/>
      </c>
      <c r="BC651" s="926" t="str">
        <f t="shared" si="36"/>
        <v/>
      </c>
      <c r="BD651" s="926" t="str">
        <f t="shared" si="37"/>
        <v/>
      </c>
      <c r="BE651" s="926" t="str">
        <f t="shared" si="38"/>
        <v/>
      </c>
      <c r="BF651" s="926" t="str">
        <f t="shared" si="39"/>
        <v/>
      </c>
      <c r="BG651" s="926" t="str">
        <f t="shared" si="40"/>
        <v/>
      </c>
      <c r="BH651" s="926" t="str">
        <f t="shared" si="41"/>
        <v/>
      </c>
      <c r="BI651" s="926" t="str">
        <f t="shared" si="42"/>
        <v/>
      </c>
      <c r="BJ651" s="926" t="str">
        <f t="shared" si="43"/>
        <v/>
      </c>
      <c r="BK651" s="926" t="str">
        <f t="shared" si="44"/>
        <v/>
      </c>
      <c r="BL651" s="926" t="str">
        <f t="shared" si="45"/>
        <v/>
      </c>
      <c r="BM651" s="926" t="str">
        <f t="shared" si="46"/>
        <v/>
      </c>
      <c r="BN651" s="926" t="str">
        <f t="shared" si="47"/>
        <v/>
      </c>
      <c r="BO651" s="926" t="str">
        <f t="shared" si="48"/>
        <v/>
      </c>
      <c r="BP651" s="926" t="str">
        <f t="shared" si="49"/>
        <v/>
      </c>
      <c r="BQ651" s="926" t="str">
        <f t="shared" si="50"/>
        <v/>
      </c>
      <c r="BR651" s="926" t="str">
        <f t="shared" si="51"/>
        <v/>
      </c>
      <c r="BS651" s="926" t="str">
        <f t="shared" si="52"/>
        <v/>
      </c>
      <c r="BT651" s="926" t="str">
        <f t="shared" si="53"/>
        <v/>
      </c>
      <c r="BU651" s="926" t="str">
        <f t="shared" si="54"/>
        <v/>
      </c>
      <c r="BV651" s="926" t="str">
        <f t="shared" si="55"/>
        <v/>
      </c>
      <c r="BW651" s="926" t="str">
        <f t="shared" si="56"/>
        <v/>
      </c>
      <c r="BX651" s="926" t="str">
        <f t="shared" si="57"/>
        <v/>
      </c>
      <c r="BY651" s="926" t="str">
        <f t="shared" si="58"/>
        <v/>
      </c>
      <c r="BZ651" s="926" t="str">
        <f t="shared" si="59"/>
        <v/>
      </c>
      <c r="CA651" s="926" t="str">
        <f t="shared" si="60"/>
        <v/>
      </c>
      <c r="CB651" s="926" t="str">
        <f t="shared" si="61"/>
        <v/>
      </c>
      <c r="CC651" s="926" t="str">
        <f t="shared" si="62"/>
        <v/>
      </c>
      <c r="CD651" s="926" t="str">
        <f t="shared" si="63"/>
        <v/>
      </c>
      <c r="CE651" s="926" t="str">
        <f t="shared" si="64"/>
        <v/>
      </c>
      <c r="CF651" s="926" t="str">
        <f t="shared" si="65"/>
        <v/>
      </c>
      <c r="CG651" s="926" t="str">
        <f t="shared" si="66"/>
        <v/>
      </c>
      <c r="CH651" s="926" t="str">
        <f t="shared" si="67"/>
        <v/>
      </c>
      <c r="CI651" s="926" t="str">
        <f t="shared" si="68"/>
        <v/>
      </c>
      <c r="CJ651" s="926" t="str">
        <f t="shared" si="69"/>
        <v/>
      </c>
      <c r="CK651" s="926" t="str">
        <f t="shared" si="70"/>
        <v/>
      </c>
      <c r="CL651" s="926" t="str">
        <f t="shared" si="71"/>
        <v/>
      </c>
      <c r="CM651" s="926" t="str">
        <f t="shared" si="72"/>
        <v/>
      </c>
      <c r="CN651" s="926" t="str">
        <f t="shared" si="73"/>
        <v/>
      </c>
      <c r="CO651" s="926" t="str">
        <f t="shared" si="74"/>
        <v/>
      </c>
      <c r="CP651" s="926" t="str">
        <f t="shared" si="75"/>
        <v/>
      </c>
      <c r="CQ651" s="926" t="str">
        <f t="shared" si="76"/>
        <v/>
      </c>
      <c r="CR651" s="926" t="str">
        <f t="shared" si="77"/>
        <v/>
      </c>
      <c r="CS651" s="926" t="str">
        <f t="shared" si="78"/>
        <v/>
      </c>
      <c r="CT651" s="926" t="str">
        <f t="shared" si="79"/>
        <v/>
      </c>
      <c r="CU651" s="926" t="str">
        <f t="shared" si="80"/>
        <v/>
      </c>
      <c r="CV651" s="926" t="str">
        <f t="shared" si="81"/>
        <v/>
      </c>
      <c r="CW651" s="926" t="str">
        <f t="shared" si="82"/>
        <v/>
      </c>
      <c r="CX651" s="926" t="str">
        <f t="shared" si="83"/>
        <v/>
      </c>
      <c r="CY651" s="926" t="str">
        <f t="shared" si="84"/>
        <v/>
      </c>
      <c r="CZ651" s="926" t="str">
        <f t="shared" si="85"/>
        <v/>
      </c>
      <c r="DA651" s="926" t="str">
        <f t="shared" si="86"/>
        <v/>
      </c>
      <c r="DB651" s="926" t="str">
        <f t="shared" si="87"/>
        <v/>
      </c>
      <c r="DC651" s="926" t="str">
        <f t="shared" si="88"/>
        <v/>
      </c>
      <c r="DD651" s="926" t="str">
        <f t="shared" si="89"/>
        <v/>
      </c>
      <c r="DE651" s="926" t="str">
        <f t="shared" si="90"/>
        <v/>
      </c>
      <c r="DF651" s="926" t="str">
        <f t="shared" si="91"/>
        <v/>
      </c>
      <c r="DG651" s="926" t="str">
        <f t="shared" si="92"/>
        <v/>
      </c>
      <c r="DH651" s="926" t="str">
        <f t="shared" si="93"/>
        <v/>
      </c>
      <c r="DI651" s="926" t="str">
        <f t="shared" si="94"/>
        <v/>
      </c>
      <c r="DJ651" s="926" t="str">
        <f t="shared" si="95"/>
        <v/>
      </c>
      <c r="DK651" s="926" t="str">
        <f t="shared" si="96"/>
        <v/>
      </c>
      <c r="DL651" s="926" t="str">
        <f t="shared" si="97"/>
        <v/>
      </c>
      <c r="DM651" s="926" t="str">
        <f t="shared" si="98"/>
        <v/>
      </c>
      <c r="DN651" s="926" t="str">
        <f t="shared" si="99"/>
        <v/>
      </c>
      <c r="DO651" s="926" t="str">
        <f t="shared" si="100"/>
        <v/>
      </c>
      <c r="DP651" s="926" t="str">
        <f t="shared" si="101"/>
        <v/>
      </c>
      <c r="DQ651" s="926" t="str">
        <f t="shared" si="102"/>
        <v/>
      </c>
      <c r="DR651" s="926" t="str">
        <f t="shared" si="103"/>
        <v/>
      </c>
      <c r="DS651" s="926" t="str">
        <f t="shared" si="104"/>
        <v/>
      </c>
      <c r="DT651" s="926" t="str">
        <f t="shared" si="105"/>
        <v/>
      </c>
      <c r="DU651" s="926" t="str">
        <f t="shared" si="106"/>
        <v/>
      </c>
      <c r="DV651" s="926" t="str">
        <f t="shared" si="107"/>
        <v/>
      </c>
      <c r="DW651" s="926" t="str">
        <f t="shared" si="108"/>
        <v/>
      </c>
      <c r="DX651" s="926" t="str">
        <f t="shared" si="109"/>
        <v/>
      </c>
      <c r="DY651" s="926" t="str">
        <f t="shared" si="110"/>
        <v/>
      </c>
      <c r="DZ651" s="926" t="str">
        <f t="shared" si="111"/>
        <v/>
      </c>
      <c r="EA651" s="926" t="str">
        <f t="shared" si="112"/>
        <v/>
      </c>
      <c r="EB651" s="926" t="str">
        <f t="shared" si="113"/>
        <v/>
      </c>
      <c r="EC651" s="926" t="str">
        <f t="shared" si="114"/>
        <v/>
      </c>
      <c r="ED651" s="926" t="str">
        <f t="shared" si="115"/>
        <v/>
      </c>
      <c r="EE651" s="926" t="str">
        <f t="shared" si="116"/>
        <v/>
      </c>
      <c r="EF651" s="926" t="str">
        <f t="shared" si="117"/>
        <v/>
      </c>
      <c r="EG651" s="926" t="str">
        <f t="shared" si="118"/>
        <v/>
      </c>
      <c r="EH651" s="926" t="str">
        <f t="shared" si="119"/>
        <v/>
      </c>
      <c r="EI651" s="926" t="str">
        <f t="shared" si="120"/>
        <v/>
      </c>
      <c r="EJ651" s="926" t="str">
        <f t="shared" si="121"/>
        <v/>
      </c>
      <c r="EK651" s="926" t="str">
        <f t="shared" si="122"/>
        <v/>
      </c>
      <c r="EL651" s="926" t="str">
        <f t="shared" si="123"/>
        <v/>
      </c>
      <c r="EM651" s="926" t="str">
        <f t="shared" si="124"/>
        <v/>
      </c>
      <c r="EN651" s="926" t="str">
        <f t="shared" si="125"/>
        <v/>
      </c>
      <c r="EO651" s="926" t="str">
        <f t="shared" si="126"/>
        <v/>
      </c>
      <c r="EP651" s="926" t="str">
        <f t="shared" si="127"/>
        <v/>
      </c>
      <c r="EQ651" s="926" t="str">
        <f t="shared" si="128"/>
        <v/>
      </c>
      <c r="ER651" s="926" t="str">
        <f t="shared" si="129"/>
        <v/>
      </c>
      <c r="ES651" s="926" t="str">
        <f t="shared" si="130"/>
        <v/>
      </c>
      <c r="ET651" s="926" t="str">
        <f t="shared" si="131"/>
        <v/>
      </c>
      <c r="EU651" s="926" t="str">
        <f t="shared" si="132"/>
        <v/>
      </c>
      <c r="EV651" s="2945" t="str">
        <f t="shared" si="133"/>
        <v/>
      </c>
      <c r="EW651" s="2945" t="str">
        <f t="shared" si="134"/>
        <v/>
      </c>
      <c r="EX651" s="2945" t="str">
        <f t="shared" si="135"/>
        <v/>
      </c>
      <c r="EY651" s="2945" t="str">
        <f t="shared" si="136"/>
        <v/>
      </c>
      <c r="EZ651" s="2945" t="str">
        <f t="shared" si="137"/>
        <v/>
      </c>
      <c r="FA651" s="2945" t="str">
        <f t="shared" si="138"/>
        <v/>
      </c>
      <c r="FB651" s="2945" t="str">
        <f t="shared" si="139"/>
        <v/>
      </c>
      <c r="FC651" s="2945" t="str">
        <f t="shared" si="140"/>
        <v/>
      </c>
      <c r="FD651" s="2945" t="str">
        <f t="shared" si="141"/>
        <v/>
      </c>
      <c r="FE651" s="2945" t="str">
        <f t="shared" si="142"/>
        <v/>
      </c>
      <c r="FF651" s="2945" t="str">
        <f t="shared" si="143"/>
        <v/>
      </c>
      <c r="FG651" s="2945" t="str">
        <f t="shared" si="144"/>
        <v/>
      </c>
      <c r="FH651" s="2945" t="str">
        <f t="shared" si="145"/>
        <v/>
      </c>
      <c r="FI651" s="2945" t="str">
        <f t="shared" si="146"/>
        <v/>
      </c>
      <c r="FJ651" s="2945" t="str">
        <f t="shared" si="147"/>
        <v/>
      </c>
      <c r="FK651" s="2945" t="str">
        <f t="shared" si="148"/>
        <v/>
      </c>
      <c r="FL651" s="2945" t="str">
        <f t="shared" si="149"/>
        <v/>
      </c>
      <c r="FM651" s="2945" t="str">
        <f t="shared" si="150"/>
        <v/>
      </c>
      <c r="FN651" s="2945" t="str">
        <f t="shared" si="151"/>
        <v/>
      </c>
      <c r="FO651" s="2945" t="str">
        <f t="shared" si="152"/>
        <v/>
      </c>
      <c r="FP651" s="2945" t="str">
        <f t="shared" si="153"/>
        <v/>
      </c>
      <c r="FQ651" s="2945" t="str">
        <f t="shared" si="154"/>
        <v/>
      </c>
      <c r="FR651" s="2945" t="str">
        <f t="shared" si="155"/>
        <v/>
      </c>
      <c r="FS651" s="2945" t="str">
        <f t="shared" si="156"/>
        <v/>
      </c>
      <c r="FT651" s="2945" t="str">
        <f t="shared" si="157"/>
        <v/>
      </c>
      <c r="FU651" s="2945" t="str">
        <f t="shared" si="158"/>
        <v/>
      </c>
      <c r="FV651" s="2945" t="str">
        <f t="shared" si="159"/>
        <v/>
      </c>
      <c r="FW651" s="2945" t="str">
        <f t="shared" si="160"/>
        <v/>
      </c>
      <c r="FX651" s="2945" t="str">
        <f t="shared" si="161"/>
        <v/>
      </c>
      <c r="FY651" s="2945" t="str">
        <f t="shared" si="162"/>
        <v/>
      </c>
      <c r="FZ651" s="2945" t="str">
        <f t="shared" si="163"/>
        <v/>
      </c>
      <c r="GA651" s="2945" t="str">
        <f t="shared" si="164"/>
        <v/>
      </c>
      <c r="GB651" s="2945" t="str">
        <f t="shared" si="165"/>
        <v/>
      </c>
      <c r="GC651" s="2945" t="str">
        <f t="shared" si="166"/>
        <v/>
      </c>
      <c r="GD651" s="2945" t="str">
        <f t="shared" si="167"/>
        <v/>
      </c>
      <c r="GE651" s="2945" t="str">
        <f t="shared" si="168"/>
        <v/>
      </c>
      <c r="GF651" s="2945" t="str">
        <f t="shared" si="169"/>
        <v/>
      </c>
      <c r="GG651" s="2945" t="str">
        <f t="shared" si="170"/>
        <v/>
      </c>
      <c r="GH651" s="2945" t="str">
        <f t="shared" si="171"/>
        <v/>
      </c>
      <c r="GI651" s="2945" t="str">
        <f t="shared" si="172"/>
        <v/>
      </c>
      <c r="GJ651" s="2945" t="str">
        <f t="shared" si="173"/>
        <v/>
      </c>
      <c r="GK651" s="2945" t="str">
        <f t="shared" si="174"/>
        <v/>
      </c>
      <c r="GL651" s="2945" t="str">
        <f t="shared" si="175"/>
        <v/>
      </c>
      <c r="GM651" s="2945" t="str">
        <f t="shared" si="176"/>
        <v/>
      </c>
      <c r="GN651" s="2945" t="str">
        <f t="shared" si="177"/>
        <v/>
      </c>
      <c r="GO651" s="2945" t="str">
        <f t="shared" si="178"/>
        <v/>
      </c>
      <c r="GP651" s="2945" t="str">
        <f t="shared" si="179"/>
        <v/>
      </c>
      <c r="GQ651" s="2945" t="str">
        <f t="shared" si="180"/>
        <v/>
      </c>
      <c r="GR651" s="2945" t="str">
        <f t="shared" si="181"/>
        <v/>
      </c>
      <c r="GS651" s="2945" t="str">
        <f t="shared" si="182"/>
        <v/>
      </c>
      <c r="GT651" s="2945" t="str">
        <f t="shared" si="183"/>
        <v/>
      </c>
      <c r="GU651" s="2945" t="str">
        <f t="shared" si="184"/>
        <v/>
      </c>
      <c r="GV651" s="2945" t="str">
        <f t="shared" si="185"/>
        <v/>
      </c>
      <c r="GW651" s="2945" t="str">
        <f t="shared" si="186"/>
        <v/>
      </c>
      <c r="GX651" s="2945" t="str">
        <f t="shared" si="187"/>
        <v/>
      </c>
      <c r="GY651" s="2945" t="str">
        <f t="shared" si="188"/>
        <v/>
      </c>
      <c r="GZ651" s="2945" t="str">
        <f t="shared" si="189"/>
        <v/>
      </c>
      <c r="HA651" s="2945" t="str">
        <f t="shared" si="190"/>
        <v/>
      </c>
      <c r="HB651" s="2945" t="str">
        <f t="shared" si="191"/>
        <v/>
      </c>
      <c r="HC651" s="2945" t="str">
        <f t="shared" si="192"/>
        <v/>
      </c>
      <c r="HD651" s="2945" t="str">
        <f t="shared" si="193"/>
        <v/>
      </c>
      <c r="HE651" s="2945" t="str">
        <f t="shared" si="194"/>
        <v/>
      </c>
      <c r="HF651" s="2945" t="str">
        <f t="shared" si="195"/>
        <v/>
      </c>
      <c r="HG651" s="2945" t="str">
        <f t="shared" si="196"/>
        <v/>
      </c>
      <c r="HH651" s="2945" t="str">
        <f t="shared" si="197"/>
        <v/>
      </c>
      <c r="HI651" s="2945" t="str">
        <f t="shared" si="198"/>
        <v/>
      </c>
      <c r="HJ651" s="2945" t="str">
        <f t="shared" si="199"/>
        <v/>
      </c>
      <c r="HK651" s="2945" t="str">
        <f t="shared" si="200"/>
        <v/>
      </c>
      <c r="HL651" s="2945" t="str">
        <f t="shared" si="201"/>
        <v/>
      </c>
      <c r="HM651" s="2945" t="str">
        <f t="shared" si="202"/>
        <v/>
      </c>
      <c r="HN651" s="2945" t="str">
        <f t="shared" si="203"/>
        <v/>
      </c>
      <c r="HO651" s="2945" t="str">
        <f t="shared" si="204"/>
        <v/>
      </c>
      <c r="HP651" s="2945" t="str">
        <f t="shared" si="205"/>
        <v/>
      </c>
      <c r="HQ651" s="2945" t="str">
        <f t="shared" si="206"/>
        <v/>
      </c>
      <c r="HR651" s="2945" t="str">
        <f t="shared" si="207"/>
        <v/>
      </c>
      <c r="HS651" s="2945" t="str">
        <f t="shared" si="208"/>
        <v/>
      </c>
      <c r="HT651" s="2945" t="str">
        <f t="shared" si="209"/>
        <v/>
      </c>
      <c r="HU651" s="2945" t="str">
        <f t="shared" si="210"/>
        <v/>
      </c>
      <c r="HV651" s="2945" t="str">
        <f t="shared" si="211"/>
        <v/>
      </c>
      <c r="HW651" s="2945" t="str">
        <f t="shared" si="212"/>
        <v/>
      </c>
      <c r="HX651" s="2945" t="str">
        <f t="shared" si="213"/>
        <v/>
      </c>
      <c r="HY651" s="2945" t="str">
        <f t="shared" si="214"/>
        <v/>
      </c>
      <c r="HZ651" s="2945" t="str">
        <f t="shared" si="215"/>
        <v/>
      </c>
      <c r="IA651" s="2945" t="str">
        <f t="shared" si="216"/>
        <v/>
      </c>
      <c r="IB651" s="2945" t="str">
        <f t="shared" si="217"/>
        <v/>
      </c>
      <c r="IC651" s="2911" t="str">
        <f t="shared" si="218"/>
        <v/>
      </c>
      <c r="ID651" s="2911" t="str">
        <f t="shared" si="219"/>
        <v/>
      </c>
      <c r="IE651" s="2911" t="str">
        <f t="shared" si="220"/>
        <v/>
      </c>
      <c r="IF651" s="2911" t="str">
        <f t="shared" si="221"/>
        <v/>
      </c>
      <c r="IG651" s="2911" t="str">
        <f t="shared" si="222"/>
        <v/>
      </c>
      <c r="IH651" s="926" t="str">
        <f t="shared" si="223"/>
        <v/>
      </c>
      <c r="II651" s="926" t="str">
        <f t="shared" si="224"/>
        <v/>
      </c>
      <c r="IJ651" s="926" t="str">
        <f t="shared" si="225"/>
        <v/>
      </c>
      <c r="IK651" s="926" t="str">
        <f t="shared" si="226"/>
        <v/>
      </c>
      <c r="IL651" s="926" t="str">
        <f t="shared" si="227"/>
        <v/>
      </c>
      <c r="IM651" s="926" t="str">
        <f t="shared" si="228"/>
        <v/>
      </c>
      <c r="IN651" s="926" t="str">
        <f t="shared" si="229"/>
        <v/>
      </c>
      <c r="IO651" s="926" t="str">
        <f t="shared" si="230"/>
        <v/>
      </c>
      <c r="IP651" s="926" t="str">
        <f t="shared" si="231"/>
        <v/>
      </c>
      <c r="IQ651" s="926" t="str">
        <f t="shared" si="232"/>
        <v/>
      </c>
      <c r="IR651" s="926" t="str">
        <f t="shared" si="233"/>
        <v/>
      </c>
      <c r="IS651" s="926" t="str">
        <f t="shared" si="234"/>
        <v/>
      </c>
      <c r="IT651" s="926" t="str">
        <f t="shared" si="235"/>
        <v/>
      </c>
      <c r="IU651" s="926" t="str">
        <f t="shared" si="236"/>
        <v/>
      </c>
      <c r="IV651" s="926" t="str">
        <f t="shared" si="237"/>
        <v/>
      </c>
      <c r="IW651" s="926" t="str">
        <f t="shared" si="238"/>
        <v/>
      </c>
      <c r="IX651" s="926" t="str">
        <f t="shared" si="239"/>
        <v/>
      </c>
      <c r="IY651" s="926" t="str">
        <f t="shared" si="240"/>
        <v/>
      </c>
      <c r="IZ651" s="926" t="str">
        <f t="shared" si="241"/>
        <v/>
      </c>
      <c r="JA651" s="926" t="str">
        <f t="shared" si="242"/>
        <v/>
      </c>
      <c r="JB651" s="2909">
        <f t="shared" si="243"/>
        <v>0</v>
      </c>
      <c r="JC651" s="2909">
        <f t="shared" si="244"/>
        <v>0</v>
      </c>
      <c r="JD651" s="2909">
        <f t="shared" si="245"/>
        <v>0</v>
      </c>
      <c r="JE651" s="2909">
        <f t="shared" si="246"/>
        <v>0</v>
      </c>
      <c r="JF651" s="2909">
        <f t="shared" si="247"/>
        <v>0</v>
      </c>
      <c r="JG651" s="2909">
        <f t="shared" si="248"/>
        <v>0</v>
      </c>
      <c r="JH651" s="2909">
        <f t="shared" si="249"/>
        <v>0</v>
      </c>
      <c r="JI651" s="2909">
        <f t="shared" si="250"/>
        <v>0</v>
      </c>
      <c r="JJ651" s="2909">
        <f t="shared" si="251"/>
        <v>0</v>
      </c>
      <c r="JK651" s="2909">
        <f t="shared" si="252"/>
        <v>0</v>
      </c>
      <c r="JL651" s="2909">
        <f t="shared" si="253"/>
        <v>0</v>
      </c>
      <c r="JM651" s="2909">
        <f t="shared" si="254"/>
        <v>0</v>
      </c>
      <c r="JN651" s="2909">
        <f t="shared" si="255"/>
        <v>0</v>
      </c>
      <c r="JO651" s="2909">
        <f t="shared" si="256"/>
        <v>0</v>
      </c>
      <c r="JP651" s="2909">
        <f t="shared" si="257"/>
        <v>0</v>
      </c>
    </row>
    <row r="652" spans="1:276" ht="12" customHeight="1">
      <c r="A652" s="2924" t="str">
        <f t="shared" si="0"/>
        <v/>
      </c>
      <c r="B652" s="2936" t="str">
        <f>'Part VI-Revenues &amp; Expenses'!B32</f>
        <v>&lt;&lt;Select&gt;&gt;</v>
      </c>
      <c r="C652" s="2937">
        <f>'Part VI-Revenues &amp; Expenses'!C32</f>
        <v>0</v>
      </c>
      <c r="D652" s="2938">
        <f>'Part VI-Revenues &amp; Expenses'!D32</f>
        <v>0</v>
      </c>
      <c r="E652" s="2939">
        <f>'Part VI-Revenues &amp; Expenses'!E32</f>
        <v>0</v>
      </c>
      <c r="F652" s="2939">
        <f>'Part VI-Revenues &amp; Expenses'!F32</f>
        <v>0</v>
      </c>
      <c r="G652" s="2939">
        <f>'Part VI-Revenues &amp; Expenses'!G32</f>
        <v>0</v>
      </c>
      <c r="H652" s="2939">
        <f>'Part VI-Revenues &amp; Expenses'!H32</f>
        <v>0</v>
      </c>
      <c r="I652" s="2939">
        <f>'Part VI-Revenues &amp; Expenses'!I32</f>
        <v>0</v>
      </c>
      <c r="J652" s="2940">
        <f>'Part VI-Revenues &amp; Expenses'!J32</f>
        <v>0</v>
      </c>
      <c r="K652" s="2941">
        <f t="shared" si="1"/>
        <v>0</v>
      </c>
      <c r="L652" s="2941">
        <f t="shared" si="2"/>
        <v>0</v>
      </c>
      <c r="M652" s="2918">
        <f>'Part VI-Revenues &amp; Expenses'!M32</f>
        <v>0</v>
      </c>
      <c r="N652" s="2918">
        <f>'Part VI-Revenues &amp; Expenses'!N32</f>
        <v>0</v>
      </c>
      <c r="O652" s="2918">
        <f>'Part VI-Revenues &amp; Expenses'!O32</f>
        <v>0</v>
      </c>
      <c r="P652" s="2918">
        <f>'Part VI-Revenues &amp; Expenses'!P32</f>
        <v>0</v>
      </c>
      <c r="Q652" s="2942">
        <f>IF(H652="","",P652/($O$626*VLOOKUP(C652,'DCA Underwriting Assumptions'!$J$118:$K$123,2,FALSE)))</f>
        <v>0</v>
      </c>
      <c r="R652" s="2943"/>
      <c r="S652" s="2942"/>
      <c r="T652" s="2944"/>
      <c r="U652" s="2944"/>
      <c r="V652" s="926" t="str">
        <f t="shared" si="3"/>
        <v/>
      </c>
      <c r="W652" s="926" t="str">
        <f t="shared" si="4"/>
        <v/>
      </c>
      <c r="X652" s="926" t="str">
        <f t="shared" si="5"/>
        <v/>
      </c>
      <c r="Y652" s="926" t="str">
        <f t="shared" si="6"/>
        <v/>
      </c>
      <c r="Z652" s="926" t="str">
        <f t="shared" si="7"/>
        <v/>
      </c>
      <c r="AA652" s="926" t="str">
        <f t="shared" si="8"/>
        <v/>
      </c>
      <c r="AB652" s="926" t="str">
        <f t="shared" si="9"/>
        <v/>
      </c>
      <c r="AC652" s="926" t="str">
        <f t="shared" si="10"/>
        <v/>
      </c>
      <c r="AD652" s="926" t="str">
        <f t="shared" si="11"/>
        <v/>
      </c>
      <c r="AE652" s="926" t="str">
        <f t="shared" si="12"/>
        <v/>
      </c>
      <c r="AF652" s="926" t="str">
        <f t="shared" si="13"/>
        <v/>
      </c>
      <c r="AG652" s="926" t="str">
        <f t="shared" si="14"/>
        <v/>
      </c>
      <c r="AH652" s="926" t="str">
        <f t="shared" si="15"/>
        <v/>
      </c>
      <c r="AI652" s="926" t="str">
        <f t="shared" si="16"/>
        <v/>
      </c>
      <c r="AJ652" s="926" t="str">
        <f t="shared" si="17"/>
        <v/>
      </c>
      <c r="AK652" s="926" t="str">
        <f t="shared" si="18"/>
        <v/>
      </c>
      <c r="AL652" s="926" t="str">
        <f t="shared" si="19"/>
        <v/>
      </c>
      <c r="AM652" s="926" t="str">
        <f t="shared" si="20"/>
        <v/>
      </c>
      <c r="AN652" s="926" t="str">
        <f t="shared" si="21"/>
        <v/>
      </c>
      <c r="AO652" s="926" t="str">
        <f t="shared" si="22"/>
        <v/>
      </c>
      <c r="AP652" s="926" t="str">
        <f t="shared" si="23"/>
        <v/>
      </c>
      <c r="AQ652" s="926" t="str">
        <f t="shared" si="24"/>
        <v/>
      </c>
      <c r="AR652" s="926" t="str">
        <f t="shared" si="25"/>
        <v/>
      </c>
      <c r="AS652" s="926" t="str">
        <f t="shared" si="26"/>
        <v/>
      </c>
      <c r="AT652" s="926" t="str">
        <f t="shared" si="27"/>
        <v/>
      </c>
      <c r="AU652" s="926" t="str">
        <f t="shared" si="28"/>
        <v/>
      </c>
      <c r="AV652" s="926" t="str">
        <f t="shared" si="29"/>
        <v/>
      </c>
      <c r="AW652" s="926" t="str">
        <f t="shared" si="30"/>
        <v/>
      </c>
      <c r="AX652" s="926" t="str">
        <f t="shared" si="31"/>
        <v/>
      </c>
      <c r="AY652" s="926" t="str">
        <f t="shared" si="32"/>
        <v/>
      </c>
      <c r="AZ652" s="926" t="str">
        <f t="shared" si="33"/>
        <v/>
      </c>
      <c r="BA652" s="926" t="str">
        <f t="shared" si="34"/>
        <v/>
      </c>
      <c r="BB652" s="926" t="str">
        <f t="shared" si="35"/>
        <v/>
      </c>
      <c r="BC652" s="926" t="str">
        <f t="shared" si="36"/>
        <v/>
      </c>
      <c r="BD652" s="926" t="str">
        <f t="shared" si="37"/>
        <v/>
      </c>
      <c r="BE652" s="926" t="str">
        <f t="shared" si="38"/>
        <v/>
      </c>
      <c r="BF652" s="926" t="str">
        <f t="shared" si="39"/>
        <v/>
      </c>
      <c r="BG652" s="926" t="str">
        <f t="shared" si="40"/>
        <v/>
      </c>
      <c r="BH652" s="926" t="str">
        <f t="shared" si="41"/>
        <v/>
      </c>
      <c r="BI652" s="926" t="str">
        <f t="shared" si="42"/>
        <v/>
      </c>
      <c r="BJ652" s="926" t="str">
        <f t="shared" si="43"/>
        <v/>
      </c>
      <c r="BK652" s="926" t="str">
        <f t="shared" si="44"/>
        <v/>
      </c>
      <c r="BL652" s="926" t="str">
        <f t="shared" si="45"/>
        <v/>
      </c>
      <c r="BM652" s="926" t="str">
        <f t="shared" si="46"/>
        <v/>
      </c>
      <c r="BN652" s="926" t="str">
        <f t="shared" si="47"/>
        <v/>
      </c>
      <c r="BO652" s="926" t="str">
        <f t="shared" si="48"/>
        <v/>
      </c>
      <c r="BP652" s="926" t="str">
        <f t="shared" si="49"/>
        <v/>
      </c>
      <c r="BQ652" s="926" t="str">
        <f t="shared" si="50"/>
        <v/>
      </c>
      <c r="BR652" s="926" t="str">
        <f t="shared" si="51"/>
        <v/>
      </c>
      <c r="BS652" s="926" t="str">
        <f t="shared" si="52"/>
        <v/>
      </c>
      <c r="BT652" s="926" t="str">
        <f t="shared" si="53"/>
        <v/>
      </c>
      <c r="BU652" s="926" t="str">
        <f t="shared" si="54"/>
        <v/>
      </c>
      <c r="BV652" s="926" t="str">
        <f t="shared" si="55"/>
        <v/>
      </c>
      <c r="BW652" s="926" t="str">
        <f t="shared" si="56"/>
        <v/>
      </c>
      <c r="BX652" s="926" t="str">
        <f t="shared" si="57"/>
        <v/>
      </c>
      <c r="BY652" s="926" t="str">
        <f t="shared" si="58"/>
        <v/>
      </c>
      <c r="BZ652" s="926" t="str">
        <f t="shared" si="59"/>
        <v/>
      </c>
      <c r="CA652" s="926" t="str">
        <f t="shared" si="60"/>
        <v/>
      </c>
      <c r="CB652" s="926" t="str">
        <f t="shared" si="61"/>
        <v/>
      </c>
      <c r="CC652" s="926" t="str">
        <f t="shared" si="62"/>
        <v/>
      </c>
      <c r="CD652" s="926" t="str">
        <f t="shared" si="63"/>
        <v/>
      </c>
      <c r="CE652" s="926" t="str">
        <f t="shared" si="64"/>
        <v/>
      </c>
      <c r="CF652" s="926" t="str">
        <f t="shared" si="65"/>
        <v/>
      </c>
      <c r="CG652" s="926" t="str">
        <f t="shared" si="66"/>
        <v/>
      </c>
      <c r="CH652" s="926" t="str">
        <f t="shared" si="67"/>
        <v/>
      </c>
      <c r="CI652" s="926" t="str">
        <f t="shared" si="68"/>
        <v/>
      </c>
      <c r="CJ652" s="926" t="str">
        <f t="shared" si="69"/>
        <v/>
      </c>
      <c r="CK652" s="926" t="str">
        <f t="shared" si="70"/>
        <v/>
      </c>
      <c r="CL652" s="926" t="str">
        <f t="shared" si="71"/>
        <v/>
      </c>
      <c r="CM652" s="926" t="str">
        <f t="shared" si="72"/>
        <v/>
      </c>
      <c r="CN652" s="926" t="str">
        <f t="shared" si="73"/>
        <v/>
      </c>
      <c r="CO652" s="926" t="str">
        <f t="shared" si="74"/>
        <v/>
      </c>
      <c r="CP652" s="926" t="str">
        <f t="shared" si="75"/>
        <v/>
      </c>
      <c r="CQ652" s="926" t="str">
        <f t="shared" si="76"/>
        <v/>
      </c>
      <c r="CR652" s="926" t="str">
        <f t="shared" si="77"/>
        <v/>
      </c>
      <c r="CS652" s="926" t="str">
        <f t="shared" si="78"/>
        <v/>
      </c>
      <c r="CT652" s="926" t="str">
        <f t="shared" si="79"/>
        <v/>
      </c>
      <c r="CU652" s="926" t="str">
        <f t="shared" si="80"/>
        <v/>
      </c>
      <c r="CV652" s="926" t="str">
        <f t="shared" si="81"/>
        <v/>
      </c>
      <c r="CW652" s="926" t="str">
        <f t="shared" si="82"/>
        <v/>
      </c>
      <c r="CX652" s="926" t="str">
        <f t="shared" si="83"/>
        <v/>
      </c>
      <c r="CY652" s="926" t="str">
        <f t="shared" si="84"/>
        <v/>
      </c>
      <c r="CZ652" s="926" t="str">
        <f t="shared" si="85"/>
        <v/>
      </c>
      <c r="DA652" s="926" t="str">
        <f t="shared" si="86"/>
        <v/>
      </c>
      <c r="DB652" s="926" t="str">
        <f t="shared" si="87"/>
        <v/>
      </c>
      <c r="DC652" s="926" t="str">
        <f t="shared" si="88"/>
        <v/>
      </c>
      <c r="DD652" s="926" t="str">
        <f t="shared" si="89"/>
        <v/>
      </c>
      <c r="DE652" s="926" t="str">
        <f t="shared" si="90"/>
        <v/>
      </c>
      <c r="DF652" s="926" t="str">
        <f t="shared" si="91"/>
        <v/>
      </c>
      <c r="DG652" s="926" t="str">
        <f t="shared" si="92"/>
        <v/>
      </c>
      <c r="DH652" s="926" t="str">
        <f t="shared" si="93"/>
        <v/>
      </c>
      <c r="DI652" s="926" t="str">
        <f t="shared" si="94"/>
        <v/>
      </c>
      <c r="DJ652" s="926" t="str">
        <f t="shared" si="95"/>
        <v/>
      </c>
      <c r="DK652" s="926" t="str">
        <f t="shared" si="96"/>
        <v/>
      </c>
      <c r="DL652" s="926" t="str">
        <f t="shared" si="97"/>
        <v/>
      </c>
      <c r="DM652" s="926" t="str">
        <f t="shared" si="98"/>
        <v/>
      </c>
      <c r="DN652" s="926" t="str">
        <f t="shared" si="99"/>
        <v/>
      </c>
      <c r="DO652" s="926" t="str">
        <f t="shared" si="100"/>
        <v/>
      </c>
      <c r="DP652" s="926" t="str">
        <f t="shared" si="101"/>
        <v/>
      </c>
      <c r="DQ652" s="926" t="str">
        <f t="shared" si="102"/>
        <v/>
      </c>
      <c r="DR652" s="926" t="str">
        <f t="shared" si="103"/>
        <v/>
      </c>
      <c r="DS652" s="926" t="str">
        <f t="shared" si="104"/>
        <v/>
      </c>
      <c r="DT652" s="926" t="str">
        <f t="shared" si="105"/>
        <v/>
      </c>
      <c r="DU652" s="926" t="str">
        <f t="shared" si="106"/>
        <v/>
      </c>
      <c r="DV652" s="926" t="str">
        <f t="shared" si="107"/>
        <v/>
      </c>
      <c r="DW652" s="926" t="str">
        <f t="shared" si="108"/>
        <v/>
      </c>
      <c r="DX652" s="926" t="str">
        <f t="shared" si="109"/>
        <v/>
      </c>
      <c r="DY652" s="926" t="str">
        <f t="shared" si="110"/>
        <v/>
      </c>
      <c r="DZ652" s="926" t="str">
        <f t="shared" si="111"/>
        <v/>
      </c>
      <c r="EA652" s="926" t="str">
        <f t="shared" si="112"/>
        <v/>
      </c>
      <c r="EB652" s="926" t="str">
        <f t="shared" si="113"/>
        <v/>
      </c>
      <c r="EC652" s="926" t="str">
        <f t="shared" si="114"/>
        <v/>
      </c>
      <c r="ED652" s="926" t="str">
        <f t="shared" si="115"/>
        <v/>
      </c>
      <c r="EE652" s="926" t="str">
        <f t="shared" si="116"/>
        <v/>
      </c>
      <c r="EF652" s="926" t="str">
        <f t="shared" si="117"/>
        <v/>
      </c>
      <c r="EG652" s="926" t="str">
        <f t="shared" si="118"/>
        <v/>
      </c>
      <c r="EH652" s="926" t="str">
        <f t="shared" si="119"/>
        <v/>
      </c>
      <c r="EI652" s="926" t="str">
        <f t="shared" si="120"/>
        <v/>
      </c>
      <c r="EJ652" s="926" t="str">
        <f t="shared" si="121"/>
        <v/>
      </c>
      <c r="EK652" s="926" t="str">
        <f t="shared" si="122"/>
        <v/>
      </c>
      <c r="EL652" s="926" t="str">
        <f t="shared" si="123"/>
        <v/>
      </c>
      <c r="EM652" s="926" t="str">
        <f t="shared" si="124"/>
        <v/>
      </c>
      <c r="EN652" s="926" t="str">
        <f t="shared" si="125"/>
        <v/>
      </c>
      <c r="EO652" s="926" t="str">
        <f t="shared" si="126"/>
        <v/>
      </c>
      <c r="EP652" s="926" t="str">
        <f t="shared" si="127"/>
        <v/>
      </c>
      <c r="EQ652" s="926" t="str">
        <f t="shared" si="128"/>
        <v/>
      </c>
      <c r="ER652" s="926" t="str">
        <f t="shared" si="129"/>
        <v/>
      </c>
      <c r="ES652" s="926" t="str">
        <f t="shared" si="130"/>
        <v/>
      </c>
      <c r="ET652" s="926" t="str">
        <f t="shared" si="131"/>
        <v/>
      </c>
      <c r="EU652" s="926" t="str">
        <f t="shared" si="132"/>
        <v/>
      </c>
      <c r="EV652" s="2945" t="str">
        <f t="shared" si="133"/>
        <v/>
      </c>
      <c r="EW652" s="2945" t="str">
        <f t="shared" si="134"/>
        <v/>
      </c>
      <c r="EX652" s="2945" t="str">
        <f t="shared" si="135"/>
        <v/>
      </c>
      <c r="EY652" s="2945" t="str">
        <f t="shared" si="136"/>
        <v/>
      </c>
      <c r="EZ652" s="2945" t="str">
        <f t="shared" si="137"/>
        <v/>
      </c>
      <c r="FA652" s="2945" t="str">
        <f t="shared" si="138"/>
        <v/>
      </c>
      <c r="FB652" s="2945" t="str">
        <f t="shared" si="139"/>
        <v/>
      </c>
      <c r="FC652" s="2945" t="str">
        <f t="shared" si="140"/>
        <v/>
      </c>
      <c r="FD652" s="2945" t="str">
        <f t="shared" si="141"/>
        <v/>
      </c>
      <c r="FE652" s="2945" t="str">
        <f t="shared" si="142"/>
        <v/>
      </c>
      <c r="FF652" s="2945" t="str">
        <f t="shared" si="143"/>
        <v/>
      </c>
      <c r="FG652" s="2945" t="str">
        <f t="shared" si="144"/>
        <v/>
      </c>
      <c r="FH652" s="2945" t="str">
        <f t="shared" si="145"/>
        <v/>
      </c>
      <c r="FI652" s="2945" t="str">
        <f t="shared" si="146"/>
        <v/>
      </c>
      <c r="FJ652" s="2945" t="str">
        <f t="shared" si="147"/>
        <v/>
      </c>
      <c r="FK652" s="2945" t="str">
        <f t="shared" si="148"/>
        <v/>
      </c>
      <c r="FL652" s="2945" t="str">
        <f t="shared" si="149"/>
        <v/>
      </c>
      <c r="FM652" s="2945" t="str">
        <f t="shared" si="150"/>
        <v/>
      </c>
      <c r="FN652" s="2945" t="str">
        <f t="shared" si="151"/>
        <v/>
      </c>
      <c r="FO652" s="2945" t="str">
        <f t="shared" si="152"/>
        <v/>
      </c>
      <c r="FP652" s="2945" t="str">
        <f t="shared" si="153"/>
        <v/>
      </c>
      <c r="FQ652" s="2945" t="str">
        <f t="shared" si="154"/>
        <v/>
      </c>
      <c r="FR652" s="2945" t="str">
        <f t="shared" si="155"/>
        <v/>
      </c>
      <c r="FS652" s="2945" t="str">
        <f t="shared" si="156"/>
        <v/>
      </c>
      <c r="FT652" s="2945" t="str">
        <f t="shared" si="157"/>
        <v/>
      </c>
      <c r="FU652" s="2945" t="str">
        <f t="shared" si="158"/>
        <v/>
      </c>
      <c r="FV652" s="2945" t="str">
        <f t="shared" si="159"/>
        <v/>
      </c>
      <c r="FW652" s="2945" t="str">
        <f t="shared" si="160"/>
        <v/>
      </c>
      <c r="FX652" s="2945" t="str">
        <f t="shared" si="161"/>
        <v/>
      </c>
      <c r="FY652" s="2945" t="str">
        <f t="shared" si="162"/>
        <v/>
      </c>
      <c r="FZ652" s="2945" t="str">
        <f t="shared" si="163"/>
        <v/>
      </c>
      <c r="GA652" s="2945" t="str">
        <f t="shared" si="164"/>
        <v/>
      </c>
      <c r="GB652" s="2945" t="str">
        <f t="shared" si="165"/>
        <v/>
      </c>
      <c r="GC652" s="2945" t="str">
        <f t="shared" si="166"/>
        <v/>
      </c>
      <c r="GD652" s="2945" t="str">
        <f t="shared" si="167"/>
        <v/>
      </c>
      <c r="GE652" s="2945" t="str">
        <f t="shared" si="168"/>
        <v/>
      </c>
      <c r="GF652" s="2945" t="str">
        <f t="shared" si="169"/>
        <v/>
      </c>
      <c r="GG652" s="2945" t="str">
        <f t="shared" si="170"/>
        <v/>
      </c>
      <c r="GH652" s="2945" t="str">
        <f t="shared" si="171"/>
        <v/>
      </c>
      <c r="GI652" s="2945" t="str">
        <f t="shared" si="172"/>
        <v/>
      </c>
      <c r="GJ652" s="2945" t="str">
        <f t="shared" si="173"/>
        <v/>
      </c>
      <c r="GK652" s="2945" t="str">
        <f t="shared" si="174"/>
        <v/>
      </c>
      <c r="GL652" s="2945" t="str">
        <f t="shared" si="175"/>
        <v/>
      </c>
      <c r="GM652" s="2945" t="str">
        <f t="shared" si="176"/>
        <v/>
      </c>
      <c r="GN652" s="2945" t="str">
        <f t="shared" si="177"/>
        <v/>
      </c>
      <c r="GO652" s="2945" t="str">
        <f t="shared" si="178"/>
        <v/>
      </c>
      <c r="GP652" s="2945" t="str">
        <f t="shared" si="179"/>
        <v/>
      </c>
      <c r="GQ652" s="2945" t="str">
        <f t="shared" si="180"/>
        <v/>
      </c>
      <c r="GR652" s="2945" t="str">
        <f t="shared" si="181"/>
        <v/>
      </c>
      <c r="GS652" s="2945" t="str">
        <f t="shared" si="182"/>
        <v/>
      </c>
      <c r="GT652" s="2945" t="str">
        <f t="shared" si="183"/>
        <v/>
      </c>
      <c r="GU652" s="2945" t="str">
        <f t="shared" si="184"/>
        <v/>
      </c>
      <c r="GV652" s="2945" t="str">
        <f t="shared" si="185"/>
        <v/>
      </c>
      <c r="GW652" s="2945" t="str">
        <f t="shared" si="186"/>
        <v/>
      </c>
      <c r="GX652" s="2945" t="str">
        <f t="shared" si="187"/>
        <v/>
      </c>
      <c r="GY652" s="2945" t="str">
        <f t="shared" si="188"/>
        <v/>
      </c>
      <c r="GZ652" s="2945" t="str">
        <f t="shared" si="189"/>
        <v/>
      </c>
      <c r="HA652" s="2945" t="str">
        <f t="shared" si="190"/>
        <v/>
      </c>
      <c r="HB652" s="2945" t="str">
        <f t="shared" si="191"/>
        <v/>
      </c>
      <c r="HC652" s="2945" t="str">
        <f t="shared" si="192"/>
        <v/>
      </c>
      <c r="HD652" s="2945" t="str">
        <f t="shared" si="193"/>
        <v/>
      </c>
      <c r="HE652" s="2945" t="str">
        <f t="shared" si="194"/>
        <v/>
      </c>
      <c r="HF652" s="2945" t="str">
        <f t="shared" si="195"/>
        <v/>
      </c>
      <c r="HG652" s="2945" t="str">
        <f t="shared" si="196"/>
        <v/>
      </c>
      <c r="HH652" s="2945" t="str">
        <f t="shared" si="197"/>
        <v/>
      </c>
      <c r="HI652" s="2945" t="str">
        <f t="shared" si="198"/>
        <v/>
      </c>
      <c r="HJ652" s="2945" t="str">
        <f t="shared" si="199"/>
        <v/>
      </c>
      <c r="HK652" s="2945" t="str">
        <f t="shared" si="200"/>
        <v/>
      </c>
      <c r="HL652" s="2945" t="str">
        <f t="shared" si="201"/>
        <v/>
      </c>
      <c r="HM652" s="2945" t="str">
        <f t="shared" si="202"/>
        <v/>
      </c>
      <c r="HN652" s="2945" t="str">
        <f t="shared" si="203"/>
        <v/>
      </c>
      <c r="HO652" s="2945" t="str">
        <f t="shared" si="204"/>
        <v/>
      </c>
      <c r="HP652" s="2945" t="str">
        <f t="shared" si="205"/>
        <v/>
      </c>
      <c r="HQ652" s="2945" t="str">
        <f t="shared" si="206"/>
        <v/>
      </c>
      <c r="HR652" s="2945" t="str">
        <f t="shared" si="207"/>
        <v/>
      </c>
      <c r="HS652" s="2945" t="str">
        <f t="shared" si="208"/>
        <v/>
      </c>
      <c r="HT652" s="2945" t="str">
        <f t="shared" si="209"/>
        <v/>
      </c>
      <c r="HU652" s="2945" t="str">
        <f t="shared" si="210"/>
        <v/>
      </c>
      <c r="HV652" s="2945" t="str">
        <f t="shared" si="211"/>
        <v/>
      </c>
      <c r="HW652" s="2945" t="str">
        <f t="shared" si="212"/>
        <v/>
      </c>
      <c r="HX652" s="2945" t="str">
        <f t="shared" si="213"/>
        <v/>
      </c>
      <c r="HY652" s="2945" t="str">
        <f t="shared" si="214"/>
        <v/>
      </c>
      <c r="HZ652" s="2945" t="str">
        <f t="shared" si="215"/>
        <v/>
      </c>
      <c r="IA652" s="2945" t="str">
        <f t="shared" si="216"/>
        <v/>
      </c>
      <c r="IB652" s="2945" t="str">
        <f t="shared" si="217"/>
        <v/>
      </c>
      <c r="IC652" s="2911" t="str">
        <f t="shared" si="218"/>
        <v/>
      </c>
      <c r="ID652" s="2911" t="str">
        <f t="shared" si="219"/>
        <v/>
      </c>
      <c r="IE652" s="2911" t="str">
        <f t="shared" si="220"/>
        <v/>
      </c>
      <c r="IF652" s="2911" t="str">
        <f t="shared" si="221"/>
        <v/>
      </c>
      <c r="IG652" s="2911" t="str">
        <f t="shared" si="222"/>
        <v/>
      </c>
      <c r="IH652" s="926" t="str">
        <f t="shared" si="223"/>
        <v/>
      </c>
      <c r="II652" s="926" t="str">
        <f t="shared" si="224"/>
        <v/>
      </c>
      <c r="IJ652" s="926" t="str">
        <f t="shared" si="225"/>
        <v/>
      </c>
      <c r="IK652" s="926" t="str">
        <f t="shared" si="226"/>
        <v/>
      </c>
      <c r="IL652" s="926" t="str">
        <f t="shared" si="227"/>
        <v/>
      </c>
      <c r="IM652" s="926" t="str">
        <f t="shared" si="228"/>
        <v/>
      </c>
      <c r="IN652" s="926" t="str">
        <f t="shared" si="229"/>
        <v/>
      </c>
      <c r="IO652" s="926" t="str">
        <f t="shared" si="230"/>
        <v/>
      </c>
      <c r="IP652" s="926" t="str">
        <f t="shared" si="231"/>
        <v/>
      </c>
      <c r="IQ652" s="926" t="str">
        <f t="shared" si="232"/>
        <v/>
      </c>
      <c r="IR652" s="926" t="str">
        <f t="shared" si="233"/>
        <v/>
      </c>
      <c r="IS652" s="926" t="str">
        <f t="shared" si="234"/>
        <v/>
      </c>
      <c r="IT652" s="926" t="str">
        <f t="shared" si="235"/>
        <v/>
      </c>
      <c r="IU652" s="926" t="str">
        <f t="shared" si="236"/>
        <v/>
      </c>
      <c r="IV652" s="926" t="str">
        <f t="shared" si="237"/>
        <v/>
      </c>
      <c r="IW652" s="926" t="str">
        <f t="shared" si="238"/>
        <v/>
      </c>
      <c r="IX652" s="926" t="str">
        <f t="shared" si="239"/>
        <v/>
      </c>
      <c r="IY652" s="926" t="str">
        <f t="shared" si="240"/>
        <v/>
      </c>
      <c r="IZ652" s="926" t="str">
        <f t="shared" si="241"/>
        <v/>
      </c>
      <c r="JA652" s="926" t="str">
        <f t="shared" si="242"/>
        <v/>
      </c>
      <c r="JB652" s="2909">
        <f t="shared" si="243"/>
        <v>0</v>
      </c>
      <c r="JC652" s="2909">
        <f t="shared" si="244"/>
        <v>0</v>
      </c>
      <c r="JD652" s="2909">
        <f t="shared" si="245"/>
        <v>0</v>
      </c>
      <c r="JE652" s="2909">
        <f t="shared" si="246"/>
        <v>0</v>
      </c>
      <c r="JF652" s="2909">
        <f t="shared" si="247"/>
        <v>0</v>
      </c>
      <c r="JG652" s="2909">
        <f t="shared" si="248"/>
        <v>0</v>
      </c>
      <c r="JH652" s="2909">
        <f t="shared" si="249"/>
        <v>0</v>
      </c>
      <c r="JI652" s="2909">
        <f t="shared" si="250"/>
        <v>0</v>
      </c>
      <c r="JJ652" s="2909">
        <f t="shared" si="251"/>
        <v>0</v>
      </c>
      <c r="JK652" s="2909">
        <f t="shared" si="252"/>
        <v>0</v>
      </c>
      <c r="JL652" s="2909">
        <f t="shared" si="253"/>
        <v>0</v>
      </c>
      <c r="JM652" s="2909">
        <f t="shared" si="254"/>
        <v>0</v>
      </c>
      <c r="JN652" s="2909">
        <f t="shared" si="255"/>
        <v>0</v>
      </c>
      <c r="JO652" s="2909">
        <f t="shared" si="256"/>
        <v>0</v>
      </c>
      <c r="JP652" s="2909">
        <f t="shared" si="257"/>
        <v>0</v>
      </c>
    </row>
    <row r="653" spans="1:276" ht="12" customHeight="1">
      <c r="A653" s="2924" t="str">
        <f t="shared" si="0"/>
        <v/>
      </c>
      <c r="B653" s="2936" t="str">
        <f>'Part VI-Revenues &amp; Expenses'!B33</f>
        <v>&lt;&lt;Select&gt;&gt;</v>
      </c>
      <c r="C653" s="2937">
        <f>'Part VI-Revenues &amp; Expenses'!C33</f>
        <v>0</v>
      </c>
      <c r="D653" s="2938">
        <f>'Part VI-Revenues &amp; Expenses'!D33</f>
        <v>0</v>
      </c>
      <c r="E653" s="2939">
        <f>'Part VI-Revenues &amp; Expenses'!E33</f>
        <v>0</v>
      </c>
      <c r="F653" s="2939">
        <f>'Part VI-Revenues &amp; Expenses'!F33</f>
        <v>0</v>
      </c>
      <c r="G653" s="2939">
        <f>'Part VI-Revenues &amp; Expenses'!G33</f>
        <v>0</v>
      </c>
      <c r="H653" s="2939">
        <f>'Part VI-Revenues &amp; Expenses'!H33</f>
        <v>0</v>
      </c>
      <c r="I653" s="2939">
        <f>'Part VI-Revenues &amp; Expenses'!I33</f>
        <v>0</v>
      </c>
      <c r="J653" s="2940">
        <f>'Part VI-Revenues &amp; Expenses'!J33</f>
        <v>0</v>
      </c>
      <c r="K653" s="2941">
        <f t="shared" si="1"/>
        <v>0</v>
      </c>
      <c r="L653" s="2941">
        <f t="shared" si="2"/>
        <v>0</v>
      </c>
      <c r="M653" s="2918">
        <f>'Part VI-Revenues &amp; Expenses'!M33</f>
        <v>0</v>
      </c>
      <c r="N653" s="2918">
        <f>'Part VI-Revenues &amp; Expenses'!N33</f>
        <v>0</v>
      </c>
      <c r="O653" s="2918">
        <f>'Part VI-Revenues &amp; Expenses'!O33</f>
        <v>0</v>
      </c>
      <c r="P653" s="2918">
        <f>'Part VI-Revenues &amp; Expenses'!P33</f>
        <v>0</v>
      </c>
      <c r="Q653" s="2942">
        <f>IF(H653="","",P653/($O$626*VLOOKUP(C653,'DCA Underwriting Assumptions'!$J$118:$K$123,2,FALSE)))</f>
        <v>0</v>
      </c>
      <c r="R653" s="2943"/>
      <c r="S653" s="2942"/>
      <c r="T653" s="2944"/>
      <c r="U653" s="2944"/>
      <c r="V653" s="926" t="str">
        <f t="shared" si="3"/>
        <v/>
      </c>
      <c r="W653" s="926" t="str">
        <f t="shared" si="4"/>
        <v/>
      </c>
      <c r="X653" s="926" t="str">
        <f t="shared" si="5"/>
        <v/>
      </c>
      <c r="Y653" s="926" t="str">
        <f t="shared" si="6"/>
        <v/>
      </c>
      <c r="Z653" s="926" t="str">
        <f t="shared" si="7"/>
        <v/>
      </c>
      <c r="AA653" s="926" t="str">
        <f t="shared" si="8"/>
        <v/>
      </c>
      <c r="AB653" s="926" t="str">
        <f t="shared" si="9"/>
        <v/>
      </c>
      <c r="AC653" s="926" t="str">
        <f t="shared" si="10"/>
        <v/>
      </c>
      <c r="AD653" s="926" t="str">
        <f t="shared" si="11"/>
        <v/>
      </c>
      <c r="AE653" s="926" t="str">
        <f t="shared" si="12"/>
        <v/>
      </c>
      <c r="AF653" s="926" t="str">
        <f t="shared" si="13"/>
        <v/>
      </c>
      <c r="AG653" s="926" t="str">
        <f t="shared" si="14"/>
        <v/>
      </c>
      <c r="AH653" s="926" t="str">
        <f t="shared" si="15"/>
        <v/>
      </c>
      <c r="AI653" s="926" t="str">
        <f t="shared" si="16"/>
        <v/>
      </c>
      <c r="AJ653" s="926" t="str">
        <f t="shared" si="17"/>
        <v/>
      </c>
      <c r="AK653" s="926" t="str">
        <f t="shared" si="18"/>
        <v/>
      </c>
      <c r="AL653" s="926" t="str">
        <f t="shared" si="19"/>
        <v/>
      </c>
      <c r="AM653" s="926" t="str">
        <f t="shared" si="20"/>
        <v/>
      </c>
      <c r="AN653" s="926" t="str">
        <f t="shared" si="21"/>
        <v/>
      </c>
      <c r="AO653" s="926" t="str">
        <f t="shared" si="22"/>
        <v/>
      </c>
      <c r="AP653" s="926" t="str">
        <f t="shared" si="23"/>
        <v/>
      </c>
      <c r="AQ653" s="926" t="str">
        <f t="shared" si="24"/>
        <v/>
      </c>
      <c r="AR653" s="926" t="str">
        <f t="shared" si="25"/>
        <v/>
      </c>
      <c r="AS653" s="926" t="str">
        <f t="shared" si="26"/>
        <v/>
      </c>
      <c r="AT653" s="926" t="str">
        <f t="shared" si="27"/>
        <v/>
      </c>
      <c r="AU653" s="926" t="str">
        <f t="shared" si="28"/>
        <v/>
      </c>
      <c r="AV653" s="926" t="str">
        <f t="shared" si="29"/>
        <v/>
      </c>
      <c r="AW653" s="926" t="str">
        <f t="shared" si="30"/>
        <v/>
      </c>
      <c r="AX653" s="926" t="str">
        <f t="shared" si="31"/>
        <v/>
      </c>
      <c r="AY653" s="926" t="str">
        <f t="shared" si="32"/>
        <v/>
      </c>
      <c r="AZ653" s="926" t="str">
        <f t="shared" si="33"/>
        <v/>
      </c>
      <c r="BA653" s="926" t="str">
        <f t="shared" si="34"/>
        <v/>
      </c>
      <c r="BB653" s="926" t="str">
        <f t="shared" si="35"/>
        <v/>
      </c>
      <c r="BC653" s="926" t="str">
        <f t="shared" si="36"/>
        <v/>
      </c>
      <c r="BD653" s="926" t="str">
        <f t="shared" si="37"/>
        <v/>
      </c>
      <c r="BE653" s="926" t="str">
        <f t="shared" si="38"/>
        <v/>
      </c>
      <c r="BF653" s="926" t="str">
        <f t="shared" si="39"/>
        <v/>
      </c>
      <c r="BG653" s="926" t="str">
        <f t="shared" si="40"/>
        <v/>
      </c>
      <c r="BH653" s="926" t="str">
        <f t="shared" si="41"/>
        <v/>
      </c>
      <c r="BI653" s="926" t="str">
        <f t="shared" si="42"/>
        <v/>
      </c>
      <c r="BJ653" s="926" t="str">
        <f t="shared" si="43"/>
        <v/>
      </c>
      <c r="BK653" s="926" t="str">
        <f t="shared" si="44"/>
        <v/>
      </c>
      <c r="BL653" s="926" t="str">
        <f t="shared" si="45"/>
        <v/>
      </c>
      <c r="BM653" s="926" t="str">
        <f t="shared" si="46"/>
        <v/>
      </c>
      <c r="BN653" s="926" t="str">
        <f t="shared" si="47"/>
        <v/>
      </c>
      <c r="BO653" s="926" t="str">
        <f t="shared" si="48"/>
        <v/>
      </c>
      <c r="BP653" s="926" t="str">
        <f t="shared" si="49"/>
        <v/>
      </c>
      <c r="BQ653" s="926" t="str">
        <f t="shared" si="50"/>
        <v/>
      </c>
      <c r="BR653" s="926" t="str">
        <f t="shared" si="51"/>
        <v/>
      </c>
      <c r="BS653" s="926" t="str">
        <f t="shared" si="52"/>
        <v/>
      </c>
      <c r="BT653" s="926" t="str">
        <f t="shared" si="53"/>
        <v/>
      </c>
      <c r="BU653" s="926" t="str">
        <f t="shared" si="54"/>
        <v/>
      </c>
      <c r="BV653" s="926" t="str">
        <f t="shared" si="55"/>
        <v/>
      </c>
      <c r="BW653" s="926" t="str">
        <f t="shared" si="56"/>
        <v/>
      </c>
      <c r="BX653" s="926" t="str">
        <f t="shared" si="57"/>
        <v/>
      </c>
      <c r="BY653" s="926" t="str">
        <f t="shared" si="58"/>
        <v/>
      </c>
      <c r="BZ653" s="926" t="str">
        <f t="shared" si="59"/>
        <v/>
      </c>
      <c r="CA653" s="926" t="str">
        <f t="shared" si="60"/>
        <v/>
      </c>
      <c r="CB653" s="926" t="str">
        <f t="shared" si="61"/>
        <v/>
      </c>
      <c r="CC653" s="926" t="str">
        <f t="shared" si="62"/>
        <v/>
      </c>
      <c r="CD653" s="926" t="str">
        <f t="shared" si="63"/>
        <v/>
      </c>
      <c r="CE653" s="926" t="str">
        <f t="shared" si="64"/>
        <v/>
      </c>
      <c r="CF653" s="926" t="str">
        <f t="shared" si="65"/>
        <v/>
      </c>
      <c r="CG653" s="926" t="str">
        <f t="shared" si="66"/>
        <v/>
      </c>
      <c r="CH653" s="926" t="str">
        <f t="shared" si="67"/>
        <v/>
      </c>
      <c r="CI653" s="926" t="str">
        <f t="shared" si="68"/>
        <v/>
      </c>
      <c r="CJ653" s="926" t="str">
        <f t="shared" si="69"/>
        <v/>
      </c>
      <c r="CK653" s="926" t="str">
        <f t="shared" si="70"/>
        <v/>
      </c>
      <c r="CL653" s="926" t="str">
        <f t="shared" si="71"/>
        <v/>
      </c>
      <c r="CM653" s="926" t="str">
        <f t="shared" si="72"/>
        <v/>
      </c>
      <c r="CN653" s="926" t="str">
        <f t="shared" si="73"/>
        <v/>
      </c>
      <c r="CO653" s="926" t="str">
        <f t="shared" si="74"/>
        <v/>
      </c>
      <c r="CP653" s="926" t="str">
        <f t="shared" si="75"/>
        <v/>
      </c>
      <c r="CQ653" s="926" t="str">
        <f t="shared" si="76"/>
        <v/>
      </c>
      <c r="CR653" s="926" t="str">
        <f t="shared" si="77"/>
        <v/>
      </c>
      <c r="CS653" s="926" t="str">
        <f t="shared" si="78"/>
        <v/>
      </c>
      <c r="CT653" s="926" t="str">
        <f t="shared" si="79"/>
        <v/>
      </c>
      <c r="CU653" s="926" t="str">
        <f t="shared" si="80"/>
        <v/>
      </c>
      <c r="CV653" s="926" t="str">
        <f t="shared" si="81"/>
        <v/>
      </c>
      <c r="CW653" s="926" t="str">
        <f t="shared" si="82"/>
        <v/>
      </c>
      <c r="CX653" s="926" t="str">
        <f t="shared" si="83"/>
        <v/>
      </c>
      <c r="CY653" s="926" t="str">
        <f t="shared" si="84"/>
        <v/>
      </c>
      <c r="CZ653" s="926" t="str">
        <f t="shared" si="85"/>
        <v/>
      </c>
      <c r="DA653" s="926" t="str">
        <f t="shared" si="86"/>
        <v/>
      </c>
      <c r="DB653" s="926" t="str">
        <f t="shared" si="87"/>
        <v/>
      </c>
      <c r="DC653" s="926" t="str">
        <f t="shared" si="88"/>
        <v/>
      </c>
      <c r="DD653" s="926" t="str">
        <f t="shared" si="89"/>
        <v/>
      </c>
      <c r="DE653" s="926" t="str">
        <f t="shared" si="90"/>
        <v/>
      </c>
      <c r="DF653" s="926" t="str">
        <f t="shared" si="91"/>
        <v/>
      </c>
      <c r="DG653" s="926" t="str">
        <f t="shared" si="92"/>
        <v/>
      </c>
      <c r="DH653" s="926" t="str">
        <f t="shared" si="93"/>
        <v/>
      </c>
      <c r="DI653" s="926" t="str">
        <f t="shared" si="94"/>
        <v/>
      </c>
      <c r="DJ653" s="926" t="str">
        <f t="shared" si="95"/>
        <v/>
      </c>
      <c r="DK653" s="926" t="str">
        <f t="shared" si="96"/>
        <v/>
      </c>
      <c r="DL653" s="926" t="str">
        <f t="shared" si="97"/>
        <v/>
      </c>
      <c r="DM653" s="926" t="str">
        <f t="shared" si="98"/>
        <v/>
      </c>
      <c r="DN653" s="926" t="str">
        <f t="shared" si="99"/>
        <v/>
      </c>
      <c r="DO653" s="926" t="str">
        <f t="shared" si="100"/>
        <v/>
      </c>
      <c r="DP653" s="926" t="str">
        <f t="shared" si="101"/>
        <v/>
      </c>
      <c r="DQ653" s="926" t="str">
        <f t="shared" si="102"/>
        <v/>
      </c>
      <c r="DR653" s="926" t="str">
        <f t="shared" si="103"/>
        <v/>
      </c>
      <c r="DS653" s="926" t="str">
        <f t="shared" si="104"/>
        <v/>
      </c>
      <c r="DT653" s="926" t="str">
        <f t="shared" si="105"/>
        <v/>
      </c>
      <c r="DU653" s="926" t="str">
        <f t="shared" si="106"/>
        <v/>
      </c>
      <c r="DV653" s="926" t="str">
        <f t="shared" si="107"/>
        <v/>
      </c>
      <c r="DW653" s="926" t="str">
        <f t="shared" si="108"/>
        <v/>
      </c>
      <c r="DX653" s="926" t="str">
        <f t="shared" si="109"/>
        <v/>
      </c>
      <c r="DY653" s="926" t="str">
        <f t="shared" si="110"/>
        <v/>
      </c>
      <c r="DZ653" s="926" t="str">
        <f t="shared" si="111"/>
        <v/>
      </c>
      <c r="EA653" s="926" t="str">
        <f t="shared" si="112"/>
        <v/>
      </c>
      <c r="EB653" s="926" t="str">
        <f t="shared" si="113"/>
        <v/>
      </c>
      <c r="EC653" s="926" t="str">
        <f t="shared" si="114"/>
        <v/>
      </c>
      <c r="ED653" s="926" t="str">
        <f t="shared" si="115"/>
        <v/>
      </c>
      <c r="EE653" s="926" t="str">
        <f t="shared" si="116"/>
        <v/>
      </c>
      <c r="EF653" s="926" t="str">
        <f t="shared" si="117"/>
        <v/>
      </c>
      <c r="EG653" s="926" t="str">
        <f t="shared" si="118"/>
        <v/>
      </c>
      <c r="EH653" s="926" t="str">
        <f t="shared" si="119"/>
        <v/>
      </c>
      <c r="EI653" s="926" t="str">
        <f t="shared" si="120"/>
        <v/>
      </c>
      <c r="EJ653" s="926" t="str">
        <f t="shared" si="121"/>
        <v/>
      </c>
      <c r="EK653" s="926" t="str">
        <f t="shared" si="122"/>
        <v/>
      </c>
      <c r="EL653" s="926" t="str">
        <f t="shared" si="123"/>
        <v/>
      </c>
      <c r="EM653" s="926" t="str">
        <f t="shared" si="124"/>
        <v/>
      </c>
      <c r="EN653" s="926" t="str">
        <f t="shared" si="125"/>
        <v/>
      </c>
      <c r="EO653" s="926" t="str">
        <f t="shared" si="126"/>
        <v/>
      </c>
      <c r="EP653" s="926" t="str">
        <f t="shared" si="127"/>
        <v/>
      </c>
      <c r="EQ653" s="926" t="str">
        <f t="shared" si="128"/>
        <v/>
      </c>
      <c r="ER653" s="926" t="str">
        <f t="shared" si="129"/>
        <v/>
      </c>
      <c r="ES653" s="926" t="str">
        <f t="shared" si="130"/>
        <v/>
      </c>
      <c r="ET653" s="926" t="str">
        <f t="shared" si="131"/>
        <v/>
      </c>
      <c r="EU653" s="926" t="str">
        <f t="shared" si="132"/>
        <v/>
      </c>
      <c r="EV653" s="2945" t="str">
        <f t="shared" si="133"/>
        <v/>
      </c>
      <c r="EW653" s="2945" t="str">
        <f t="shared" si="134"/>
        <v/>
      </c>
      <c r="EX653" s="2945" t="str">
        <f t="shared" si="135"/>
        <v/>
      </c>
      <c r="EY653" s="2945" t="str">
        <f t="shared" si="136"/>
        <v/>
      </c>
      <c r="EZ653" s="2945" t="str">
        <f t="shared" si="137"/>
        <v/>
      </c>
      <c r="FA653" s="2945" t="str">
        <f t="shared" si="138"/>
        <v/>
      </c>
      <c r="FB653" s="2945" t="str">
        <f t="shared" si="139"/>
        <v/>
      </c>
      <c r="FC653" s="2945" t="str">
        <f t="shared" si="140"/>
        <v/>
      </c>
      <c r="FD653" s="2945" t="str">
        <f t="shared" si="141"/>
        <v/>
      </c>
      <c r="FE653" s="2945" t="str">
        <f t="shared" si="142"/>
        <v/>
      </c>
      <c r="FF653" s="2945" t="str">
        <f t="shared" si="143"/>
        <v/>
      </c>
      <c r="FG653" s="2945" t="str">
        <f t="shared" si="144"/>
        <v/>
      </c>
      <c r="FH653" s="2945" t="str">
        <f t="shared" si="145"/>
        <v/>
      </c>
      <c r="FI653" s="2945" t="str">
        <f t="shared" si="146"/>
        <v/>
      </c>
      <c r="FJ653" s="2945" t="str">
        <f t="shared" si="147"/>
        <v/>
      </c>
      <c r="FK653" s="2945" t="str">
        <f t="shared" si="148"/>
        <v/>
      </c>
      <c r="FL653" s="2945" t="str">
        <f t="shared" si="149"/>
        <v/>
      </c>
      <c r="FM653" s="2945" t="str">
        <f t="shared" si="150"/>
        <v/>
      </c>
      <c r="FN653" s="2945" t="str">
        <f t="shared" si="151"/>
        <v/>
      </c>
      <c r="FO653" s="2945" t="str">
        <f t="shared" si="152"/>
        <v/>
      </c>
      <c r="FP653" s="2945" t="str">
        <f t="shared" si="153"/>
        <v/>
      </c>
      <c r="FQ653" s="2945" t="str">
        <f t="shared" si="154"/>
        <v/>
      </c>
      <c r="FR653" s="2945" t="str">
        <f t="shared" si="155"/>
        <v/>
      </c>
      <c r="FS653" s="2945" t="str">
        <f t="shared" si="156"/>
        <v/>
      </c>
      <c r="FT653" s="2945" t="str">
        <f t="shared" si="157"/>
        <v/>
      </c>
      <c r="FU653" s="2945" t="str">
        <f t="shared" si="158"/>
        <v/>
      </c>
      <c r="FV653" s="2945" t="str">
        <f t="shared" si="159"/>
        <v/>
      </c>
      <c r="FW653" s="2945" t="str">
        <f t="shared" si="160"/>
        <v/>
      </c>
      <c r="FX653" s="2945" t="str">
        <f t="shared" si="161"/>
        <v/>
      </c>
      <c r="FY653" s="2945" t="str">
        <f t="shared" si="162"/>
        <v/>
      </c>
      <c r="FZ653" s="2945" t="str">
        <f t="shared" si="163"/>
        <v/>
      </c>
      <c r="GA653" s="2945" t="str">
        <f t="shared" si="164"/>
        <v/>
      </c>
      <c r="GB653" s="2945" t="str">
        <f t="shared" si="165"/>
        <v/>
      </c>
      <c r="GC653" s="2945" t="str">
        <f t="shared" si="166"/>
        <v/>
      </c>
      <c r="GD653" s="2945" t="str">
        <f t="shared" si="167"/>
        <v/>
      </c>
      <c r="GE653" s="2945" t="str">
        <f t="shared" si="168"/>
        <v/>
      </c>
      <c r="GF653" s="2945" t="str">
        <f t="shared" si="169"/>
        <v/>
      </c>
      <c r="GG653" s="2945" t="str">
        <f t="shared" si="170"/>
        <v/>
      </c>
      <c r="GH653" s="2945" t="str">
        <f t="shared" si="171"/>
        <v/>
      </c>
      <c r="GI653" s="2945" t="str">
        <f t="shared" si="172"/>
        <v/>
      </c>
      <c r="GJ653" s="2945" t="str">
        <f t="shared" si="173"/>
        <v/>
      </c>
      <c r="GK653" s="2945" t="str">
        <f t="shared" si="174"/>
        <v/>
      </c>
      <c r="GL653" s="2945" t="str">
        <f t="shared" si="175"/>
        <v/>
      </c>
      <c r="GM653" s="2945" t="str">
        <f t="shared" si="176"/>
        <v/>
      </c>
      <c r="GN653" s="2945" t="str">
        <f t="shared" si="177"/>
        <v/>
      </c>
      <c r="GO653" s="2945" t="str">
        <f t="shared" si="178"/>
        <v/>
      </c>
      <c r="GP653" s="2945" t="str">
        <f t="shared" si="179"/>
        <v/>
      </c>
      <c r="GQ653" s="2945" t="str">
        <f t="shared" si="180"/>
        <v/>
      </c>
      <c r="GR653" s="2945" t="str">
        <f t="shared" si="181"/>
        <v/>
      </c>
      <c r="GS653" s="2945" t="str">
        <f t="shared" si="182"/>
        <v/>
      </c>
      <c r="GT653" s="2945" t="str">
        <f t="shared" si="183"/>
        <v/>
      </c>
      <c r="GU653" s="2945" t="str">
        <f t="shared" si="184"/>
        <v/>
      </c>
      <c r="GV653" s="2945" t="str">
        <f t="shared" si="185"/>
        <v/>
      </c>
      <c r="GW653" s="2945" t="str">
        <f t="shared" si="186"/>
        <v/>
      </c>
      <c r="GX653" s="2945" t="str">
        <f t="shared" si="187"/>
        <v/>
      </c>
      <c r="GY653" s="2945" t="str">
        <f t="shared" si="188"/>
        <v/>
      </c>
      <c r="GZ653" s="2945" t="str">
        <f t="shared" si="189"/>
        <v/>
      </c>
      <c r="HA653" s="2945" t="str">
        <f t="shared" si="190"/>
        <v/>
      </c>
      <c r="HB653" s="2945" t="str">
        <f t="shared" si="191"/>
        <v/>
      </c>
      <c r="HC653" s="2945" t="str">
        <f t="shared" si="192"/>
        <v/>
      </c>
      <c r="HD653" s="2945" t="str">
        <f t="shared" si="193"/>
        <v/>
      </c>
      <c r="HE653" s="2945" t="str">
        <f t="shared" si="194"/>
        <v/>
      </c>
      <c r="HF653" s="2945" t="str">
        <f t="shared" si="195"/>
        <v/>
      </c>
      <c r="HG653" s="2945" t="str">
        <f t="shared" si="196"/>
        <v/>
      </c>
      <c r="HH653" s="2945" t="str">
        <f t="shared" si="197"/>
        <v/>
      </c>
      <c r="HI653" s="2945" t="str">
        <f t="shared" si="198"/>
        <v/>
      </c>
      <c r="HJ653" s="2945" t="str">
        <f t="shared" si="199"/>
        <v/>
      </c>
      <c r="HK653" s="2945" t="str">
        <f t="shared" si="200"/>
        <v/>
      </c>
      <c r="HL653" s="2945" t="str">
        <f t="shared" si="201"/>
        <v/>
      </c>
      <c r="HM653" s="2945" t="str">
        <f t="shared" si="202"/>
        <v/>
      </c>
      <c r="HN653" s="2945" t="str">
        <f t="shared" si="203"/>
        <v/>
      </c>
      <c r="HO653" s="2945" t="str">
        <f t="shared" si="204"/>
        <v/>
      </c>
      <c r="HP653" s="2945" t="str">
        <f t="shared" si="205"/>
        <v/>
      </c>
      <c r="HQ653" s="2945" t="str">
        <f t="shared" si="206"/>
        <v/>
      </c>
      <c r="HR653" s="2945" t="str">
        <f t="shared" si="207"/>
        <v/>
      </c>
      <c r="HS653" s="2945" t="str">
        <f t="shared" si="208"/>
        <v/>
      </c>
      <c r="HT653" s="2945" t="str">
        <f t="shared" si="209"/>
        <v/>
      </c>
      <c r="HU653" s="2945" t="str">
        <f t="shared" si="210"/>
        <v/>
      </c>
      <c r="HV653" s="2945" t="str">
        <f t="shared" si="211"/>
        <v/>
      </c>
      <c r="HW653" s="2945" t="str">
        <f t="shared" si="212"/>
        <v/>
      </c>
      <c r="HX653" s="2945" t="str">
        <f t="shared" si="213"/>
        <v/>
      </c>
      <c r="HY653" s="2945" t="str">
        <f t="shared" si="214"/>
        <v/>
      </c>
      <c r="HZ653" s="2945" t="str">
        <f t="shared" si="215"/>
        <v/>
      </c>
      <c r="IA653" s="2945" t="str">
        <f t="shared" si="216"/>
        <v/>
      </c>
      <c r="IB653" s="2945" t="str">
        <f t="shared" si="217"/>
        <v/>
      </c>
      <c r="IC653" s="2911" t="str">
        <f t="shared" si="218"/>
        <v/>
      </c>
      <c r="ID653" s="2911" t="str">
        <f t="shared" si="219"/>
        <v/>
      </c>
      <c r="IE653" s="2911" t="str">
        <f t="shared" si="220"/>
        <v/>
      </c>
      <c r="IF653" s="2911" t="str">
        <f t="shared" si="221"/>
        <v/>
      </c>
      <c r="IG653" s="2911" t="str">
        <f t="shared" si="222"/>
        <v/>
      </c>
      <c r="IH653" s="926" t="str">
        <f t="shared" si="223"/>
        <v/>
      </c>
      <c r="II653" s="926" t="str">
        <f t="shared" si="224"/>
        <v/>
      </c>
      <c r="IJ653" s="926" t="str">
        <f t="shared" si="225"/>
        <v/>
      </c>
      <c r="IK653" s="926" t="str">
        <f t="shared" si="226"/>
        <v/>
      </c>
      <c r="IL653" s="926" t="str">
        <f t="shared" si="227"/>
        <v/>
      </c>
      <c r="IM653" s="926" t="str">
        <f t="shared" si="228"/>
        <v/>
      </c>
      <c r="IN653" s="926" t="str">
        <f t="shared" si="229"/>
        <v/>
      </c>
      <c r="IO653" s="926" t="str">
        <f t="shared" si="230"/>
        <v/>
      </c>
      <c r="IP653" s="926" t="str">
        <f t="shared" si="231"/>
        <v/>
      </c>
      <c r="IQ653" s="926" t="str">
        <f t="shared" si="232"/>
        <v/>
      </c>
      <c r="IR653" s="926" t="str">
        <f t="shared" si="233"/>
        <v/>
      </c>
      <c r="IS653" s="926" t="str">
        <f t="shared" si="234"/>
        <v/>
      </c>
      <c r="IT653" s="926" t="str">
        <f t="shared" si="235"/>
        <v/>
      </c>
      <c r="IU653" s="926" t="str">
        <f t="shared" si="236"/>
        <v/>
      </c>
      <c r="IV653" s="926" t="str">
        <f t="shared" si="237"/>
        <v/>
      </c>
      <c r="IW653" s="926" t="str">
        <f t="shared" si="238"/>
        <v/>
      </c>
      <c r="IX653" s="926" t="str">
        <f t="shared" si="239"/>
        <v/>
      </c>
      <c r="IY653" s="926" t="str">
        <f t="shared" si="240"/>
        <v/>
      </c>
      <c r="IZ653" s="926" t="str">
        <f t="shared" si="241"/>
        <v/>
      </c>
      <c r="JA653" s="926" t="str">
        <f t="shared" si="242"/>
        <v/>
      </c>
      <c r="JB653" s="2909">
        <f t="shared" si="243"/>
        <v>0</v>
      </c>
      <c r="JC653" s="2909">
        <f t="shared" si="244"/>
        <v>0</v>
      </c>
      <c r="JD653" s="2909">
        <f t="shared" si="245"/>
        <v>0</v>
      </c>
      <c r="JE653" s="2909">
        <f t="shared" si="246"/>
        <v>0</v>
      </c>
      <c r="JF653" s="2909">
        <f t="shared" si="247"/>
        <v>0</v>
      </c>
      <c r="JG653" s="2909">
        <f t="shared" si="248"/>
        <v>0</v>
      </c>
      <c r="JH653" s="2909">
        <f t="shared" si="249"/>
        <v>0</v>
      </c>
      <c r="JI653" s="2909">
        <f t="shared" si="250"/>
        <v>0</v>
      </c>
      <c r="JJ653" s="2909">
        <f t="shared" si="251"/>
        <v>0</v>
      </c>
      <c r="JK653" s="2909">
        <f t="shared" si="252"/>
        <v>0</v>
      </c>
      <c r="JL653" s="2909">
        <f t="shared" si="253"/>
        <v>0</v>
      </c>
      <c r="JM653" s="2909">
        <f t="shared" si="254"/>
        <v>0</v>
      </c>
      <c r="JN653" s="2909">
        <f t="shared" si="255"/>
        <v>0</v>
      </c>
      <c r="JO653" s="2909">
        <f t="shared" si="256"/>
        <v>0</v>
      </c>
      <c r="JP653" s="2909">
        <f t="shared" si="257"/>
        <v>0</v>
      </c>
    </row>
    <row r="654" spans="1:276" ht="12" customHeight="1">
      <c r="A654" s="2924" t="str">
        <f t="shared" si="0"/>
        <v/>
      </c>
      <c r="B654" s="2936" t="str">
        <f>'Part VI-Revenues &amp; Expenses'!B34</f>
        <v>&lt;&lt;Select&gt;&gt;</v>
      </c>
      <c r="C654" s="2937">
        <f>'Part VI-Revenues &amp; Expenses'!C34</f>
        <v>0</v>
      </c>
      <c r="D654" s="2938">
        <f>'Part VI-Revenues &amp; Expenses'!D34</f>
        <v>0</v>
      </c>
      <c r="E654" s="2939">
        <f>'Part VI-Revenues &amp; Expenses'!E34</f>
        <v>0</v>
      </c>
      <c r="F654" s="2939">
        <f>'Part VI-Revenues &amp; Expenses'!F34</f>
        <v>0</v>
      </c>
      <c r="G654" s="2939">
        <f>'Part VI-Revenues &amp; Expenses'!G34</f>
        <v>0</v>
      </c>
      <c r="H654" s="2939">
        <f>'Part VI-Revenues &amp; Expenses'!H34</f>
        <v>0</v>
      </c>
      <c r="I654" s="2939">
        <f>'Part VI-Revenues &amp; Expenses'!I34</f>
        <v>0</v>
      </c>
      <c r="J654" s="2940">
        <f>'Part VI-Revenues &amp; Expenses'!J34</f>
        <v>0</v>
      </c>
      <c r="K654" s="2941">
        <f t="shared" si="1"/>
        <v>0</v>
      </c>
      <c r="L654" s="2941">
        <f t="shared" si="2"/>
        <v>0</v>
      </c>
      <c r="M654" s="2918">
        <f>'Part VI-Revenues &amp; Expenses'!M34</f>
        <v>0</v>
      </c>
      <c r="N654" s="2918">
        <f>'Part VI-Revenues &amp; Expenses'!N34</f>
        <v>0</v>
      </c>
      <c r="O654" s="2918">
        <f>'Part VI-Revenues &amp; Expenses'!O34</f>
        <v>0</v>
      </c>
      <c r="P654" s="2918">
        <f>'Part VI-Revenues &amp; Expenses'!P34</f>
        <v>0</v>
      </c>
      <c r="Q654" s="2942">
        <f>IF(H654="","",P654/($O$626*VLOOKUP(C654,'DCA Underwriting Assumptions'!$J$118:$K$123,2,FALSE)))</f>
        <v>0</v>
      </c>
      <c r="R654" s="2943"/>
      <c r="S654" s="2942"/>
      <c r="T654" s="2944"/>
      <c r="U654" s="2944"/>
      <c r="V654" s="926" t="str">
        <f t="shared" si="3"/>
        <v/>
      </c>
      <c r="W654" s="926" t="str">
        <f t="shared" si="4"/>
        <v/>
      </c>
      <c r="X654" s="926" t="str">
        <f t="shared" si="5"/>
        <v/>
      </c>
      <c r="Y654" s="926" t="str">
        <f t="shared" si="6"/>
        <v/>
      </c>
      <c r="Z654" s="926" t="str">
        <f t="shared" si="7"/>
        <v/>
      </c>
      <c r="AA654" s="926" t="str">
        <f t="shared" si="8"/>
        <v/>
      </c>
      <c r="AB654" s="926" t="str">
        <f t="shared" si="9"/>
        <v/>
      </c>
      <c r="AC654" s="926" t="str">
        <f t="shared" si="10"/>
        <v/>
      </c>
      <c r="AD654" s="926" t="str">
        <f t="shared" si="11"/>
        <v/>
      </c>
      <c r="AE654" s="926" t="str">
        <f t="shared" si="12"/>
        <v/>
      </c>
      <c r="AF654" s="926" t="str">
        <f t="shared" si="13"/>
        <v/>
      </c>
      <c r="AG654" s="926" t="str">
        <f t="shared" si="14"/>
        <v/>
      </c>
      <c r="AH654" s="926" t="str">
        <f t="shared" si="15"/>
        <v/>
      </c>
      <c r="AI654" s="926" t="str">
        <f t="shared" si="16"/>
        <v/>
      </c>
      <c r="AJ654" s="926" t="str">
        <f t="shared" si="17"/>
        <v/>
      </c>
      <c r="AK654" s="926" t="str">
        <f t="shared" si="18"/>
        <v/>
      </c>
      <c r="AL654" s="926" t="str">
        <f t="shared" si="19"/>
        <v/>
      </c>
      <c r="AM654" s="926" t="str">
        <f t="shared" si="20"/>
        <v/>
      </c>
      <c r="AN654" s="926" t="str">
        <f t="shared" si="21"/>
        <v/>
      </c>
      <c r="AO654" s="926" t="str">
        <f t="shared" si="22"/>
        <v/>
      </c>
      <c r="AP654" s="926" t="str">
        <f t="shared" si="23"/>
        <v/>
      </c>
      <c r="AQ654" s="926" t="str">
        <f t="shared" si="24"/>
        <v/>
      </c>
      <c r="AR654" s="926" t="str">
        <f t="shared" si="25"/>
        <v/>
      </c>
      <c r="AS654" s="926" t="str">
        <f t="shared" si="26"/>
        <v/>
      </c>
      <c r="AT654" s="926" t="str">
        <f t="shared" si="27"/>
        <v/>
      </c>
      <c r="AU654" s="926" t="str">
        <f t="shared" si="28"/>
        <v/>
      </c>
      <c r="AV654" s="926" t="str">
        <f t="shared" si="29"/>
        <v/>
      </c>
      <c r="AW654" s="926" t="str">
        <f t="shared" si="30"/>
        <v/>
      </c>
      <c r="AX654" s="926" t="str">
        <f t="shared" si="31"/>
        <v/>
      </c>
      <c r="AY654" s="926" t="str">
        <f t="shared" si="32"/>
        <v/>
      </c>
      <c r="AZ654" s="926" t="str">
        <f t="shared" si="33"/>
        <v/>
      </c>
      <c r="BA654" s="926" t="str">
        <f t="shared" si="34"/>
        <v/>
      </c>
      <c r="BB654" s="926" t="str">
        <f t="shared" si="35"/>
        <v/>
      </c>
      <c r="BC654" s="926" t="str">
        <f t="shared" si="36"/>
        <v/>
      </c>
      <c r="BD654" s="926" t="str">
        <f t="shared" si="37"/>
        <v/>
      </c>
      <c r="BE654" s="926" t="str">
        <f t="shared" si="38"/>
        <v/>
      </c>
      <c r="BF654" s="926" t="str">
        <f t="shared" si="39"/>
        <v/>
      </c>
      <c r="BG654" s="926" t="str">
        <f t="shared" si="40"/>
        <v/>
      </c>
      <c r="BH654" s="926" t="str">
        <f t="shared" si="41"/>
        <v/>
      </c>
      <c r="BI654" s="926" t="str">
        <f t="shared" si="42"/>
        <v/>
      </c>
      <c r="BJ654" s="926" t="str">
        <f t="shared" si="43"/>
        <v/>
      </c>
      <c r="BK654" s="926" t="str">
        <f t="shared" si="44"/>
        <v/>
      </c>
      <c r="BL654" s="926" t="str">
        <f t="shared" si="45"/>
        <v/>
      </c>
      <c r="BM654" s="926" t="str">
        <f t="shared" si="46"/>
        <v/>
      </c>
      <c r="BN654" s="926" t="str">
        <f t="shared" si="47"/>
        <v/>
      </c>
      <c r="BO654" s="926" t="str">
        <f t="shared" si="48"/>
        <v/>
      </c>
      <c r="BP654" s="926" t="str">
        <f t="shared" si="49"/>
        <v/>
      </c>
      <c r="BQ654" s="926" t="str">
        <f t="shared" si="50"/>
        <v/>
      </c>
      <c r="BR654" s="926" t="str">
        <f t="shared" si="51"/>
        <v/>
      </c>
      <c r="BS654" s="926" t="str">
        <f t="shared" si="52"/>
        <v/>
      </c>
      <c r="BT654" s="926" t="str">
        <f t="shared" si="53"/>
        <v/>
      </c>
      <c r="BU654" s="926" t="str">
        <f t="shared" si="54"/>
        <v/>
      </c>
      <c r="BV654" s="926" t="str">
        <f t="shared" si="55"/>
        <v/>
      </c>
      <c r="BW654" s="926" t="str">
        <f t="shared" si="56"/>
        <v/>
      </c>
      <c r="BX654" s="926" t="str">
        <f t="shared" si="57"/>
        <v/>
      </c>
      <c r="BY654" s="926" t="str">
        <f t="shared" si="58"/>
        <v/>
      </c>
      <c r="BZ654" s="926" t="str">
        <f t="shared" si="59"/>
        <v/>
      </c>
      <c r="CA654" s="926" t="str">
        <f t="shared" si="60"/>
        <v/>
      </c>
      <c r="CB654" s="926" t="str">
        <f t="shared" si="61"/>
        <v/>
      </c>
      <c r="CC654" s="926" t="str">
        <f t="shared" si="62"/>
        <v/>
      </c>
      <c r="CD654" s="926" t="str">
        <f t="shared" si="63"/>
        <v/>
      </c>
      <c r="CE654" s="926" t="str">
        <f t="shared" si="64"/>
        <v/>
      </c>
      <c r="CF654" s="926" t="str">
        <f t="shared" si="65"/>
        <v/>
      </c>
      <c r="CG654" s="926" t="str">
        <f t="shared" si="66"/>
        <v/>
      </c>
      <c r="CH654" s="926" t="str">
        <f t="shared" si="67"/>
        <v/>
      </c>
      <c r="CI654" s="926" t="str">
        <f t="shared" si="68"/>
        <v/>
      </c>
      <c r="CJ654" s="926" t="str">
        <f t="shared" si="69"/>
        <v/>
      </c>
      <c r="CK654" s="926" t="str">
        <f t="shared" si="70"/>
        <v/>
      </c>
      <c r="CL654" s="926" t="str">
        <f t="shared" si="71"/>
        <v/>
      </c>
      <c r="CM654" s="926" t="str">
        <f t="shared" si="72"/>
        <v/>
      </c>
      <c r="CN654" s="926" t="str">
        <f t="shared" si="73"/>
        <v/>
      </c>
      <c r="CO654" s="926" t="str">
        <f t="shared" si="74"/>
        <v/>
      </c>
      <c r="CP654" s="926" t="str">
        <f t="shared" si="75"/>
        <v/>
      </c>
      <c r="CQ654" s="926" t="str">
        <f t="shared" si="76"/>
        <v/>
      </c>
      <c r="CR654" s="926" t="str">
        <f t="shared" si="77"/>
        <v/>
      </c>
      <c r="CS654" s="926" t="str">
        <f t="shared" si="78"/>
        <v/>
      </c>
      <c r="CT654" s="926" t="str">
        <f t="shared" si="79"/>
        <v/>
      </c>
      <c r="CU654" s="926" t="str">
        <f t="shared" si="80"/>
        <v/>
      </c>
      <c r="CV654" s="926" t="str">
        <f t="shared" si="81"/>
        <v/>
      </c>
      <c r="CW654" s="926" t="str">
        <f t="shared" si="82"/>
        <v/>
      </c>
      <c r="CX654" s="926" t="str">
        <f t="shared" si="83"/>
        <v/>
      </c>
      <c r="CY654" s="926" t="str">
        <f t="shared" si="84"/>
        <v/>
      </c>
      <c r="CZ654" s="926" t="str">
        <f t="shared" si="85"/>
        <v/>
      </c>
      <c r="DA654" s="926" t="str">
        <f t="shared" si="86"/>
        <v/>
      </c>
      <c r="DB654" s="926" t="str">
        <f t="shared" si="87"/>
        <v/>
      </c>
      <c r="DC654" s="926" t="str">
        <f t="shared" si="88"/>
        <v/>
      </c>
      <c r="DD654" s="926" t="str">
        <f t="shared" si="89"/>
        <v/>
      </c>
      <c r="DE654" s="926" t="str">
        <f t="shared" si="90"/>
        <v/>
      </c>
      <c r="DF654" s="926" t="str">
        <f t="shared" si="91"/>
        <v/>
      </c>
      <c r="DG654" s="926" t="str">
        <f t="shared" si="92"/>
        <v/>
      </c>
      <c r="DH654" s="926" t="str">
        <f t="shared" si="93"/>
        <v/>
      </c>
      <c r="DI654" s="926" t="str">
        <f t="shared" si="94"/>
        <v/>
      </c>
      <c r="DJ654" s="926" t="str">
        <f t="shared" si="95"/>
        <v/>
      </c>
      <c r="DK654" s="926" t="str">
        <f t="shared" si="96"/>
        <v/>
      </c>
      <c r="DL654" s="926" t="str">
        <f t="shared" si="97"/>
        <v/>
      </c>
      <c r="DM654" s="926" t="str">
        <f t="shared" si="98"/>
        <v/>
      </c>
      <c r="DN654" s="926" t="str">
        <f t="shared" si="99"/>
        <v/>
      </c>
      <c r="DO654" s="926" t="str">
        <f t="shared" si="100"/>
        <v/>
      </c>
      <c r="DP654" s="926" t="str">
        <f t="shared" si="101"/>
        <v/>
      </c>
      <c r="DQ654" s="926" t="str">
        <f t="shared" si="102"/>
        <v/>
      </c>
      <c r="DR654" s="926" t="str">
        <f t="shared" si="103"/>
        <v/>
      </c>
      <c r="DS654" s="926" t="str">
        <f t="shared" si="104"/>
        <v/>
      </c>
      <c r="DT654" s="926" t="str">
        <f t="shared" si="105"/>
        <v/>
      </c>
      <c r="DU654" s="926" t="str">
        <f t="shared" si="106"/>
        <v/>
      </c>
      <c r="DV654" s="926" t="str">
        <f t="shared" si="107"/>
        <v/>
      </c>
      <c r="DW654" s="926" t="str">
        <f t="shared" si="108"/>
        <v/>
      </c>
      <c r="DX654" s="926" t="str">
        <f t="shared" si="109"/>
        <v/>
      </c>
      <c r="DY654" s="926" t="str">
        <f t="shared" si="110"/>
        <v/>
      </c>
      <c r="DZ654" s="926" t="str">
        <f t="shared" si="111"/>
        <v/>
      </c>
      <c r="EA654" s="926" t="str">
        <f t="shared" si="112"/>
        <v/>
      </c>
      <c r="EB654" s="926" t="str">
        <f t="shared" si="113"/>
        <v/>
      </c>
      <c r="EC654" s="926" t="str">
        <f t="shared" si="114"/>
        <v/>
      </c>
      <c r="ED654" s="926" t="str">
        <f t="shared" si="115"/>
        <v/>
      </c>
      <c r="EE654" s="926" t="str">
        <f t="shared" si="116"/>
        <v/>
      </c>
      <c r="EF654" s="926" t="str">
        <f t="shared" si="117"/>
        <v/>
      </c>
      <c r="EG654" s="926" t="str">
        <f t="shared" si="118"/>
        <v/>
      </c>
      <c r="EH654" s="926" t="str">
        <f t="shared" si="119"/>
        <v/>
      </c>
      <c r="EI654" s="926" t="str">
        <f t="shared" si="120"/>
        <v/>
      </c>
      <c r="EJ654" s="926" t="str">
        <f t="shared" si="121"/>
        <v/>
      </c>
      <c r="EK654" s="926" t="str">
        <f t="shared" si="122"/>
        <v/>
      </c>
      <c r="EL654" s="926" t="str">
        <f t="shared" si="123"/>
        <v/>
      </c>
      <c r="EM654" s="926" t="str">
        <f t="shared" si="124"/>
        <v/>
      </c>
      <c r="EN654" s="926" t="str">
        <f t="shared" si="125"/>
        <v/>
      </c>
      <c r="EO654" s="926" t="str">
        <f t="shared" si="126"/>
        <v/>
      </c>
      <c r="EP654" s="926" t="str">
        <f t="shared" si="127"/>
        <v/>
      </c>
      <c r="EQ654" s="926" t="str">
        <f t="shared" si="128"/>
        <v/>
      </c>
      <c r="ER654" s="926" t="str">
        <f t="shared" si="129"/>
        <v/>
      </c>
      <c r="ES654" s="926" t="str">
        <f t="shared" si="130"/>
        <v/>
      </c>
      <c r="ET654" s="926" t="str">
        <f t="shared" si="131"/>
        <v/>
      </c>
      <c r="EU654" s="926" t="str">
        <f t="shared" si="132"/>
        <v/>
      </c>
      <c r="EV654" s="2945" t="str">
        <f t="shared" si="133"/>
        <v/>
      </c>
      <c r="EW654" s="2945" t="str">
        <f t="shared" si="134"/>
        <v/>
      </c>
      <c r="EX654" s="2945" t="str">
        <f t="shared" si="135"/>
        <v/>
      </c>
      <c r="EY654" s="2945" t="str">
        <f t="shared" si="136"/>
        <v/>
      </c>
      <c r="EZ654" s="2945" t="str">
        <f t="shared" si="137"/>
        <v/>
      </c>
      <c r="FA654" s="2945" t="str">
        <f t="shared" si="138"/>
        <v/>
      </c>
      <c r="FB654" s="2945" t="str">
        <f t="shared" si="139"/>
        <v/>
      </c>
      <c r="FC654" s="2945" t="str">
        <f t="shared" si="140"/>
        <v/>
      </c>
      <c r="FD654" s="2945" t="str">
        <f t="shared" si="141"/>
        <v/>
      </c>
      <c r="FE654" s="2945" t="str">
        <f t="shared" si="142"/>
        <v/>
      </c>
      <c r="FF654" s="2945" t="str">
        <f t="shared" si="143"/>
        <v/>
      </c>
      <c r="FG654" s="2945" t="str">
        <f t="shared" si="144"/>
        <v/>
      </c>
      <c r="FH654" s="2945" t="str">
        <f t="shared" si="145"/>
        <v/>
      </c>
      <c r="FI654" s="2945" t="str">
        <f t="shared" si="146"/>
        <v/>
      </c>
      <c r="FJ654" s="2945" t="str">
        <f t="shared" si="147"/>
        <v/>
      </c>
      <c r="FK654" s="2945" t="str">
        <f t="shared" si="148"/>
        <v/>
      </c>
      <c r="FL654" s="2945" t="str">
        <f t="shared" si="149"/>
        <v/>
      </c>
      <c r="FM654" s="2945" t="str">
        <f t="shared" si="150"/>
        <v/>
      </c>
      <c r="FN654" s="2945" t="str">
        <f t="shared" si="151"/>
        <v/>
      </c>
      <c r="FO654" s="2945" t="str">
        <f t="shared" si="152"/>
        <v/>
      </c>
      <c r="FP654" s="2945" t="str">
        <f t="shared" si="153"/>
        <v/>
      </c>
      <c r="FQ654" s="2945" t="str">
        <f t="shared" si="154"/>
        <v/>
      </c>
      <c r="FR654" s="2945" t="str">
        <f t="shared" si="155"/>
        <v/>
      </c>
      <c r="FS654" s="2945" t="str">
        <f t="shared" si="156"/>
        <v/>
      </c>
      <c r="FT654" s="2945" t="str">
        <f t="shared" si="157"/>
        <v/>
      </c>
      <c r="FU654" s="2945" t="str">
        <f t="shared" si="158"/>
        <v/>
      </c>
      <c r="FV654" s="2945" t="str">
        <f t="shared" si="159"/>
        <v/>
      </c>
      <c r="FW654" s="2945" t="str">
        <f t="shared" si="160"/>
        <v/>
      </c>
      <c r="FX654" s="2945" t="str">
        <f t="shared" si="161"/>
        <v/>
      </c>
      <c r="FY654" s="2945" t="str">
        <f t="shared" si="162"/>
        <v/>
      </c>
      <c r="FZ654" s="2945" t="str">
        <f t="shared" si="163"/>
        <v/>
      </c>
      <c r="GA654" s="2945" t="str">
        <f t="shared" si="164"/>
        <v/>
      </c>
      <c r="GB654" s="2945" t="str">
        <f t="shared" si="165"/>
        <v/>
      </c>
      <c r="GC654" s="2945" t="str">
        <f t="shared" si="166"/>
        <v/>
      </c>
      <c r="GD654" s="2945" t="str">
        <f t="shared" si="167"/>
        <v/>
      </c>
      <c r="GE654" s="2945" t="str">
        <f t="shared" si="168"/>
        <v/>
      </c>
      <c r="GF654" s="2945" t="str">
        <f t="shared" si="169"/>
        <v/>
      </c>
      <c r="GG654" s="2945" t="str">
        <f t="shared" si="170"/>
        <v/>
      </c>
      <c r="GH654" s="2945" t="str">
        <f t="shared" si="171"/>
        <v/>
      </c>
      <c r="GI654" s="2945" t="str">
        <f t="shared" si="172"/>
        <v/>
      </c>
      <c r="GJ654" s="2945" t="str">
        <f t="shared" si="173"/>
        <v/>
      </c>
      <c r="GK654" s="2945" t="str">
        <f t="shared" si="174"/>
        <v/>
      </c>
      <c r="GL654" s="2945" t="str">
        <f t="shared" si="175"/>
        <v/>
      </c>
      <c r="GM654" s="2945" t="str">
        <f t="shared" si="176"/>
        <v/>
      </c>
      <c r="GN654" s="2945" t="str">
        <f t="shared" si="177"/>
        <v/>
      </c>
      <c r="GO654" s="2945" t="str">
        <f t="shared" si="178"/>
        <v/>
      </c>
      <c r="GP654" s="2945" t="str">
        <f t="shared" si="179"/>
        <v/>
      </c>
      <c r="GQ654" s="2945" t="str">
        <f t="shared" si="180"/>
        <v/>
      </c>
      <c r="GR654" s="2945" t="str">
        <f t="shared" si="181"/>
        <v/>
      </c>
      <c r="GS654" s="2945" t="str">
        <f t="shared" si="182"/>
        <v/>
      </c>
      <c r="GT654" s="2945" t="str">
        <f t="shared" si="183"/>
        <v/>
      </c>
      <c r="GU654" s="2945" t="str">
        <f t="shared" si="184"/>
        <v/>
      </c>
      <c r="GV654" s="2945" t="str">
        <f t="shared" si="185"/>
        <v/>
      </c>
      <c r="GW654" s="2945" t="str">
        <f t="shared" si="186"/>
        <v/>
      </c>
      <c r="GX654" s="2945" t="str">
        <f t="shared" si="187"/>
        <v/>
      </c>
      <c r="GY654" s="2945" t="str">
        <f t="shared" si="188"/>
        <v/>
      </c>
      <c r="GZ654" s="2945" t="str">
        <f t="shared" si="189"/>
        <v/>
      </c>
      <c r="HA654" s="2945" t="str">
        <f t="shared" si="190"/>
        <v/>
      </c>
      <c r="HB654" s="2945" t="str">
        <f t="shared" si="191"/>
        <v/>
      </c>
      <c r="HC654" s="2945" t="str">
        <f t="shared" si="192"/>
        <v/>
      </c>
      <c r="HD654" s="2945" t="str">
        <f t="shared" si="193"/>
        <v/>
      </c>
      <c r="HE654" s="2945" t="str">
        <f t="shared" si="194"/>
        <v/>
      </c>
      <c r="HF654" s="2945" t="str">
        <f t="shared" si="195"/>
        <v/>
      </c>
      <c r="HG654" s="2945" t="str">
        <f t="shared" si="196"/>
        <v/>
      </c>
      <c r="HH654" s="2945" t="str">
        <f t="shared" si="197"/>
        <v/>
      </c>
      <c r="HI654" s="2945" t="str">
        <f t="shared" si="198"/>
        <v/>
      </c>
      <c r="HJ654" s="2945" t="str">
        <f t="shared" si="199"/>
        <v/>
      </c>
      <c r="HK654" s="2945" t="str">
        <f t="shared" si="200"/>
        <v/>
      </c>
      <c r="HL654" s="2945" t="str">
        <f t="shared" si="201"/>
        <v/>
      </c>
      <c r="HM654" s="2945" t="str">
        <f t="shared" si="202"/>
        <v/>
      </c>
      <c r="HN654" s="2945" t="str">
        <f t="shared" si="203"/>
        <v/>
      </c>
      <c r="HO654" s="2945" t="str">
        <f t="shared" si="204"/>
        <v/>
      </c>
      <c r="HP654" s="2945" t="str">
        <f t="shared" si="205"/>
        <v/>
      </c>
      <c r="HQ654" s="2945" t="str">
        <f t="shared" si="206"/>
        <v/>
      </c>
      <c r="HR654" s="2945" t="str">
        <f t="shared" si="207"/>
        <v/>
      </c>
      <c r="HS654" s="2945" t="str">
        <f t="shared" si="208"/>
        <v/>
      </c>
      <c r="HT654" s="2945" t="str">
        <f t="shared" si="209"/>
        <v/>
      </c>
      <c r="HU654" s="2945" t="str">
        <f t="shared" si="210"/>
        <v/>
      </c>
      <c r="HV654" s="2945" t="str">
        <f t="shared" si="211"/>
        <v/>
      </c>
      <c r="HW654" s="2945" t="str">
        <f t="shared" si="212"/>
        <v/>
      </c>
      <c r="HX654" s="2945" t="str">
        <f t="shared" si="213"/>
        <v/>
      </c>
      <c r="HY654" s="2945" t="str">
        <f t="shared" si="214"/>
        <v/>
      </c>
      <c r="HZ654" s="2945" t="str">
        <f t="shared" si="215"/>
        <v/>
      </c>
      <c r="IA654" s="2945" t="str">
        <f t="shared" si="216"/>
        <v/>
      </c>
      <c r="IB654" s="2945" t="str">
        <f t="shared" si="217"/>
        <v/>
      </c>
      <c r="IC654" s="2911" t="str">
        <f t="shared" si="218"/>
        <v/>
      </c>
      <c r="ID654" s="2911" t="str">
        <f t="shared" si="219"/>
        <v/>
      </c>
      <c r="IE654" s="2911" t="str">
        <f t="shared" si="220"/>
        <v/>
      </c>
      <c r="IF654" s="2911" t="str">
        <f t="shared" si="221"/>
        <v/>
      </c>
      <c r="IG654" s="2911" t="str">
        <f t="shared" si="222"/>
        <v/>
      </c>
      <c r="IH654" s="926" t="str">
        <f t="shared" si="223"/>
        <v/>
      </c>
      <c r="II654" s="926" t="str">
        <f t="shared" si="224"/>
        <v/>
      </c>
      <c r="IJ654" s="926" t="str">
        <f t="shared" si="225"/>
        <v/>
      </c>
      <c r="IK654" s="926" t="str">
        <f t="shared" si="226"/>
        <v/>
      </c>
      <c r="IL654" s="926" t="str">
        <f t="shared" si="227"/>
        <v/>
      </c>
      <c r="IM654" s="926" t="str">
        <f t="shared" si="228"/>
        <v/>
      </c>
      <c r="IN654" s="926" t="str">
        <f t="shared" si="229"/>
        <v/>
      </c>
      <c r="IO654" s="926" t="str">
        <f t="shared" si="230"/>
        <v/>
      </c>
      <c r="IP654" s="926" t="str">
        <f t="shared" si="231"/>
        <v/>
      </c>
      <c r="IQ654" s="926" t="str">
        <f t="shared" si="232"/>
        <v/>
      </c>
      <c r="IR654" s="926" t="str">
        <f t="shared" si="233"/>
        <v/>
      </c>
      <c r="IS654" s="926" t="str">
        <f t="shared" si="234"/>
        <v/>
      </c>
      <c r="IT654" s="926" t="str">
        <f t="shared" si="235"/>
        <v/>
      </c>
      <c r="IU654" s="926" t="str">
        <f t="shared" si="236"/>
        <v/>
      </c>
      <c r="IV654" s="926" t="str">
        <f t="shared" si="237"/>
        <v/>
      </c>
      <c r="IW654" s="926" t="str">
        <f t="shared" si="238"/>
        <v/>
      </c>
      <c r="IX654" s="926" t="str">
        <f t="shared" si="239"/>
        <v/>
      </c>
      <c r="IY654" s="926" t="str">
        <f t="shared" si="240"/>
        <v/>
      </c>
      <c r="IZ654" s="926" t="str">
        <f t="shared" si="241"/>
        <v/>
      </c>
      <c r="JA654" s="926" t="str">
        <f t="shared" si="242"/>
        <v/>
      </c>
      <c r="JB654" s="2909">
        <f t="shared" si="243"/>
        <v>0</v>
      </c>
      <c r="JC654" s="2909">
        <f t="shared" si="244"/>
        <v>0</v>
      </c>
      <c r="JD654" s="2909">
        <f t="shared" si="245"/>
        <v>0</v>
      </c>
      <c r="JE654" s="2909">
        <f t="shared" si="246"/>
        <v>0</v>
      </c>
      <c r="JF654" s="2909">
        <f t="shared" si="247"/>
        <v>0</v>
      </c>
      <c r="JG654" s="2909">
        <f t="shared" si="248"/>
        <v>0</v>
      </c>
      <c r="JH654" s="2909">
        <f t="shared" si="249"/>
        <v>0</v>
      </c>
      <c r="JI654" s="2909">
        <f t="shared" si="250"/>
        <v>0</v>
      </c>
      <c r="JJ654" s="2909">
        <f t="shared" si="251"/>
        <v>0</v>
      </c>
      <c r="JK654" s="2909">
        <f t="shared" si="252"/>
        <v>0</v>
      </c>
      <c r="JL654" s="2909">
        <f t="shared" si="253"/>
        <v>0</v>
      </c>
      <c r="JM654" s="2909">
        <f t="shared" si="254"/>
        <v>0</v>
      </c>
      <c r="JN654" s="2909">
        <f t="shared" si="255"/>
        <v>0</v>
      </c>
      <c r="JO654" s="2909">
        <f t="shared" si="256"/>
        <v>0</v>
      </c>
      <c r="JP654" s="2909">
        <f t="shared" si="257"/>
        <v>0</v>
      </c>
    </row>
    <row r="655" spans="1:276" ht="12" customHeight="1">
      <c r="A655" s="2924" t="str">
        <f t="shared" si="0"/>
        <v/>
      </c>
      <c r="B655" s="2936" t="str">
        <f>'Part VI-Revenues &amp; Expenses'!B35</f>
        <v>&lt;&lt;Select&gt;&gt;</v>
      </c>
      <c r="C655" s="2937">
        <f>'Part VI-Revenues &amp; Expenses'!C35</f>
        <v>0</v>
      </c>
      <c r="D655" s="2938">
        <f>'Part VI-Revenues &amp; Expenses'!D35</f>
        <v>0</v>
      </c>
      <c r="E655" s="2939">
        <f>'Part VI-Revenues &amp; Expenses'!E35</f>
        <v>0</v>
      </c>
      <c r="F655" s="2939">
        <f>'Part VI-Revenues &amp; Expenses'!F35</f>
        <v>0</v>
      </c>
      <c r="G655" s="2939">
        <f>'Part VI-Revenues &amp; Expenses'!G35</f>
        <v>0</v>
      </c>
      <c r="H655" s="2939">
        <f>'Part VI-Revenues &amp; Expenses'!H35</f>
        <v>0</v>
      </c>
      <c r="I655" s="2939">
        <f>'Part VI-Revenues &amp; Expenses'!I35</f>
        <v>0</v>
      </c>
      <c r="J655" s="2940">
        <f>'Part VI-Revenues &amp; Expenses'!J35</f>
        <v>0</v>
      </c>
      <c r="K655" s="2941">
        <f t="shared" si="1"/>
        <v>0</v>
      </c>
      <c r="L655" s="2941">
        <f t="shared" si="2"/>
        <v>0</v>
      </c>
      <c r="M655" s="2918">
        <f>'Part VI-Revenues &amp; Expenses'!M35</f>
        <v>0</v>
      </c>
      <c r="N655" s="2918">
        <f>'Part VI-Revenues &amp; Expenses'!N35</f>
        <v>0</v>
      </c>
      <c r="O655" s="2918">
        <f>'Part VI-Revenues &amp; Expenses'!O35</f>
        <v>0</v>
      </c>
      <c r="P655" s="2918">
        <f>'Part VI-Revenues &amp; Expenses'!P35</f>
        <v>0</v>
      </c>
      <c r="Q655" s="2942">
        <f>IF(H655="","",P655/($O$626*VLOOKUP(C655,'DCA Underwriting Assumptions'!$J$118:$K$123,2,FALSE)))</f>
        <v>0</v>
      </c>
      <c r="R655" s="2943"/>
      <c r="S655" s="2942"/>
      <c r="T655" s="2944"/>
      <c r="U655" s="2944"/>
      <c r="V655" s="926" t="str">
        <f t="shared" si="3"/>
        <v/>
      </c>
      <c r="W655" s="926" t="str">
        <f t="shared" si="4"/>
        <v/>
      </c>
      <c r="X655" s="926" t="str">
        <f t="shared" si="5"/>
        <v/>
      </c>
      <c r="Y655" s="926" t="str">
        <f t="shared" si="6"/>
        <v/>
      </c>
      <c r="Z655" s="926" t="str">
        <f t="shared" si="7"/>
        <v/>
      </c>
      <c r="AA655" s="926" t="str">
        <f t="shared" si="8"/>
        <v/>
      </c>
      <c r="AB655" s="926" t="str">
        <f t="shared" si="9"/>
        <v/>
      </c>
      <c r="AC655" s="926" t="str">
        <f t="shared" si="10"/>
        <v/>
      </c>
      <c r="AD655" s="926" t="str">
        <f t="shared" si="11"/>
        <v/>
      </c>
      <c r="AE655" s="926" t="str">
        <f t="shared" si="12"/>
        <v/>
      </c>
      <c r="AF655" s="926" t="str">
        <f t="shared" si="13"/>
        <v/>
      </c>
      <c r="AG655" s="926" t="str">
        <f t="shared" si="14"/>
        <v/>
      </c>
      <c r="AH655" s="926" t="str">
        <f t="shared" si="15"/>
        <v/>
      </c>
      <c r="AI655" s="926" t="str">
        <f t="shared" si="16"/>
        <v/>
      </c>
      <c r="AJ655" s="926" t="str">
        <f t="shared" si="17"/>
        <v/>
      </c>
      <c r="AK655" s="926" t="str">
        <f t="shared" si="18"/>
        <v/>
      </c>
      <c r="AL655" s="926" t="str">
        <f t="shared" si="19"/>
        <v/>
      </c>
      <c r="AM655" s="926" t="str">
        <f t="shared" si="20"/>
        <v/>
      </c>
      <c r="AN655" s="926" t="str">
        <f t="shared" si="21"/>
        <v/>
      </c>
      <c r="AO655" s="926" t="str">
        <f t="shared" si="22"/>
        <v/>
      </c>
      <c r="AP655" s="926" t="str">
        <f t="shared" si="23"/>
        <v/>
      </c>
      <c r="AQ655" s="926" t="str">
        <f t="shared" si="24"/>
        <v/>
      </c>
      <c r="AR655" s="926" t="str">
        <f t="shared" si="25"/>
        <v/>
      </c>
      <c r="AS655" s="926" t="str">
        <f t="shared" si="26"/>
        <v/>
      </c>
      <c r="AT655" s="926" t="str">
        <f t="shared" si="27"/>
        <v/>
      </c>
      <c r="AU655" s="926" t="str">
        <f t="shared" si="28"/>
        <v/>
      </c>
      <c r="AV655" s="926" t="str">
        <f t="shared" si="29"/>
        <v/>
      </c>
      <c r="AW655" s="926" t="str">
        <f t="shared" si="30"/>
        <v/>
      </c>
      <c r="AX655" s="926" t="str">
        <f t="shared" si="31"/>
        <v/>
      </c>
      <c r="AY655" s="926" t="str">
        <f t="shared" si="32"/>
        <v/>
      </c>
      <c r="AZ655" s="926" t="str">
        <f t="shared" si="33"/>
        <v/>
      </c>
      <c r="BA655" s="926" t="str">
        <f t="shared" si="34"/>
        <v/>
      </c>
      <c r="BB655" s="926" t="str">
        <f t="shared" si="35"/>
        <v/>
      </c>
      <c r="BC655" s="926" t="str">
        <f t="shared" si="36"/>
        <v/>
      </c>
      <c r="BD655" s="926" t="str">
        <f t="shared" si="37"/>
        <v/>
      </c>
      <c r="BE655" s="926" t="str">
        <f t="shared" si="38"/>
        <v/>
      </c>
      <c r="BF655" s="926" t="str">
        <f t="shared" si="39"/>
        <v/>
      </c>
      <c r="BG655" s="926" t="str">
        <f t="shared" si="40"/>
        <v/>
      </c>
      <c r="BH655" s="926" t="str">
        <f t="shared" si="41"/>
        <v/>
      </c>
      <c r="BI655" s="926" t="str">
        <f t="shared" si="42"/>
        <v/>
      </c>
      <c r="BJ655" s="926" t="str">
        <f t="shared" si="43"/>
        <v/>
      </c>
      <c r="BK655" s="926" t="str">
        <f t="shared" si="44"/>
        <v/>
      </c>
      <c r="BL655" s="926" t="str">
        <f t="shared" si="45"/>
        <v/>
      </c>
      <c r="BM655" s="926" t="str">
        <f t="shared" si="46"/>
        <v/>
      </c>
      <c r="BN655" s="926" t="str">
        <f t="shared" si="47"/>
        <v/>
      </c>
      <c r="BO655" s="926" t="str">
        <f t="shared" si="48"/>
        <v/>
      </c>
      <c r="BP655" s="926" t="str">
        <f t="shared" si="49"/>
        <v/>
      </c>
      <c r="BQ655" s="926" t="str">
        <f t="shared" si="50"/>
        <v/>
      </c>
      <c r="BR655" s="926" t="str">
        <f t="shared" si="51"/>
        <v/>
      </c>
      <c r="BS655" s="926" t="str">
        <f t="shared" si="52"/>
        <v/>
      </c>
      <c r="BT655" s="926" t="str">
        <f t="shared" si="53"/>
        <v/>
      </c>
      <c r="BU655" s="926" t="str">
        <f t="shared" si="54"/>
        <v/>
      </c>
      <c r="BV655" s="926" t="str">
        <f t="shared" si="55"/>
        <v/>
      </c>
      <c r="BW655" s="926" t="str">
        <f t="shared" si="56"/>
        <v/>
      </c>
      <c r="BX655" s="926" t="str">
        <f t="shared" si="57"/>
        <v/>
      </c>
      <c r="BY655" s="926" t="str">
        <f t="shared" si="58"/>
        <v/>
      </c>
      <c r="BZ655" s="926" t="str">
        <f t="shared" si="59"/>
        <v/>
      </c>
      <c r="CA655" s="926" t="str">
        <f t="shared" si="60"/>
        <v/>
      </c>
      <c r="CB655" s="926" t="str">
        <f t="shared" si="61"/>
        <v/>
      </c>
      <c r="CC655" s="926" t="str">
        <f t="shared" si="62"/>
        <v/>
      </c>
      <c r="CD655" s="926" t="str">
        <f t="shared" si="63"/>
        <v/>
      </c>
      <c r="CE655" s="926" t="str">
        <f t="shared" si="64"/>
        <v/>
      </c>
      <c r="CF655" s="926" t="str">
        <f t="shared" si="65"/>
        <v/>
      </c>
      <c r="CG655" s="926" t="str">
        <f t="shared" si="66"/>
        <v/>
      </c>
      <c r="CH655" s="926" t="str">
        <f t="shared" si="67"/>
        <v/>
      </c>
      <c r="CI655" s="926" t="str">
        <f t="shared" si="68"/>
        <v/>
      </c>
      <c r="CJ655" s="926" t="str">
        <f t="shared" si="69"/>
        <v/>
      </c>
      <c r="CK655" s="926" t="str">
        <f t="shared" si="70"/>
        <v/>
      </c>
      <c r="CL655" s="926" t="str">
        <f t="shared" si="71"/>
        <v/>
      </c>
      <c r="CM655" s="926" t="str">
        <f t="shared" si="72"/>
        <v/>
      </c>
      <c r="CN655" s="926" t="str">
        <f t="shared" si="73"/>
        <v/>
      </c>
      <c r="CO655" s="926" t="str">
        <f t="shared" si="74"/>
        <v/>
      </c>
      <c r="CP655" s="926" t="str">
        <f t="shared" si="75"/>
        <v/>
      </c>
      <c r="CQ655" s="926" t="str">
        <f t="shared" si="76"/>
        <v/>
      </c>
      <c r="CR655" s="926" t="str">
        <f t="shared" si="77"/>
        <v/>
      </c>
      <c r="CS655" s="926" t="str">
        <f t="shared" si="78"/>
        <v/>
      </c>
      <c r="CT655" s="926" t="str">
        <f t="shared" si="79"/>
        <v/>
      </c>
      <c r="CU655" s="926" t="str">
        <f t="shared" si="80"/>
        <v/>
      </c>
      <c r="CV655" s="926" t="str">
        <f t="shared" si="81"/>
        <v/>
      </c>
      <c r="CW655" s="926" t="str">
        <f t="shared" si="82"/>
        <v/>
      </c>
      <c r="CX655" s="926" t="str">
        <f t="shared" si="83"/>
        <v/>
      </c>
      <c r="CY655" s="926" t="str">
        <f t="shared" si="84"/>
        <v/>
      </c>
      <c r="CZ655" s="926" t="str">
        <f t="shared" si="85"/>
        <v/>
      </c>
      <c r="DA655" s="926" t="str">
        <f t="shared" si="86"/>
        <v/>
      </c>
      <c r="DB655" s="926" t="str">
        <f t="shared" si="87"/>
        <v/>
      </c>
      <c r="DC655" s="926" t="str">
        <f t="shared" si="88"/>
        <v/>
      </c>
      <c r="DD655" s="926" t="str">
        <f t="shared" si="89"/>
        <v/>
      </c>
      <c r="DE655" s="926" t="str">
        <f t="shared" si="90"/>
        <v/>
      </c>
      <c r="DF655" s="926" t="str">
        <f t="shared" si="91"/>
        <v/>
      </c>
      <c r="DG655" s="926" t="str">
        <f t="shared" si="92"/>
        <v/>
      </c>
      <c r="DH655" s="926" t="str">
        <f t="shared" si="93"/>
        <v/>
      </c>
      <c r="DI655" s="926" t="str">
        <f t="shared" si="94"/>
        <v/>
      </c>
      <c r="DJ655" s="926" t="str">
        <f t="shared" si="95"/>
        <v/>
      </c>
      <c r="DK655" s="926" t="str">
        <f t="shared" si="96"/>
        <v/>
      </c>
      <c r="DL655" s="926" t="str">
        <f t="shared" si="97"/>
        <v/>
      </c>
      <c r="DM655" s="926" t="str">
        <f t="shared" si="98"/>
        <v/>
      </c>
      <c r="DN655" s="926" t="str">
        <f t="shared" si="99"/>
        <v/>
      </c>
      <c r="DO655" s="926" t="str">
        <f t="shared" si="100"/>
        <v/>
      </c>
      <c r="DP655" s="926" t="str">
        <f t="shared" si="101"/>
        <v/>
      </c>
      <c r="DQ655" s="926" t="str">
        <f t="shared" si="102"/>
        <v/>
      </c>
      <c r="DR655" s="926" t="str">
        <f t="shared" si="103"/>
        <v/>
      </c>
      <c r="DS655" s="926" t="str">
        <f t="shared" si="104"/>
        <v/>
      </c>
      <c r="DT655" s="926" t="str">
        <f t="shared" si="105"/>
        <v/>
      </c>
      <c r="DU655" s="926" t="str">
        <f t="shared" si="106"/>
        <v/>
      </c>
      <c r="DV655" s="926" t="str">
        <f t="shared" si="107"/>
        <v/>
      </c>
      <c r="DW655" s="926" t="str">
        <f t="shared" si="108"/>
        <v/>
      </c>
      <c r="DX655" s="926" t="str">
        <f t="shared" si="109"/>
        <v/>
      </c>
      <c r="DY655" s="926" t="str">
        <f t="shared" si="110"/>
        <v/>
      </c>
      <c r="DZ655" s="926" t="str">
        <f t="shared" si="111"/>
        <v/>
      </c>
      <c r="EA655" s="926" t="str">
        <f t="shared" si="112"/>
        <v/>
      </c>
      <c r="EB655" s="926" t="str">
        <f t="shared" si="113"/>
        <v/>
      </c>
      <c r="EC655" s="926" t="str">
        <f t="shared" si="114"/>
        <v/>
      </c>
      <c r="ED655" s="926" t="str">
        <f t="shared" si="115"/>
        <v/>
      </c>
      <c r="EE655" s="926" t="str">
        <f t="shared" si="116"/>
        <v/>
      </c>
      <c r="EF655" s="926" t="str">
        <f t="shared" si="117"/>
        <v/>
      </c>
      <c r="EG655" s="926" t="str">
        <f t="shared" si="118"/>
        <v/>
      </c>
      <c r="EH655" s="926" t="str">
        <f t="shared" si="119"/>
        <v/>
      </c>
      <c r="EI655" s="926" t="str">
        <f t="shared" si="120"/>
        <v/>
      </c>
      <c r="EJ655" s="926" t="str">
        <f t="shared" si="121"/>
        <v/>
      </c>
      <c r="EK655" s="926" t="str">
        <f t="shared" si="122"/>
        <v/>
      </c>
      <c r="EL655" s="926" t="str">
        <f t="shared" si="123"/>
        <v/>
      </c>
      <c r="EM655" s="926" t="str">
        <f t="shared" si="124"/>
        <v/>
      </c>
      <c r="EN655" s="926" t="str">
        <f t="shared" si="125"/>
        <v/>
      </c>
      <c r="EO655" s="926" t="str">
        <f t="shared" si="126"/>
        <v/>
      </c>
      <c r="EP655" s="926" t="str">
        <f t="shared" si="127"/>
        <v/>
      </c>
      <c r="EQ655" s="926" t="str">
        <f t="shared" si="128"/>
        <v/>
      </c>
      <c r="ER655" s="926" t="str">
        <f t="shared" si="129"/>
        <v/>
      </c>
      <c r="ES655" s="926" t="str">
        <f t="shared" si="130"/>
        <v/>
      </c>
      <c r="ET655" s="926" t="str">
        <f t="shared" si="131"/>
        <v/>
      </c>
      <c r="EU655" s="926" t="str">
        <f t="shared" si="132"/>
        <v/>
      </c>
      <c r="EV655" s="2945" t="str">
        <f t="shared" si="133"/>
        <v/>
      </c>
      <c r="EW655" s="2945" t="str">
        <f t="shared" si="134"/>
        <v/>
      </c>
      <c r="EX655" s="2945" t="str">
        <f t="shared" si="135"/>
        <v/>
      </c>
      <c r="EY655" s="2945" t="str">
        <f t="shared" si="136"/>
        <v/>
      </c>
      <c r="EZ655" s="2945" t="str">
        <f t="shared" si="137"/>
        <v/>
      </c>
      <c r="FA655" s="2945" t="str">
        <f t="shared" si="138"/>
        <v/>
      </c>
      <c r="FB655" s="2945" t="str">
        <f t="shared" si="139"/>
        <v/>
      </c>
      <c r="FC655" s="2945" t="str">
        <f t="shared" si="140"/>
        <v/>
      </c>
      <c r="FD655" s="2945" t="str">
        <f t="shared" si="141"/>
        <v/>
      </c>
      <c r="FE655" s="2945" t="str">
        <f t="shared" si="142"/>
        <v/>
      </c>
      <c r="FF655" s="2945" t="str">
        <f t="shared" si="143"/>
        <v/>
      </c>
      <c r="FG655" s="2945" t="str">
        <f t="shared" si="144"/>
        <v/>
      </c>
      <c r="FH655" s="2945" t="str">
        <f t="shared" si="145"/>
        <v/>
      </c>
      <c r="FI655" s="2945" t="str">
        <f t="shared" si="146"/>
        <v/>
      </c>
      <c r="FJ655" s="2945" t="str">
        <f t="shared" si="147"/>
        <v/>
      </c>
      <c r="FK655" s="2945" t="str">
        <f t="shared" si="148"/>
        <v/>
      </c>
      <c r="FL655" s="2945" t="str">
        <f t="shared" si="149"/>
        <v/>
      </c>
      <c r="FM655" s="2945" t="str">
        <f t="shared" si="150"/>
        <v/>
      </c>
      <c r="FN655" s="2945" t="str">
        <f t="shared" si="151"/>
        <v/>
      </c>
      <c r="FO655" s="2945" t="str">
        <f t="shared" si="152"/>
        <v/>
      </c>
      <c r="FP655" s="2945" t="str">
        <f t="shared" si="153"/>
        <v/>
      </c>
      <c r="FQ655" s="2945" t="str">
        <f t="shared" si="154"/>
        <v/>
      </c>
      <c r="FR655" s="2945" t="str">
        <f t="shared" si="155"/>
        <v/>
      </c>
      <c r="FS655" s="2945" t="str">
        <f t="shared" si="156"/>
        <v/>
      </c>
      <c r="FT655" s="2945" t="str">
        <f t="shared" si="157"/>
        <v/>
      </c>
      <c r="FU655" s="2945" t="str">
        <f t="shared" si="158"/>
        <v/>
      </c>
      <c r="FV655" s="2945" t="str">
        <f t="shared" si="159"/>
        <v/>
      </c>
      <c r="FW655" s="2945" t="str">
        <f t="shared" si="160"/>
        <v/>
      </c>
      <c r="FX655" s="2945" t="str">
        <f t="shared" si="161"/>
        <v/>
      </c>
      <c r="FY655" s="2945" t="str">
        <f t="shared" si="162"/>
        <v/>
      </c>
      <c r="FZ655" s="2945" t="str">
        <f t="shared" si="163"/>
        <v/>
      </c>
      <c r="GA655" s="2945" t="str">
        <f t="shared" si="164"/>
        <v/>
      </c>
      <c r="GB655" s="2945" t="str">
        <f t="shared" si="165"/>
        <v/>
      </c>
      <c r="GC655" s="2945" t="str">
        <f t="shared" si="166"/>
        <v/>
      </c>
      <c r="GD655" s="2945" t="str">
        <f t="shared" si="167"/>
        <v/>
      </c>
      <c r="GE655" s="2945" t="str">
        <f t="shared" si="168"/>
        <v/>
      </c>
      <c r="GF655" s="2945" t="str">
        <f t="shared" si="169"/>
        <v/>
      </c>
      <c r="GG655" s="2945" t="str">
        <f t="shared" si="170"/>
        <v/>
      </c>
      <c r="GH655" s="2945" t="str">
        <f t="shared" si="171"/>
        <v/>
      </c>
      <c r="GI655" s="2945" t="str">
        <f t="shared" si="172"/>
        <v/>
      </c>
      <c r="GJ655" s="2945" t="str">
        <f t="shared" si="173"/>
        <v/>
      </c>
      <c r="GK655" s="2945" t="str">
        <f t="shared" si="174"/>
        <v/>
      </c>
      <c r="GL655" s="2945" t="str">
        <f t="shared" si="175"/>
        <v/>
      </c>
      <c r="GM655" s="2945" t="str">
        <f t="shared" si="176"/>
        <v/>
      </c>
      <c r="GN655" s="2945" t="str">
        <f t="shared" si="177"/>
        <v/>
      </c>
      <c r="GO655" s="2945" t="str">
        <f t="shared" si="178"/>
        <v/>
      </c>
      <c r="GP655" s="2945" t="str">
        <f t="shared" si="179"/>
        <v/>
      </c>
      <c r="GQ655" s="2945" t="str">
        <f t="shared" si="180"/>
        <v/>
      </c>
      <c r="GR655" s="2945" t="str">
        <f t="shared" si="181"/>
        <v/>
      </c>
      <c r="GS655" s="2945" t="str">
        <f t="shared" si="182"/>
        <v/>
      </c>
      <c r="GT655" s="2945" t="str">
        <f t="shared" si="183"/>
        <v/>
      </c>
      <c r="GU655" s="2945" t="str">
        <f t="shared" si="184"/>
        <v/>
      </c>
      <c r="GV655" s="2945" t="str">
        <f t="shared" si="185"/>
        <v/>
      </c>
      <c r="GW655" s="2945" t="str">
        <f t="shared" si="186"/>
        <v/>
      </c>
      <c r="GX655" s="2945" t="str">
        <f t="shared" si="187"/>
        <v/>
      </c>
      <c r="GY655" s="2945" t="str">
        <f t="shared" si="188"/>
        <v/>
      </c>
      <c r="GZ655" s="2945" t="str">
        <f t="shared" si="189"/>
        <v/>
      </c>
      <c r="HA655" s="2945" t="str">
        <f t="shared" si="190"/>
        <v/>
      </c>
      <c r="HB655" s="2945" t="str">
        <f t="shared" si="191"/>
        <v/>
      </c>
      <c r="HC655" s="2945" t="str">
        <f t="shared" si="192"/>
        <v/>
      </c>
      <c r="HD655" s="2945" t="str">
        <f t="shared" si="193"/>
        <v/>
      </c>
      <c r="HE655" s="2945" t="str">
        <f t="shared" si="194"/>
        <v/>
      </c>
      <c r="HF655" s="2945" t="str">
        <f t="shared" si="195"/>
        <v/>
      </c>
      <c r="HG655" s="2945" t="str">
        <f t="shared" si="196"/>
        <v/>
      </c>
      <c r="HH655" s="2945" t="str">
        <f t="shared" si="197"/>
        <v/>
      </c>
      <c r="HI655" s="2945" t="str">
        <f t="shared" si="198"/>
        <v/>
      </c>
      <c r="HJ655" s="2945" t="str">
        <f t="shared" si="199"/>
        <v/>
      </c>
      <c r="HK655" s="2945" t="str">
        <f t="shared" si="200"/>
        <v/>
      </c>
      <c r="HL655" s="2945" t="str">
        <f t="shared" si="201"/>
        <v/>
      </c>
      <c r="HM655" s="2945" t="str">
        <f t="shared" si="202"/>
        <v/>
      </c>
      <c r="HN655" s="2945" t="str">
        <f t="shared" si="203"/>
        <v/>
      </c>
      <c r="HO655" s="2945" t="str">
        <f t="shared" si="204"/>
        <v/>
      </c>
      <c r="HP655" s="2945" t="str">
        <f t="shared" si="205"/>
        <v/>
      </c>
      <c r="HQ655" s="2945" t="str">
        <f t="shared" si="206"/>
        <v/>
      </c>
      <c r="HR655" s="2945" t="str">
        <f t="shared" si="207"/>
        <v/>
      </c>
      <c r="HS655" s="2945" t="str">
        <f t="shared" si="208"/>
        <v/>
      </c>
      <c r="HT655" s="2945" t="str">
        <f t="shared" si="209"/>
        <v/>
      </c>
      <c r="HU655" s="2945" t="str">
        <f t="shared" si="210"/>
        <v/>
      </c>
      <c r="HV655" s="2945" t="str">
        <f t="shared" si="211"/>
        <v/>
      </c>
      <c r="HW655" s="2945" t="str">
        <f t="shared" si="212"/>
        <v/>
      </c>
      <c r="HX655" s="2945" t="str">
        <f t="shared" si="213"/>
        <v/>
      </c>
      <c r="HY655" s="2945" t="str">
        <f t="shared" si="214"/>
        <v/>
      </c>
      <c r="HZ655" s="2945" t="str">
        <f t="shared" si="215"/>
        <v/>
      </c>
      <c r="IA655" s="2945" t="str">
        <f t="shared" si="216"/>
        <v/>
      </c>
      <c r="IB655" s="2945" t="str">
        <f t="shared" si="217"/>
        <v/>
      </c>
      <c r="IC655" s="2911" t="str">
        <f t="shared" si="218"/>
        <v/>
      </c>
      <c r="ID655" s="2911" t="str">
        <f t="shared" si="219"/>
        <v/>
      </c>
      <c r="IE655" s="2911" t="str">
        <f t="shared" si="220"/>
        <v/>
      </c>
      <c r="IF655" s="2911" t="str">
        <f t="shared" si="221"/>
        <v/>
      </c>
      <c r="IG655" s="2911" t="str">
        <f t="shared" si="222"/>
        <v/>
      </c>
      <c r="IH655" s="926" t="str">
        <f t="shared" si="223"/>
        <v/>
      </c>
      <c r="II655" s="926" t="str">
        <f t="shared" si="224"/>
        <v/>
      </c>
      <c r="IJ655" s="926" t="str">
        <f t="shared" si="225"/>
        <v/>
      </c>
      <c r="IK655" s="926" t="str">
        <f t="shared" si="226"/>
        <v/>
      </c>
      <c r="IL655" s="926" t="str">
        <f t="shared" si="227"/>
        <v/>
      </c>
      <c r="IM655" s="926" t="str">
        <f t="shared" si="228"/>
        <v/>
      </c>
      <c r="IN655" s="926" t="str">
        <f t="shared" si="229"/>
        <v/>
      </c>
      <c r="IO655" s="926" t="str">
        <f t="shared" si="230"/>
        <v/>
      </c>
      <c r="IP655" s="926" t="str">
        <f t="shared" si="231"/>
        <v/>
      </c>
      <c r="IQ655" s="926" t="str">
        <f t="shared" si="232"/>
        <v/>
      </c>
      <c r="IR655" s="926" t="str">
        <f t="shared" si="233"/>
        <v/>
      </c>
      <c r="IS655" s="926" t="str">
        <f t="shared" si="234"/>
        <v/>
      </c>
      <c r="IT655" s="926" t="str">
        <f t="shared" si="235"/>
        <v/>
      </c>
      <c r="IU655" s="926" t="str">
        <f t="shared" si="236"/>
        <v/>
      </c>
      <c r="IV655" s="926" t="str">
        <f t="shared" si="237"/>
        <v/>
      </c>
      <c r="IW655" s="926" t="str">
        <f t="shared" si="238"/>
        <v/>
      </c>
      <c r="IX655" s="926" t="str">
        <f t="shared" si="239"/>
        <v/>
      </c>
      <c r="IY655" s="926" t="str">
        <f t="shared" si="240"/>
        <v/>
      </c>
      <c r="IZ655" s="926" t="str">
        <f t="shared" si="241"/>
        <v/>
      </c>
      <c r="JA655" s="926" t="str">
        <f t="shared" si="242"/>
        <v/>
      </c>
      <c r="JB655" s="2909">
        <f t="shared" si="243"/>
        <v>0</v>
      </c>
      <c r="JC655" s="2909">
        <f t="shared" si="244"/>
        <v>0</v>
      </c>
      <c r="JD655" s="2909">
        <f t="shared" si="245"/>
        <v>0</v>
      </c>
      <c r="JE655" s="2909">
        <f t="shared" si="246"/>
        <v>0</v>
      </c>
      <c r="JF655" s="2909">
        <f t="shared" si="247"/>
        <v>0</v>
      </c>
      <c r="JG655" s="2909">
        <f t="shared" si="248"/>
        <v>0</v>
      </c>
      <c r="JH655" s="2909">
        <f t="shared" si="249"/>
        <v>0</v>
      </c>
      <c r="JI655" s="2909">
        <f t="shared" si="250"/>
        <v>0</v>
      </c>
      <c r="JJ655" s="2909">
        <f t="shared" si="251"/>
        <v>0</v>
      </c>
      <c r="JK655" s="2909">
        <f t="shared" si="252"/>
        <v>0</v>
      </c>
      <c r="JL655" s="2909">
        <f t="shared" si="253"/>
        <v>0</v>
      </c>
      <c r="JM655" s="2909">
        <f t="shared" si="254"/>
        <v>0</v>
      </c>
      <c r="JN655" s="2909">
        <f t="shared" si="255"/>
        <v>0</v>
      </c>
      <c r="JO655" s="2909">
        <f t="shared" si="256"/>
        <v>0</v>
      </c>
      <c r="JP655" s="2909">
        <f t="shared" si="257"/>
        <v>0</v>
      </c>
    </row>
    <row r="656" spans="1:276" ht="12" customHeight="1">
      <c r="A656" s="2924" t="str">
        <f t="shared" si="0"/>
        <v/>
      </c>
      <c r="B656" s="2936" t="str">
        <f>'Part VI-Revenues &amp; Expenses'!B36</f>
        <v>&lt;&lt;Select&gt;&gt;</v>
      </c>
      <c r="C656" s="2937">
        <f>'Part VI-Revenues &amp; Expenses'!C36</f>
        <v>0</v>
      </c>
      <c r="D656" s="2938">
        <f>'Part VI-Revenues &amp; Expenses'!D36</f>
        <v>0</v>
      </c>
      <c r="E656" s="2939">
        <f>'Part VI-Revenues &amp; Expenses'!E36</f>
        <v>0</v>
      </c>
      <c r="F656" s="2939">
        <f>'Part VI-Revenues &amp; Expenses'!F36</f>
        <v>0</v>
      </c>
      <c r="G656" s="2939">
        <f>'Part VI-Revenues &amp; Expenses'!G36</f>
        <v>0</v>
      </c>
      <c r="H656" s="2939">
        <f>'Part VI-Revenues &amp; Expenses'!H36</f>
        <v>0</v>
      </c>
      <c r="I656" s="2939">
        <f>'Part VI-Revenues &amp; Expenses'!I36</f>
        <v>0</v>
      </c>
      <c r="J656" s="2940">
        <f>'Part VI-Revenues &amp; Expenses'!J36</f>
        <v>0</v>
      </c>
      <c r="K656" s="2941">
        <f t="shared" si="1"/>
        <v>0</v>
      </c>
      <c r="L656" s="2941">
        <f t="shared" si="2"/>
        <v>0</v>
      </c>
      <c r="M656" s="2918">
        <f>'Part VI-Revenues &amp; Expenses'!M36</f>
        <v>0</v>
      </c>
      <c r="N656" s="2918">
        <f>'Part VI-Revenues &amp; Expenses'!N36</f>
        <v>0</v>
      </c>
      <c r="O656" s="2918">
        <f>'Part VI-Revenues &amp; Expenses'!O36</f>
        <v>0</v>
      </c>
      <c r="P656" s="2918">
        <f>'Part VI-Revenues &amp; Expenses'!P36</f>
        <v>0</v>
      </c>
      <c r="Q656" s="2942">
        <f>IF(H656="","",P656/($O$626*VLOOKUP(C656,'DCA Underwriting Assumptions'!$J$118:$K$123,2,FALSE)))</f>
        <v>0</v>
      </c>
      <c r="R656" s="2943"/>
      <c r="S656" s="2942"/>
      <c r="T656" s="2944"/>
      <c r="U656" s="2944"/>
      <c r="V656" s="926" t="str">
        <f t="shared" si="3"/>
        <v/>
      </c>
      <c r="W656" s="926" t="str">
        <f t="shared" si="4"/>
        <v/>
      </c>
      <c r="X656" s="926" t="str">
        <f t="shared" si="5"/>
        <v/>
      </c>
      <c r="Y656" s="926" t="str">
        <f t="shared" si="6"/>
        <v/>
      </c>
      <c r="Z656" s="926" t="str">
        <f t="shared" si="7"/>
        <v/>
      </c>
      <c r="AA656" s="926" t="str">
        <f t="shared" si="8"/>
        <v/>
      </c>
      <c r="AB656" s="926" t="str">
        <f t="shared" si="9"/>
        <v/>
      </c>
      <c r="AC656" s="926" t="str">
        <f t="shared" si="10"/>
        <v/>
      </c>
      <c r="AD656" s="926" t="str">
        <f t="shared" si="11"/>
        <v/>
      </c>
      <c r="AE656" s="926" t="str">
        <f t="shared" si="12"/>
        <v/>
      </c>
      <c r="AF656" s="926" t="str">
        <f t="shared" si="13"/>
        <v/>
      </c>
      <c r="AG656" s="926" t="str">
        <f t="shared" si="14"/>
        <v/>
      </c>
      <c r="AH656" s="926" t="str">
        <f t="shared" si="15"/>
        <v/>
      </c>
      <c r="AI656" s="926" t="str">
        <f t="shared" si="16"/>
        <v/>
      </c>
      <c r="AJ656" s="926" t="str">
        <f t="shared" si="17"/>
        <v/>
      </c>
      <c r="AK656" s="926" t="str">
        <f t="shared" si="18"/>
        <v/>
      </c>
      <c r="AL656" s="926" t="str">
        <f t="shared" si="19"/>
        <v/>
      </c>
      <c r="AM656" s="926" t="str">
        <f t="shared" si="20"/>
        <v/>
      </c>
      <c r="AN656" s="926" t="str">
        <f t="shared" si="21"/>
        <v/>
      </c>
      <c r="AO656" s="926" t="str">
        <f t="shared" si="22"/>
        <v/>
      </c>
      <c r="AP656" s="926" t="str">
        <f t="shared" si="23"/>
        <v/>
      </c>
      <c r="AQ656" s="926" t="str">
        <f t="shared" si="24"/>
        <v/>
      </c>
      <c r="AR656" s="926" t="str">
        <f t="shared" si="25"/>
        <v/>
      </c>
      <c r="AS656" s="926" t="str">
        <f t="shared" si="26"/>
        <v/>
      </c>
      <c r="AT656" s="926" t="str">
        <f t="shared" si="27"/>
        <v/>
      </c>
      <c r="AU656" s="926" t="str">
        <f t="shared" si="28"/>
        <v/>
      </c>
      <c r="AV656" s="926" t="str">
        <f t="shared" si="29"/>
        <v/>
      </c>
      <c r="AW656" s="926" t="str">
        <f t="shared" si="30"/>
        <v/>
      </c>
      <c r="AX656" s="926" t="str">
        <f t="shared" si="31"/>
        <v/>
      </c>
      <c r="AY656" s="926" t="str">
        <f t="shared" si="32"/>
        <v/>
      </c>
      <c r="AZ656" s="926" t="str">
        <f t="shared" si="33"/>
        <v/>
      </c>
      <c r="BA656" s="926" t="str">
        <f t="shared" si="34"/>
        <v/>
      </c>
      <c r="BB656" s="926" t="str">
        <f t="shared" si="35"/>
        <v/>
      </c>
      <c r="BC656" s="926" t="str">
        <f t="shared" si="36"/>
        <v/>
      </c>
      <c r="BD656" s="926" t="str">
        <f t="shared" si="37"/>
        <v/>
      </c>
      <c r="BE656" s="926" t="str">
        <f t="shared" si="38"/>
        <v/>
      </c>
      <c r="BF656" s="926" t="str">
        <f t="shared" si="39"/>
        <v/>
      </c>
      <c r="BG656" s="926" t="str">
        <f t="shared" si="40"/>
        <v/>
      </c>
      <c r="BH656" s="926" t="str">
        <f t="shared" si="41"/>
        <v/>
      </c>
      <c r="BI656" s="926" t="str">
        <f t="shared" si="42"/>
        <v/>
      </c>
      <c r="BJ656" s="926" t="str">
        <f t="shared" si="43"/>
        <v/>
      </c>
      <c r="BK656" s="926" t="str">
        <f t="shared" si="44"/>
        <v/>
      </c>
      <c r="BL656" s="926" t="str">
        <f t="shared" si="45"/>
        <v/>
      </c>
      <c r="BM656" s="926" t="str">
        <f t="shared" si="46"/>
        <v/>
      </c>
      <c r="BN656" s="926" t="str">
        <f t="shared" si="47"/>
        <v/>
      </c>
      <c r="BO656" s="926" t="str">
        <f t="shared" si="48"/>
        <v/>
      </c>
      <c r="BP656" s="926" t="str">
        <f t="shared" si="49"/>
        <v/>
      </c>
      <c r="BQ656" s="926" t="str">
        <f t="shared" si="50"/>
        <v/>
      </c>
      <c r="BR656" s="926" t="str">
        <f t="shared" si="51"/>
        <v/>
      </c>
      <c r="BS656" s="926" t="str">
        <f t="shared" si="52"/>
        <v/>
      </c>
      <c r="BT656" s="926" t="str">
        <f t="shared" si="53"/>
        <v/>
      </c>
      <c r="BU656" s="926" t="str">
        <f t="shared" si="54"/>
        <v/>
      </c>
      <c r="BV656" s="926" t="str">
        <f t="shared" si="55"/>
        <v/>
      </c>
      <c r="BW656" s="926" t="str">
        <f t="shared" si="56"/>
        <v/>
      </c>
      <c r="BX656" s="926" t="str">
        <f t="shared" si="57"/>
        <v/>
      </c>
      <c r="BY656" s="926" t="str">
        <f t="shared" si="58"/>
        <v/>
      </c>
      <c r="BZ656" s="926" t="str">
        <f t="shared" si="59"/>
        <v/>
      </c>
      <c r="CA656" s="926" t="str">
        <f t="shared" si="60"/>
        <v/>
      </c>
      <c r="CB656" s="926" t="str">
        <f t="shared" si="61"/>
        <v/>
      </c>
      <c r="CC656" s="926" t="str">
        <f t="shared" si="62"/>
        <v/>
      </c>
      <c r="CD656" s="926" t="str">
        <f t="shared" si="63"/>
        <v/>
      </c>
      <c r="CE656" s="926" t="str">
        <f t="shared" si="64"/>
        <v/>
      </c>
      <c r="CF656" s="926" t="str">
        <f t="shared" si="65"/>
        <v/>
      </c>
      <c r="CG656" s="926" t="str">
        <f t="shared" si="66"/>
        <v/>
      </c>
      <c r="CH656" s="926" t="str">
        <f t="shared" si="67"/>
        <v/>
      </c>
      <c r="CI656" s="926" t="str">
        <f t="shared" si="68"/>
        <v/>
      </c>
      <c r="CJ656" s="926" t="str">
        <f t="shared" si="69"/>
        <v/>
      </c>
      <c r="CK656" s="926" t="str">
        <f t="shared" si="70"/>
        <v/>
      </c>
      <c r="CL656" s="926" t="str">
        <f t="shared" si="71"/>
        <v/>
      </c>
      <c r="CM656" s="926" t="str">
        <f t="shared" si="72"/>
        <v/>
      </c>
      <c r="CN656" s="926" t="str">
        <f t="shared" si="73"/>
        <v/>
      </c>
      <c r="CO656" s="926" t="str">
        <f t="shared" si="74"/>
        <v/>
      </c>
      <c r="CP656" s="926" t="str">
        <f t="shared" si="75"/>
        <v/>
      </c>
      <c r="CQ656" s="926" t="str">
        <f t="shared" si="76"/>
        <v/>
      </c>
      <c r="CR656" s="926" t="str">
        <f t="shared" si="77"/>
        <v/>
      </c>
      <c r="CS656" s="926" t="str">
        <f t="shared" si="78"/>
        <v/>
      </c>
      <c r="CT656" s="926" t="str">
        <f t="shared" si="79"/>
        <v/>
      </c>
      <c r="CU656" s="926" t="str">
        <f t="shared" si="80"/>
        <v/>
      </c>
      <c r="CV656" s="926" t="str">
        <f t="shared" si="81"/>
        <v/>
      </c>
      <c r="CW656" s="926" t="str">
        <f t="shared" si="82"/>
        <v/>
      </c>
      <c r="CX656" s="926" t="str">
        <f t="shared" si="83"/>
        <v/>
      </c>
      <c r="CY656" s="926" t="str">
        <f t="shared" si="84"/>
        <v/>
      </c>
      <c r="CZ656" s="926" t="str">
        <f t="shared" si="85"/>
        <v/>
      </c>
      <c r="DA656" s="926" t="str">
        <f t="shared" si="86"/>
        <v/>
      </c>
      <c r="DB656" s="926" t="str">
        <f t="shared" si="87"/>
        <v/>
      </c>
      <c r="DC656" s="926" t="str">
        <f t="shared" si="88"/>
        <v/>
      </c>
      <c r="DD656" s="926" t="str">
        <f t="shared" si="89"/>
        <v/>
      </c>
      <c r="DE656" s="926" t="str">
        <f t="shared" si="90"/>
        <v/>
      </c>
      <c r="DF656" s="926" t="str">
        <f t="shared" si="91"/>
        <v/>
      </c>
      <c r="DG656" s="926" t="str">
        <f t="shared" si="92"/>
        <v/>
      </c>
      <c r="DH656" s="926" t="str">
        <f t="shared" si="93"/>
        <v/>
      </c>
      <c r="DI656" s="926" t="str">
        <f t="shared" si="94"/>
        <v/>
      </c>
      <c r="DJ656" s="926" t="str">
        <f t="shared" si="95"/>
        <v/>
      </c>
      <c r="DK656" s="926" t="str">
        <f t="shared" si="96"/>
        <v/>
      </c>
      <c r="DL656" s="926" t="str">
        <f t="shared" si="97"/>
        <v/>
      </c>
      <c r="DM656" s="926" t="str">
        <f t="shared" si="98"/>
        <v/>
      </c>
      <c r="DN656" s="926" t="str">
        <f t="shared" si="99"/>
        <v/>
      </c>
      <c r="DO656" s="926" t="str">
        <f t="shared" si="100"/>
        <v/>
      </c>
      <c r="DP656" s="926" t="str">
        <f t="shared" si="101"/>
        <v/>
      </c>
      <c r="DQ656" s="926" t="str">
        <f t="shared" si="102"/>
        <v/>
      </c>
      <c r="DR656" s="926" t="str">
        <f t="shared" si="103"/>
        <v/>
      </c>
      <c r="DS656" s="926" t="str">
        <f t="shared" si="104"/>
        <v/>
      </c>
      <c r="DT656" s="926" t="str">
        <f t="shared" si="105"/>
        <v/>
      </c>
      <c r="DU656" s="926" t="str">
        <f t="shared" si="106"/>
        <v/>
      </c>
      <c r="DV656" s="926" t="str">
        <f t="shared" si="107"/>
        <v/>
      </c>
      <c r="DW656" s="926" t="str">
        <f t="shared" si="108"/>
        <v/>
      </c>
      <c r="DX656" s="926" t="str">
        <f t="shared" si="109"/>
        <v/>
      </c>
      <c r="DY656" s="926" t="str">
        <f t="shared" si="110"/>
        <v/>
      </c>
      <c r="DZ656" s="926" t="str">
        <f t="shared" si="111"/>
        <v/>
      </c>
      <c r="EA656" s="926" t="str">
        <f t="shared" si="112"/>
        <v/>
      </c>
      <c r="EB656" s="926" t="str">
        <f t="shared" si="113"/>
        <v/>
      </c>
      <c r="EC656" s="926" t="str">
        <f t="shared" si="114"/>
        <v/>
      </c>
      <c r="ED656" s="926" t="str">
        <f t="shared" si="115"/>
        <v/>
      </c>
      <c r="EE656" s="926" t="str">
        <f t="shared" si="116"/>
        <v/>
      </c>
      <c r="EF656" s="926" t="str">
        <f t="shared" si="117"/>
        <v/>
      </c>
      <c r="EG656" s="926" t="str">
        <f t="shared" si="118"/>
        <v/>
      </c>
      <c r="EH656" s="926" t="str">
        <f t="shared" si="119"/>
        <v/>
      </c>
      <c r="EI656" s="926" t="str">
        <f t="shared" si="120"/>
        <v/>
      </c>
      <c r="EJ656" s="926" t="str">
        <f t="shared" si="121"/>
        <v/>
      </c>
      <c r="EK656" s="926" t="str">
        <f t="shared" si="122"/>
        <v/>
      </c>
      <c r="EL656" s="926" t="str">
        <f t="shared" si="123"/>
        <v/>
      </c>
      <c r="EM656" s="926" t="str">
        <f t="shared" si="124"/>
        <v/>
      </c>
      <c r="EN656" s="926" t="str">
        <f t="shared" si="125"/>
        <v/>
      </c>
      <c r="EO656" s="926" t="str">
        <f t="shared" si="126"/>
        <v/>
      </c>
      <c r="EP656" s="926" t="str">
        <f t="shared" si="127"/>
        <v/>
      </c>
      <c r="EQ656" s="926" t="str">
        <f t="shared" si="128"/>
        <v/>
      </c>
      <c r="ER656" s="926" t="str">
        <f t="shared" si="129"/>
        <v/>
      </c>
      <c r="ES656" s="926" t="str">
        <f t="shared" si="130"/>
        <v/>
      </c>
      <c r="ET656" s="926" t="str">
        <f t="shared" si="131"/>
        <v/>
      </c>
      <c r="EU656" s="926" t="str">
        <f t="shared" si="132"/>
        <v/>
      </c>
      <c r="EV656" s="2945" t="str">
        <f t="shared" si="133"/>
        <v/>
      </c>
      <c r="EW656" s="2945" t="str">
        <f t="shared" si="134"/>
        <v/>
      </c>
      <c r="EX656" s="2945" t="str">
        <f t="shared" si="135"/>
        <v/>
      </c>
      <c r="EY656" s="2945" t="str">
        <f t="shared" si="136"/>
        <v/>
      </c>
      <c r="EZ656" s="2945" t="str">
        <f t="shared" si="137"/>
        <v/>
      </c>
      <c r="FA656" s="2945" t="str">
        <f t="shared" si="138"/>
        <v/>
      </c>
      <c r="FB656" s="2945" t="str">
        <f t="shared" si="139"/>
        <v/>
      </c>
      <c r="FC656" s="2945" t="str">
        <f t="shared" si="140"/>
        <v/>
      </c>
      <c r="FD656" s="2945" t="str">
        <f t="shared" si="141"/>
        <v/>
      </c>
      <c r="FE656" s="2945" t="str">
        <f t="shared" si="142"/>
        <v/>
      </c>
      <c r="FF656" s="2945" t="str">
        <f t="shared" si="143"/>
        <v/>
      </c>
      <c r="FG656" s="2945" t="str">
        <f t="shared" si="144"/>
        <v/>
      </c>
      <c r="FH656" s="2945" t="str">
        <f t="shared" si="145"/>
        <v/>
      </c>
      <c r="FI656" s="2945" t="str">
        <f t="shared" si="146"/>
        <v/>
      </c>
      <c r="FJ656" s="2945" t="str">
        <f t="shared" si="147"/>
        <v/>
      </c>
      <c r="FK656" s="2945" t="str">
        <f t="shared" si="148"/>
        <v/>
      </c>
      <c r="FL656" s="2945" t="str">
        <f t="shared" si="149"/>
        <v/>
      </c>
      <c r="FM656" s="2945" t="str">
        <f t="shared" si="150"/>
        <v/>
      </c>
      <c r="FN656" s="2945" t="str">
        <f t="shared" si="151"/>
        <v/>
      </c>
      <c r="FO656" s="2945" t="str">
        <f t="shared" si="152"/>
        <v/>
      </c>
      <c r="FP656" s="2945" t="str">
        <f t="shared" si="153"/>
        <v/>
      </c>
      <c r="FQ656" s="2945" t="str">
        <f t="shared" si="154"/>
        <v/>
      </c>
      <c r="FR656" s="2945" t="str">
        <f t="shared" si="155"/>
        <v/>
      </c>
      <c r="FS656" s="2945" t="str">
        <f t="shared" si="156"/>
        <v/>
      </c>
      <c r="FT656" s="2945" t="str">
        <f t="shared" si="157"/>
        <v/>
      </c>
      <c r="FU656" s="2945" t="str">
        <f t="shared" si="158"/>
        <v/>
      </c>
      <c r="FV656" s="2945" t="str">
        <f t="shared" si="159"/>
        <v/>
      </c>
      <c r="FW656" s="2945" t="str">
        <f t="shared" si="160"/>
        <v/>
      </c>
      <c r="FX656" s="2945" t="str">
        <f t="shared" si="161"/>
        <v/>
      </c>
      <c r="FY656" s="2945" t="str">
        <f t="shared" si="162"/>
        <v/>
      </c>
      <c r="FZ656" s="2945" t="str">
        <f t="shared" si="163"/>
        <v/>
      </c>
      <c r="GA656" s="2945" t="str">
        <f t="shared" si="164"/>
        <v/>
      </c>
      <c r="GB656" s="2945" t="str">
        <f t="shared" si="165"/>
        <v/>
      </c>
      <c r="GC656" s="2945" t="str">
        <f t="shared" si="166"/>
        <v/>
      </c>
      <c r="GD656" s="2945" t="str">
        <f t="shared" si="167"/>
        <v/>
      </c>
      <c r="GE656" s="2945" t="str">
        <f t="shared" si="168"/>
        <v/>
      </c>
      <c r="GF656" s="2945" t="str">
        <f t="shared" si="169"/>
        <v/>
      </c>
      <c r="GG656" s="2945" t="str">
        <f t="shared" si="170"/>
        <v/>
      </c>
      <c r="GH656" s="2945" t="str">
        <f t="shared" si="171"/>
        <v/>
      </c>
      <c r="GI656" s="2945" t="str">
        <f t="shared" si="172"/>
        <v/>
      </c>
      <c r="GJ656" s="2945" t="str">
        <f t="shared" si="173"/>
        <v/>
      </c>
      <c r="GK656" s="2945" t="str">
        <f t="shared" si="174"/>
        <v/>
      </c>
      <c r="GL656" s="2945" t="str">
        <f t="shared" si="175"/>
        <v/>
      </c>
      <c r="GM656" s="2945" t="str">
        <f t="shared" si="176"/>
        <v/>
      </c>
      <c r="GN656" s="2945" t="str">
        <f t="shared" si="177"/>
        <v/>
      </c>
      <c r="GO656" s="2945" t="str">
        <f t="shared" si="178"/>
        <v/>
      </c>
      <c r="GP656" s="2945" t="str">
        <f t="shared" si="179"/>
        <v/>
      </c>
      <c r="GQ656" s="2945" t="str">
        <f t="shared" si="180"/>
        <v/>
      </c>
      <c r="GR656" s="2945" t="str">
        <f t="shared" si="181"/>
        <v/>
      </c>
      <c r="GS656" s="2945" t="str">
        <f t="shared" si="182"/>
        <v/>
      </c>
      <c r="GT656" s="2945" t="str">
        <f t="shared" si="183"/>
        <v/>
      </c>
      <c r="GU656" s="2945" t="str">
        <f t="shared" si="184"/>
        <v/>
      </c>
      <c r="GV656" s="2945" t="str">
        <f t="shared" si="185"/>
        <v/>
      </c>
      <c r="GW656" s="2945" t="str">
        <f t="shared" si="186"/>
        <v/>
      </c>
      <c r="GX656" s="2945" t="str">
        <f t="shared" si="187"/>
        <v/>
      </c>
      <c r="GY656" s="2945" t="str">
        <f t="shared" si="188"/>
        <v/>
      </c>
      <c r="GZ656" s="2945" t="str">
        <f t="shared" si="189"/>
        <v/>
      </c>
      <c r="HA656" s="2945" t="str">
        <f t="shared" si="190"/>
        <v/>
      </c>
      <c r="HB656" s="2945" t="str">
        <f t="shared" si="191"/>
        <v/>
      </c>
      <c r="HC656" s="2945" t="str">
        <f t="shared" si="192"/>
        <v/>
      </c>
      <c r="HD656" s="2945" t="str">
        <f t="shared" si="193"/>
        <v/>
      </c>
      <c r="HE656" s="2945" t="str">
        <f t="shared" si="194"/>
        <v/>
      </c>
      <c r="HF656" s="2945" t="str">
        <f t="shared" si="195"/>
        <v/>
      </c>
      <c r="HG656" s="2945" t="str">
        <f t="shared" si="196"/>
        <v/>
      </c>
      <c r="HH656" s="2945" t="str">
        <f t="shared" si="197"/>
        <v/>
      </c>
      <c r="HI656" s="2945" t="str">
        <f t="shared" si="198"/>
        <v/>
      </c>
      <c r="HJ656" s="2945" t="str">
        <f t="shared" si="199"/>
        <v/>
      </c>
      <c r="HK656" s="2945" t="str">
        <f t="shared" si="200"/>
        <v/>
      </c>
      <c r="HL656" s="2945" t="str">
        <f t="shared" si="201"/>
        <v/>
      </c>
      <c r="HM656" s="2945" t="str">
        <f t="shared" si="202"/>
        <v/>
      </c>
      <c r="HN656" s="2945" t="str">
        <f t="shared" si="203"/>
        <v/>
      </c>
      <c r="HO656" s="2945" t="str">
        <f t="shared" si="204"/>
        <v/>
      </c>
      <c r="HP656" s="2945" t="str">
        <f t="shared" si="205"/>
        <v/>
      </c>
      <c r="HQ656" s="2945" t="str">
        <f t="shared" si="206"/>
        <v/>
      </c>
      <c r="HR656" s="2945" t="str">
        <f t="shared" si="207"/>
        <v/>
      </c>
      <c r="HS656" s="2945" t="str">
        <f t="shared" si="208"/>
        <v/>
      </c>
      <c r="HT656" s="2945" t="str">
        <f t="shared" si="209"/>
        <v/>
      </c>
      <c r="HU656" s="2945" t="str">
        <f t="shared" si="210"/>
        <v/>
      </c>
      <c r="HV656" s="2945" t="str">
        <f t="shared" si="211"/>
        <v/>
      </c>
      <c r="HW656" s="2945" t="str">
        <f t="shared" si="212"/>
        <v/>
      </c>
      <c r="HX656" s="2945" t="str">
        <f t="shared" si="213"/>
        <v/>
      </c>
      <c r="HY656" s="2945" t="str">
        <f t="shared" si="214"/>
        <v/>
      </c>
      <c r="HZ656" s="2945" t="str">
        <f t="shared" si="215"/>
        <v/>
      </c>
      <c r="IA656" s="2945" t="str">
        <f t="shared" si="216"/>
        <v/>
      </c>
      <c r="IB656" s="2945" t="str">
        <f t="shared" si="217"/>
        <v/>
      </c>
      <c r="IC656" s="2911" t="str">
        <f t="shared" si="218"/>
        <v/>
      </c>
      <c r="ID656" s="2911" t="str">
        <f t="shared" si="219"/>
        <v/>
      </c>
      <c r="IE656" s="2911" t="str">
        <f t="shared" si="220"/>
        <v/>
      </c>
      <c r="IF656" s="2911" t="str">
        <f t="shared" si="221"/>
        <v/>
      </c>
      <c r="IG656" s="2911" t="str">
        <f t="shared" si="222"/>
        <v/>
      </c>
      <c r="IH656" s="926" t="str">
        <f t="shared" si="223"/>
        <v/>
      </c>
      <c r="II656" s="926" t="str">
        <f t="shared" si="224"/>
        <v/>
      </c>
      <c r="IJ656" s="926" t="str">
        <f t="shared" si="225"/>
        <v/>
      </c>
      <c r="IK656" s="926" t="str">
        <f t="shared" si="226"/>
        <v/>
      </c>
      <c r="IL656" s="926" t="str">
        <f t="shared" si="227"/>
        <v/>
      </c>
      <c r="IM656" s="926" t="str">
        <f t="shared" si="228"/>
        <v/>
      </c>
      <c r="IN656" s="926" t="str">
        <f t="shared" si="229"/>
        <v/>
      </c>
      <c r="IO656" s="926" t="str">
        <f t="shared" si="230"/>
        <v/>
      </c>
      <c r="IP656" s="926" t="str">
        <f t="shared" si="231"/>
        <v/>
      </c>
      <c r="IQ656" s="926" t="str">
        <f t="shared" si="232"/>
        <v/>
      </c>
      <c r="IR656" s="926" t="str">
        <f t="shared" si="233"/>
        <v/>
      </c>
      <c r="IS656" s="926" t="str">
        <f t="shared" si="234"/>
        <v/>
      </c>
      <c r="IT656" s="926" t="str">
        <f t="shared" si="235"/>
        <v/>
      </c>
      <c r="IU656" s="926" t="str">
        <f t="shared" si="236"/>
        <v/>
      </c>
      <c r="IV656" s="926" t="str">
        <f t="shared" si="237"/>
        <v/>
      </c>
      <c r="IW656" s="926" t="str">
        <f t="shared" si="238"/>
        <v/>
      </c>
      <c r="IX656" s="926" t="str">
        <f t="shared" si="239"/>
        <v/>
      </c>
      <c r="IY656" s="926" t="str">
        <f t="shared" si="240"/>
        <v/>
      </c>
      <c r="IZ656" s="926" t="str">
        <f t="shared" si="241"/>
        <v/>
      </c>
      <c r="JA656" s="926" t="str">
        <f t="shared" si="242"/>
        <v/>
      </c>
      <c r="JB656" s="2909">
        <f t="shared" si="243"/>
        <v>0</v>
      </c>
      <c r="JC656" s="2909">
        <f t="shared" si="244"/>
        <v>0</v>
      </c>
      <c r="JD656" s="2909">
        <f t="shared" si="245"/>
        <v>0</v>
      </c>
      <c r="JE656" s="2909">
        <f t="shared" si="246"/>
        <v>0</v>
      </c>
      <c r="JF656" s="2909">
        <f t="shared" si="247"/>
        <v>0</v>
      </c>
      <c r="JG656" s="2909">
        <f t="shared" si="248"/>
        <v>0</v>
      </c>
      <c r="JH656" s="2909">
        <f t="shared" si="249"/>
        <v>0</v>
      </c>
      <c r="JI656" s="2909">
        <f t="shared" si="250"/>
        <v>0</v>
      </c>
      <c r="JJ656" s="2909">
        <f t="shared" si="251"/>
        <v>0</v>
      </c>
      <c r="JK656" s="2909">
        <f t="shared" si="252"/>
        <v>0</v>
      </c>
      <c r="JL656" s="2909">
        <f t="shared" si="253"/>
        <v>0</v>
      </c>
      <c r="JM656" s="2909">
        <f t="shared" si="254"/>
        <v>0</v>
      </c>
      <c r="JN656" s="2909">
        <f t="shared" si="255"/>
        <v>0</v>
      </c>
      <c r="JO656" s="2909">
        <f t="shared" si="256"/>
        <v>0</v>
      </c>
      <c r="JP656" s="2909">
        <f t="shared" si="257"/>
        <v>0</v>
      </c>
    </row>
    <row r="657" spans="1:277" ht="12" customHeight="1">
      <c r="A657" s="2924" t="str">
        <f t="shared" si="0"/>
        <v/>
      </c>
      <c r="B657" s="2936" t="str">
        <f>'Part VI-Revenues &amp; Expenses'!B37</f>
        <v>&lt;&lt;Select&gt;&gt;</v>
      </c>
      <c r="C657" s="2937">
        <f>'Part VI-Revenues &amp; Expenses'!C37</f>
        <v>0</v>
      </c>
      <c r="D657" s="2938">
        <f>'Part VI-Revenues &amp; Expenses'!D37</f>
        <v>0</v>
      </c>
      <c r="E657" s="2939">
        <f>'Part VI-Revenues &amp; Expenses'!E37</f>
        <v>0</v>
      </c>
      <c r="F657" s="2939">
        <f>'Part VI-Revenues &amp; Expenses'!F37</f>
        <v>0</v>
      </c>
      <c r="G657" s="2939">
        <f>'Part VI-Revenues &amp; Expenses'!G37</f>
        <v>0</v>
      </c>
      <c r="H657" s="2939">
        <f>'Part VI-Revenues &amp; Expenses'!H37</f>
        <v>0</v>
      </c>
      <c r="I657" s="2939">
        <f>'Part VI-Revenues &amp; Expenses'!I37</f>
        <v>0</v>
      </c>
      <c r="J657" s="2940">
        <f>'Part VI-Revenues &amp; Expenses'!J37</f>
        <v>0</v>
      </c>
      <c r="K657" s="2941">
        <f t="shared" si="1"/>
        <v>0</v>
      </c>
      <c r="L657" s="2941">
        <f t="shared" si="2"/>
        <v>0</v>
      </c>
      <c r="M657" s="2918">
        <f>'Part VI-Revenues &amp; Expenses'!M37</f>
        <v>0</v>
      </c>
      <c r="N657" s="2918">
        <f>'Part VI-Revenues &amp; Expenses'!N37</f>
        <v>0</v>
      </c>
      <c r="O657" s="2918">
        <f>'Part VI-Revenues &amp; Expenses'!O37</f>
        <v>0</v>
      </c>
      <c r="P657" s="2918">
        <f>'Part VI-Revenues &amp; Expenses'!P37</f>
        <v>0</v>
      </c>
      <c r="Q657" s="2942">
        <f>IF(H657="","",P657/($O$626*VLOOKUP(C657,'DCA Underwriting Assumptions'!$J$118:$K$123,2,FALSE)))</f>
        <v>0</v>
      </c>
      <c r="R657" s="2943"/>
      <c r="S657" s="2942"/>
      <c r="T657" s="2944"/>
      <c r="U657" s="2944"/>
      <c r="V657" s="926" t="str">
        <f t="shared" si="3"/>
        <v/>
      </c>
      <c r="W657" s="926" t="str">
        <f t="shared" si="4"/>
        <v/>
      </c>
      <c r="X657" s="926" t="str">
        <f t="shared" si="5"/>
        <v/>
      </c>
      <c r="Y657" s="926" t="str">
        <f t="shared" si="6"/>
        <v/>
      </c>
      <c r="Z657" s="926" t="str">
        <f t="shared" si="7"/>
        <v/>
      </c>
      <c r="AA657" s="926" t="str">
        <f t="shared" si="8"/>
        <v/>
      </c>
      <c r="AB657" s="926" t="str">
        <f t="shared" si="9"/>
        <v/>
      </c>
      <c r="AC657" s="926" t="str">
        <f t="shared" si="10"/>
        <v/>
      </c>
      <c r="AD657" s="926" t="str">
        <f t="shared" si="11"/>
        <v/>
      </c>
      <c r="AE657" s="926" t="str">
        <f t="shared" si="12"/>
        <v/>
      </c>
      <c r="AF657" s="926" t="str">
        <f t="shared" si="13"/>
        <v/>
      </c>
      <c r="AG657" s="926" t="str">
        <f t="shared" si="14"/>
        <v/>
      </c>
      <c r="AH657" s="926" t="str">
        <f t="shared" si="15"/>
        <v/>
      </c>
      <c r="AI657" s="926" t="str">
        <f t="shared" si="16"/>
        <v/>
      </c>
      <c r="AJ657" s="926" t="str">
        <f t="shared" si="17"/>
        <v/>
      </c>
      <c r="AK657" s="926" t="str">
        <f t="shared" si="18"/>
        <v/>
      </c>
      <c r="AL657" s="926" t="str">
        <f t="shared" si="19"/>
        <v/>
      </c>
      <c r="AM657" s="926" t="str">
        <f t="shared" si="20"/>
        <v/>
      </c>
      <c r="AN657" s="926" t="str">
        <f t="shared" si="21"/>
        <v/>
      </c>
      <c r="AO657" s="926" t="str">
        <f t="shared" si="22"/>
        <v/>
      </c>
      <c r="AP657" s="926" t="str">
        <f t="shared" si="23"/>
        <v/>
      </c>
      <c r="AQ657" s="926" t="str">
        <f t="shared" si="24"/>
        <v/>
      </c>
      <c r="AR657" s="926" t="str">
        <f t="shared" si="25"/>
        <v/>
      </c>
      <c r="AS657" s="926" t="str">
        <f t="shared" si="26"/>
        <v/>
      </c>
      <c r="AT657" s="926" t="str">
        <f t="shared" si="27"/>
        <v/>
      </c>
      <c r="AU657" s="926" t="str">
        <f t="shared" si="28"/>
        <v/>
      </c>
      <c r="AV657" s="926" t="str">
        <f t="shared" si="29"/>
        <v/>
      </c>
      <c r="AW657" s="926" t="str">
        <f t="shared" si="30"/>
        <v/>
      </c>
      <c r="AX657" s="926" t="str">
        <f t="shared" si="31"/>
        <v/>
      </c>
      <c r="AY657" s="926" t="str">
        <f t="shared" si="32"/>
        <v/>
      </c>
      <c r="AZ657" s="926" t="str">
        <f t="shared" si="33"/>
        <v/>
      </c>
      <c r="BA657" s="926" t="str">
        <f t="shared" si="34"/>
        <v/>
      </c>
      <c r="BB657" s="926" t="str">
        <f t="shared" si="35"/>
        <v/>
      </c>
      <c r="BC657" s="926" t="str">
        <f t="shared" si="36"/>
        <v/>
      </c>
      <c r="BD657" s="926" t="str">
        <f t="shared" si="37"/>
        <v/>
      </c>
      <c r="BE657" s="926" t="str">
        <f t="shared" si="38"/>
        <v/>
      </c>
      <c r="BF657" s="926" t="str">
        <f t="shared" si="39"/>
        <v/>
      </c>
      <c r="BG657" s="926" t="str">
        <f t="shared" si="40"/>
        <v/>
      </c>
      <c r="BH657" s="926" t="str">
        <f t="shared" si="41"/>
        <v/>
      </c>
      <c r="BI657" s="926" t="str">
        <f t="shared" si="42"/>
        <v/>
      </c>
      <c r="BJ657" s="926" t="str">
        <f t="shared" si="43"/>
        <v/>
      </c>
      <c r="BK657" s="926" t="str">
        <f t="shared" si="44"/>
        <v/>
      </c>
      <c r="BL657" s="926" t="str">
        <f t="shared" si="45"/>
        <v/>
      </c>
      <c r="BM657" s="926" t="str">
        <f t="shared" si="46"/>
        <v/>
      </c>
      <c r="BN657" s="926" t="str">
        <f t="shared" si="47"/>
        <v/>
      </c>
      <c r="BO657" s="926" t="str">
        <f t="shared" si="48"/>
        <v/>
      </c>
      <c r="BP657" s="926" t="str">
        <f t="shared" si="49"/>
        <v/>
      </c>
      <c r="BQ657" s="926" t="str">
        <f t="shared" si="50"/>
        <v/>
      </c>
      <c r="BR657" s="926" t="str">
        <f t="shared" si="51"/>
        <v/>
      </c>
      <c r="BS657" s="926" t="str">
        <f t="shared" si="52"/>
        <v/>
      </c>
      <c r="BT657" s="926" t="str">
        <f t="shared" si="53"/>
        <v/>
      </c>
      <c r="BU657" s="926" t="str">
        <f t="shared" si="54"/>
        <v/>
      </c>
      <c r="BV657" s="926" t="str">
        <f t="shared" si="55"/>
        <v/>
      </c>
      <c r="BW657" s="926" t="str">
        <f t="shared" si="56"/>
        <v/>
      </c>
      <c r="BX657" s="926" t="str">
        <f t="shared" si="57"/>
        <v/>
      </c>
      <c r="BY657" s="926" t="str">
        <f t="shared" si="58"/>
        <v/>
      </c>
      <c r="BZ657" s="926" t="str">
        <f t="shared" si="59"/>
        <v/>
      </c>
      <c r="CA657" s="926" t="str">
        <f t="shared" si="60"/>
        <v/>
      </c>
      <c r="CB657" s="926" t="str">
        <f t="shared" si="61"/>
        <v/>
      </c>
      <c r="CC657" s="926" t="str">
        <f t="shared" si="62"/>
        <v/>
      </c>
      <c r="CD657" s="926" t="str">
        <f t="shared" si="63"/>
        <v/>
      </c>
      <c r="CE657" s="926" t="str">
        <f t="shared" si="64"/>
        <v/>
      </c>
      <c r="CF657" s="926" t="str">
        <f t="shared" si="65"/>
        <v/>
      </c>
      <c r="CG657" s="926" t="str">
        <f t="shared" si="66"/>
        <v/>
      </c>
      <c r="CH657" s="926" t="str">
        <f t="shared" si="67"/>
        <v/>
      </c>
      <c r="CI657" s="926" t="str">
        <f t="shared" si="68"/>
        <v/>
      </c>
      <c r="CJ657" s="926" t="str">
        <f t="shared" si="69"/>
        <v/>
      </c>
      <c r="CK657" s="926" t="str">
        <f t="shared" si="70"/>
        <v/>
      </c>
      <c r="CL657" s="926" t="str">
        <f t="shared" si="71"/>
        <v/>
      </c>
      <c r="CM657" s="926" t="str">
        <f t="shared" si="72"/>
        <v/>
      </c>
      <c r="CN657" s="926" t="str">
        <f t="shared" si="73"/>
        <v/>
      </c>
      <c r="CO657" s="926" t="str">
        <f t="shared" si="74"/>
        <v/>
      </c>
      <c r="CP657" s="926" t="str">
        <f t="shared" si="75"/>
        <v/>
      </c>
      <c r="CQ657" s="926" t="str">
        <f t="shared" si="76"/>
        <v/>
      </c>
      <c r="CR657" s="926" t="str">
        <f t="shared" si="77"/>
        <v/>
      </c>
      <c r="CS657" s="926" t="str">
        <f t="shared" si="78"/>
        <v/>
      </c>
      <c r="CT657" s="926" t="str">
        <f t="shared" si="79"/>
        <v/>
      </c>
      <c r="CU657" s="926" t="str">
        <f t="shared" si="80"/>
        <v/>
      </c>
      <c r="CV657" s="926" t="str">
        <f t="shared" si="81"/>
        <v/>
      </c>
      <c r="CW657" s="926" t="str">
        <f t="shared" si="82"/>
        <v/>
      </c>
      <c r="CX657" s="926" t="str">
        <f t="shared" si="83"/>
        <v/>
      </c>
      <c r="CY657" s="926" t="str">
        <f t="shared" si="84"/>
        <v/>
      </c>
      <c r="CZ657" s="926" t="str">
        <f t="shared" si="85"/>
        <v/>
      </c>
      <c r="DA657" s="926" t="str">
        <f t="shared" si="86"/>
        <v/>
      </c>
      <c r="DB657" s="926" t="str">
        <f t="shared" si="87"/>
        <v/>
      </c>
      <c r="DC657" s="926" t="str">
        <f t="shared" si="88"/>
        <v/>
      </c>
      <c r="DD657" s="926" t="str">
        <f t="shared" si="89"/>
        <v/>
      </c>
      <c r="DE657" s="926" t="str">
        <f t="shared" si="90"/>
        <v/>
      </c>
      <c r="DF657" s="926" t="str">
        <f t="shared" si="91"/>
        <v/>
      </c>
      <c r="DG657" s="926" t="str">
        <f t="shared" si="92"/>
        <v/>
      </c>
      <c r="DH657" s="926" t="str">
        <f t="shared" si="93"/>
        <v/>
      </c>
      <c r="DI657" s="926" t="str">
        <f t="shared" si="94"/>
        <v/>
      </c>
      <c r="DJ657" s="926" t="str">
        <f t="shared" si="95"/>
        <v/>
      </c>
      <c r="DK657" s="926" t="str">
        <f t="shared" si="96"/>
        <v/>
      </c>
      <c r="DL657" s="926" t="str">
        <f t="shared" si="97"/>
        <v/>
      </c>
      <c r="DM657" s="926" t="str">
        <f t="shared" si="98"/>
        <v/>
      </c>
      <c r="DN657" s="926" t="str">
        <f t="shared" si="99"/>
        <v/>
      </c>
      <c r="DO657" s="926" t="str">
        <f t="shared" si="100"/>
        <v/>
      </c>
      <c r="DP657" s="926" t="str">
        <f t="shared" si="101"/>
        <v/>
      </c>
      <c r="DQ657" s="926" t="str">
        <f t="shared" si="102"/>
        <v/>
      </c>
      <c r="DR657" s="926" t="str">
        <f t="shared" si="103"/>
        <v/>
      </c>
      <c r="DS657" s="926" t="str">
        <f t="shared" si="104"/>
        <v/>
      </c>
      <c r="DT657" s="926" t="str">
        <f t="shared" si="105"/>
        <v/>
      </c>
      <c r="DU657" s="926" t="str">
        <f t="shared" si="106"/>
        <v/>
      </c>
      <c r="DV657" s="926" t="str">
        <f t="shared" si="107"/>
        <v/>
      </c>
      <c r="DW657" s="926" t="str">
        <f t="shared" si="108"/>
        <v/>
      </c>
      <c r="DX657" s="926" t="str">
        <f t="shared" si="109"/>
        <v/>
      </c>
      <c r="DY657" s="926" t="str">
        <f t="shared" si="110"/>
        <v/>
      </c>
      <c r="DZ657" s="926" t="str">
        <f t="shared" si="111"/>
        <v/>
      </c>
      <c r="EA657" s="926" t="str">
        <f t="shared" si="112"/>
        <v/>
      </c>
      <c r="EB657" s="926" t="str">
        <f t="shared" si="113"/>
        <v/>
      </c>
      <c r="EC657" s="926" t="str">
        <f t="shared" si="114"/>
        <v/>
      </c>
      <c r="ED657" s="926" t="str">
        <f t="shared" si="115"/>
        <v/>
      </c>
      <c r="EE657" s="926" t="str">
        <f t="shared" si="116"/>
        <v/>
      </c>
      <c r="EF657" s="926" t="str">
        <f t="shared" si="117"/>
        <v/>
      </c>
      <c r="EG657" s="926" t="str">
        <f t="shared" si="118"/>
        <v/>
      </c>
      <c r="EH657" s="926" t="str">
        <f t="shared" si="119"/>
        <v/>
      </c>
      <c r="EI657" s="926" t="str">
        <f t="shared" si="120"/>
        <v/>
      </c>
      <c r="EJ657" s="926" t="str">
        <f t="shared" si="121"/>
        <v/>
      </c>
      <c r="EK657" s="926" t="str">
        <f t="shared" si="122"/>
        <v/>
      </c>
      <c r="EL657" s="926" t="str">
        <f t="shared" si="123"/>
        <v/>
      </c>
      <c r="EM657" s="926" t="str">
        <f t="shared" si="124"/>
        <v/>
      </c>
      <c r="EN657" s="926" t="str">
        <f t="shared" si="125"/>
        <v/>
      </c>
      <c r="EO657" s="926" t="str">
        <f t="shared" si="126"/>
        <v/>
      </c>
      <c r="EP657" s="926" t="str">
        <f t="shared" si="127"/>
        <v/>
      </c>
      <c r="EQ657" s="926" t="str">
        <f t="shared" si="128"/>
        <v/>
      </c>
      <c r="ER657" s="926" t="str">
        <f t="shared" si="129"/>
        <v/>
      </c>
      <c r="ES657" s="926" t="str">
        <f t="shared" si="130"/>
        <v/>
      </c>
      <c r="ET657" s="926" t="str">
        <f t="shared" si="131"/>
        <v/>
      </c>
      <c r="EU657" s="926" t="str">
        <f t="shared" si="132"/>
        <v/>
      </c>
      <c r="EV657" s="2945" t="str">
        <f t="shared" si="133"/>
        <v/>
      </c>
      <c r="EW657" s="2945" t="str">
        <f t="shared" si="134"/>
        <v/>
      </c>
      <c r="EX657" s="2945" t="str">
        <f t="shared" si="135"/>
        <v/>
      </c>
      <c r="EY657" s="2945" t="str">
        <f t="shared" si="136"/>
        <v/>
      </c>
      <c r="EZ657" s="2945" t="str">
        <f t="shared" si="137"/>
        <v/>
      </c>
      <c r="FA657" s="2945" t="str">
        <f t="shared" si="138"/>
        <v/>
      </c>
      <c r="FB657" s="2945" t="str">
        <f t="shared" si="139"/>
        <v/>
      </c>
      <c r="FC657" s="2945" t="str">
        <f t="shared" si="140"/>
        <v/>
      </c>
      <c r="FD657" s="2945" t="str">
        <f t="shared" si="141"/>
        <v/>
      </c>
      <c r="FE657" s="2945" t="str">
        <f t="shared" si="142"/>
        <v/>
      </c>
      <c r="FF657" s="2945" t="str">
        <f t="shared" si="143"/>
        <v/>
      </c>
      <c r="FG657" s="2945" t="str">
        <f t="shared" si="144"/>
        <v/>
      </c>
      <c r="FH657" s="2945" t="str">
        <f t="shared" si="145"/>
        <v/>
      </c>
      <c r="FI657" s="2945" t="str">
        <f t="shared" si="146"/>
        <v/>
      </c>
      <c r="FJ657" s="2945" t="str">
        <f t="shared" si="147"/>
        <v/>
      </c>
      <c r="FK657" s="2945" t="str">
        <f t="shared" si="148"/>
        <v/>
      </c>
      <c r="FL657" s="2945" t="str">
        <f t="shared" si="149"/>
        <v/>
      </c>
      <c r="FM657" s="2945" t="str">
        <f t="shared" si="150"/>
        <v/>
      </c>
      <c r="FN657" s="2945" t="str">
        <f t="shared" si="151"/>
        <v/>
      </c>
      <c r="FO657" s="2945" t="str">
        <f t="shared" si="152"/>
        <v/>
      </c>
      <c r="FP657" s="2945" t="str">
        <f t="shared" si="153"/>
        <v/>
      </c>
      <c r="FQ657" s="2945" t="str">
        <f t="shared" si="154"/>
        <v/>
      </c>
      <c r="FR657" s="2945" t="str">
        <f t="shared" si="155"/>
        <v/>
      </c>
      <c r="FS657" s="2945" t="str">
        <f t="shared" si="156"/>
        <v/>
      </c>
      <c r="FT657" s="2945" t="str">
        <f t="shared" si="157"/>
        <v/>
      </c>
      <c r="FU657" s="2945" t="str">
        <f t="shared" si="158"/>
        <v/>
      </c>
      <c r="FV657" s="2945" t="str">
        <f t="shared" si="159"/>
        <v/>
      </c>
      <c r="FW657" s="2945" t="str">
        <f t="shared" si="160"/>
        <v/>
      </c>
      <c r="FX657" s="2945" t="str">
        <f t="shared" si="161"/>
        <v/>
      </c>
      <c r="FY657" s="2945" t="str">
        <f t="shared" si="162"/>
        <v/>
      </c>
      <c r="FZ657" s="2945" t="str">
        <f t="shared" si="163"/>
        <v/>
      </c>
      <c r="GA657" s="2945" t="str">
        <f t="shared" si="164"/>
        <v/>
      </c>
      <c r="GB657" s="2945" t="str">
        <f t="shared" si="165"/>
        <v/>
      </c>
      <c r="GC657" s="2945" t="str">
        <f t="shared" si="166"/>
        <v/>
      </c>
      <c r="GD657" s="2945" t="str">
        <f t="shared" si="167"/>
        <v/>
      </c>
      <c r="GE657" s="2945" t="str">
        <f t="shared" si="168"/>
        <v/>
      </c>
      <c r="GF657" s="2945" t="str">
        <f t="shared" si="169"/>
        <v/>
      </c>
      <c r="GG657" s="2945" t="str">
        <f t="shared" si="170"/>
        <v/>
      </c>
      <c r="GH657" s="2945" t="str">
        <f t="shared" si="171"/>
        <v/>
      </c>
      <c r="GI657" s="2945" t="str">
        <f t="shared" si="172"/>
        <v/>
      </c>
      <c r="GJ657" s="2945" t="str">
        <f t="shared" si="173"/>
        <v/>
      </c>
      <c r="GK657" s="2945" t="str">
        <f t="shared" si="174"/>
        <v/>
      </c>
      <c r="GL657" s="2945" t="str">
        <f t="shared" si="175"/>
        <v/>
      </c>
      <c r="GM657" s="2945" t="str">
        <f t="shared" si="176"/>
        <v/>
      </c>
      <c r="GN657" s="2945" t="str">
        <f t="shared" si="177"/>
        <v/>
      </c>
      <c r="GO657" s="2945" t="str">
        <f t="shared" si="178"/>
        <v/>
      </c>
      <c r="GP657" s="2945" t="str">
        <f t="shared" si="179"/>
        <v/>
      </c>
      <c r="GQ657" s="2945" t="str">
        <f t="shared" si="180"/>
        <v/>
      </c>
      <c r="GR657" s="2945" t="str">
        <f t="shared" si="181"/>
        <v/>
      </c>
      <c r="GS657" s="2945" t="str">
        <f t="shared" si="182"/>
        <v/>
      </c>
      <c r="GT657" s="2945" t="str">
        <f t="shared" si="183"/>
        <v/>
      </c>
      <c r="GU657" s="2945" t="str">
        <f t="shared" si="184"/>
        <v/>
      </c>
      <c r="GV657" s="2945" t="str">
        <f t="shared" si="185"/>
        <v/>
      </c>
      <c r="GW657" s="2945" t="str">
        <f t="shared" si="186"/>
        <v/>
      </c>
      <c r="GX657" s="2945" t="str">
        <f t="shared" si="187"/>
        <v/>
      </c>
      <c r="GY657" s="2945" t="str">
        <f t="shared" si="188"/>
        <v/>
      </c>
      <c r="GZ657" s="2945" t="str">
        <f t="shared" si="189"/>
        <v/>
      </c>
      <c r="HA657" s="2945" t="str">
        <f t="shared" si="190"/>
        <v/>
      </c>
      <c r="HB657" s="2945" t="str">
        <f t="shared" si="191"/>
        <v/>
      </c>
      <c r="HC657" s="2945" t="str">
        <f t="shared" si="192"/>
        <v/>
      </c>
      <c r="HD657" s="2945" t="str">
        <f t="shared" si="193"/>
        <v/>
      </c>
      <c r="HE657" s="2945" t="str">
        <f t="shared" si="194"/>
        <v/>
      </c>
      <c r="HF657" s="2945" t="str">
        <f t="shared" si="195"/>
        <v/>
      </c>
      <c r="HG657" s="2945" t="str">
        <f t="shared" si="196"/>
        <v/>
      </c>
      <c r="HH657" s="2945" t="str">
        <f t="shared" si="197"/>
        <v/>
      </c>
      <c r="HI657" s="2945" t="str">
        <f t="shared" si="198"/>
        <v/>
      </c>
      <c r="HJ657" s="2945" t="str">
        <f t="shared" si="199"/>
        <v/>
      </c>
      <c r="HK657" s="2945" t="str">
        <f t="shared" si="200"/>
        <v/>
      </c>
      <c r="HL657" s="2945" t="str">
        <f t="shared" si="201"/>
        <v/>
      </c>
      <c r="HM657" s="2945" t="str">
        <f t="shared" si="202"/>
        <v/>
      </c>
      <c r="HN657" s="2945" t="str">
        <f t="shared" si="203"/>
        <v/>
      </c>
      <c r="HO657" s="2945" t="str">
        <f t="shared" si="204"/>
        <v/>
      </c>
      <c r="HP657" s="2945" t="str">
        <f t="shared" si="205"/>
        <v/>
      </c>
      <c r="HQ657" s="2945" t="str">
        <f t="shared" si="206"/>
        <v/>
      </c>
      <c r="HR657" s="2945" t="str">
        <f t="shared" si="207"/>
        <v/>
      </c>
      <c r="HS657" s="2945" t="str">
        <f t="shared" si="208"/>
        <v/>
      </c>
      <c r="HT657" s="2945" t="str">
        <f t="shared" si="209"/>
        <v/>
      </c>
      <c r="HU657" s="2945" t="str">
        <f t="shared" si="210"/>
        <v/>
      </c>
      <c r="HV657" s="2945" t="str">
        <f t="shared" si="211"/>
        <v/>
      </c>
      <c r="HW657" s="2945" t="str">
        <f t="shared" si="212"/>
        <v/>
      </c>
      <c r="HX657" s="2945" t="str">
        <f t="shared" si="213"/>
        <v/>
      </c>
      <c r="HY657" s="2945" t="str">
        <f t="shared" si="214"/>
        <v/>
      </c>
      <c r="HZ657" s="2945" t="str">
        <f t="shared" si="215"/>
        <v/>
      </c>
      <c r="IA657" s="2945" t="str">
        <f t="shared" si="216"/>
        <v/>
      </c>
      <c r="IB657" s="2945" t="str">
        <f t="shared" si="217"/>
        <v/>
      </c>
      <c r="IC657" s="2911" t="str">
        <f t="shared" si="218"/>
        <v/>
      </c>
      <c r="ID657" s="2911" t="str">
        <f t="shared" si="219"/>
        <v/>
      </c>
      <c r="IE657" s="2911" t="str">
        <f t="shared" si="220"/>
        <v/>
      </c>
      <c r="IF657" s="2911" t="str">
        <f t="shared" si="221"/>
        <v/>
      </c>
      <c r="IG657" s="2911" t="str">
        <f t="shared" si="222"/>
        <v/>
      </c>
      <c r="IH657" s="926" t="str">
        <f t="shared" si="223"/>
        <v/>
      </c>
      <c r="II657" s="926" t="str">
        <f t="shared" si="224"/>
        <v/>
      </c>
      <c r="IJ657" s="926" t="str">
        <f t="shared" si="225"/>
        <v/>
      </c>
      <c r="IK657" s="926" t="str">
        <f t="shared" si="226"/>
        <v/>
      </c>
      <c r="IL657" s="926" t="str">
        <f t="shared" si="227"/>
        <v/>
      </c>
      <c r="IM657" s="926" t="str">
        <f t="shared" si="228"/>
        <v/>
      </c>
      <c r="IN657" s="926" t="str">
        <f t="shared" si="229"/>
        <v/>
      </c>
      <c r="IO657" s="926" t="str">
        <f t="shared" si="230"/>
        <v/>
      </c>
      <c r="IP657" s="926" t="str">
        <f t="shared" si="231"/>
        <v/>
      </c>
      <c r="IQ657" s="926" t="str">
        <f t="shared" si="232"/>
        <v/>
      </c>
      <c r="IR657" s="926" t="str">
        <f t="shared" si="233"/>
        <v/>
      </c>
      <c r="IS657" s="926" t="str">
        <f t="shared" si="234"/>
        <v/>
      </c>
      <c r="IT657" s="926" t="str">
        <f t="shared" si="235"/>
        <v/>
      </c>
      <c r="IU657" s="926" t="str">
        <f t="shared" si="236"/>
        <v/>
      </c>
      <c r="IV657" s="926" t="str">
        <f t="shared" si="237"/>
        <v/>
      </c>
      <c r="IW657" s="926" t="str">
        <f t="shared" si="238"/>
        <v/>
      </c>
      <c r="IX657" s="926" t="str">
        <f t="shared" si="239"/>
        <v/>
      </c>
      <c r="IY657" s="926" t="str">
        <f t="shared" si="240"/>
        <v/>
      </c>
      <c r="IZ657" s="926" t="str">
        <f t="shared" si="241"/>
        <v/>
      </c>
      <c r="JA657" s="926" t="str">
        <f t="shared" si="242"/>
        <v/>
      </c>
      <c r="JB657" s="2909">
        <f t="shared" si="243"/>
        <v>0</v>
      </c>
      <c r="JC657" s="2909">
        <f t="shared" si="244"/>
        <v>0</v>
      </c>
      <c r="JD657" s="2909">
        <f t="shared" si="245"/>
        <v>0</v>
      </c>
      <c r="JE657" s="2909">
        <f t="shared" si="246"/>
        <v>0</v>
      </c>
      <c r="JF657" s="2909">
        <f t="shared" si="247"/>
        <v>0</v>
      </c>
      <c r="JG657" s="2909">
        <f t="shared" si="248"/>
        <v>0</v>
      </c>
      <c r="JH657" s="2909">
        <f t="shared" si="249"/>
        <v>0</v>
      </c>
      <c r="JI657" s="2909">
        <f t="shared" si="250"/>
        <v>0</v>
      </c>
      <c r="JJ657" s="2909">
        <f t="shared" si="251"/>
        <v>0</v>
      </c>
      <c r="JK657" s="2909">
        <f t="shared" si="252"/>
        <v>0</v>
      </c>
      <c r="JL657" s="2909">
        <f t="shared" si="253"/>
        <v>0</v>
      </c>
      <c r="JM657" s="2909">
        <f t="shared" si="254"/>
        <v>0</v>
      </c>
      <c r="JN657" s="2909">
        <f t="shared" si="255"/>
        <v>0</v>
      </c>
      <c r="JO657" s="2909">
        <f t="shared" si="256"/>
        <v>0</v>
      </c>
      <c r="JP657" s="2909">
        <f t="shared" si="257"/>
        <v>0</v>
      </c>
    </row>
    <row r="658" spans="1:277" ht="12" customHeight="1">
      <c r="A658" s="2924" t="str">
        <f t="shared" si="0"/>
        <v/>
      </c>
      <c r="B658" s="2936" t="str">
        <f>'Part VI-Revenues &amp; Expenses'!B38</f>
        <v>&lt;&lt;Select&gt;&gt;</v>
      </c>
      <c r="C658" s="2937">
        <f>'Part VI-Revenues &amp; Expenses'!C38</f>
        <v>0</v>
      </c>
      <c r="D658" s="2938">
        <f>'Part VI-Revenues &amp; Expenses'!D38</f>
        <v>0</v>
      </c>
      <c r="E658" s="2939">
        <f>'Part VI-Revenues &amp; Expenses'!E38</f>
        <v>0</v>
      </c>
      <c r="F658" s="2939">
        <f>'Part VI-Revenues &amp; Expenses'!F38</f>
        <v>0</v>
      </c>
      <c r="G658" s="2939">
        <f>'Part VI-Revenues &amp; Expenses'!G38</f>
        <v>0</v>
      </c>
      <c r="H658" s="2939">
        <f>'Part VI-Revenues &amp; Expenses'!H38</f>
        <v>0</v>
      </c>
      <c r="I658" s="2939">
        <f>'Part VI-Revenues &amp; Expenses'!I38</f>
        <v>0</v>
      </c>
      <c r="J658" s="2940">
        <f>'Part VI-Revenues &amp; Expenses'!J38</f>
        <v>0</v>
      </c>
      <c r="K658" s="2941">
        <f t="shared" si="1"/>
        <v>0</v>
      </c>
      <c r="L658" s="2941">
        <f t="shared" si="2"/>
        <v>0</v>
      </c>
      <c r="M658" s="2918">
        <f>'Part VI-Revenues &amp; Expenses'!M38</f>
        <v>0</v>
      </c>
      <c r="N658" s="2918">
        <f>'Part VI-Revenues &amp; Expenses'!N38</f>
        <v>0</v>
      </c>
      <c r="O658" s="2918">
        <f>'Part VI-Revenues &amp; Expenses'!O38</f>
        <v>0</v>
      </c>
      <c r="P658" s="2918">
        <f>'Part VI-Revenues &amp; Expenses'!P38</f>
        <v>0</v>
      </c>
      <c r="Q658" s="2942">
        <f>IF(H658="","",P658/($O$626*VLOOKUP(C658,'DCA Underwriting Assumptions'!$J$118:$K$123,2,FALSE)))</f>
        <v>0</v>
      </c>
      <c r="R658" s="2943"/>
      <c r="S658" s="2942"/>
      <c r="T658" s="2944"/>
      <c r="U658" s="2944"/>
      <c r="V658" s="926" t="str">
        <f t="shared" si="3"/>
        <v/>
      </c>
      <c r="W658" s="926" t="str">
        <f t="shared" si="4"/>
        <v/>
      </c>
      <c r="X658" s="926" t="str">
        <f t="shared" si="5"/>
        <v/>
      </c>
      <c r="Y658" s="926" t="str">
        <f t="shared" si="6"/>
        <v/>
      </c>
      <c r="Z658" s="926" t="str">
        <f t="shared" si="7"/>
        <v/>
      </c>
      <c r="AA658" s="926" t="str">
        <f t="shared" si="8"/>
        <v/>
      </c>
      <c r="AB658" s="926" t="str">
        <f t="shared" si="9"/>
        <v/>
      </c>
      <c r="AC658" s="926" t="str">
        <f t="shared" si="10"/>
        <v/>
      </c>
      <c r="AD658" s="926" t="str">
        <f t="shared" si="11"/>
        <v/>
      </c>
      <c r="AE658" s="926" t="str">
        <f t="shared" si="12"/>
        <v/>
      </c>
      <c r="AF658" s="926" t="str">
        <f t="shared" si="13"/>
        <v/>
      </c>
      <c r="AG658" s="926" t="str">
        <f t="shared" si="14"/>
        <v/>
      </c>
      <c r="AH658" s="926" t="str">
        <f t="shared" si="15"/>
        <v/>
      </c>
      <c r="AI658" s="926" t="str">
        <f t="shared" si="16"/>
        <v/>
      </c>
      <c r="AJ658" s="926" t="str">
        <f t="shared" si="17"/>
        <v/>
      </c>
      <c r="AK658" s="926" t="str">
        <f t="shared" si="18"/>
        <v/>
      </c>
      <c r="AL658" s="926" t="str">
        <f t="shared" si="19"/>
        <v/>
      </c>
      <c r="AM658" s="926" t="str">
        <f t="shared" si="20"/>
        <v/>
      </c>
      <c r="AN658" s="926" t="str">
        <f t="shared" si="21"/>
        <v/>
      </c>
      <c r="AO658" s="926" t="str">
        <f t="shared" si="22"/>
        <v/>
      </c>
      <c r="AP658" s="926" t="str">
        <f t="shared" si="23"/>
        <v/>
      </c>
      <c r="AQ658" s="926" t="str">
        <f t="shared" si="24"/>
        <v/>
      </c>
      <c r="AR658" s="926" t="str">
        <f t="shared" si="25"/>
        <v/>
      </c>
      <c r="AS658" s="926" t="str">
        <f t="shared" si="26"/>
        <v/>
      </c>
      <c r="AT658" s="926" t="str">
        <f t="shared" si="27"/>
        <v/>
      </c>
      <c r="AU658" s="926" t="str">
        <f t="shared" si="28"/>
        <v/>
      </c>
      <c r="AV658" s="926" t="str">
        <f t="shared" si="29"/>
        <v/>
      </c>
      <c r="AW658" s="926" t="str">
        <f t="shared" si="30"/>
        <v/>
      </c>
      <c r="AX658" s="926" t="str">
        <f t="shared" si="31"/>
        <v/>
      </c>
      <c r="AY658" s="926" t="str">
        <f t="shared" si="32"/>
        <v/>
      </c>
      <c r="AZ658" s="926" t="str">
        <f t="shared" si="33"/>
        <v/>
      </c>
      <c r="BA658" s="926" t="str">
        <f t="shared" si="34"/>
        <v/>
      </c>
      <c r="BB658" s="926" t="str">
        <f t="shared" si="35"/>
        <v/>
      </c>
      <c r="BC658" s="926" t="str">
        <f t="shared" si="36"/>
        <v/>
      </c>
      <c r="BD658" s="926" t="str">
        <f t="shared" si="37"/>
        <v/>
      </c>
      <c r="BE658" s="926" t="str">
        <f t="shared" si="38"/>
        <v/>
      </c>
      <c r="BF658" s="926" t="str">
        <f t="shared" si="39"/>
        <v/>
      </c>
      <c r="BG658" s="926" t="str">
        <f t="shared" si="40"/>
        <v/>
      </c>
      <c r="BH658" s="926" t="str">
        <f t="shared" si="41"/>
        <v/>
      </c>
      <c r="BI658" s="926" t="str">
        <f t="shared" si="42"/>
        <v/>
      </c>
      <c r="BJ658" s="926" t="str">
        <f t="shared" si="43"/>
        <v/>
      </c>
      <c r="BK658" s="926" t="str">
        <f t="shared" si="44"/>
        <v/>
      </c>
      <c r="BL658" s="926" t="str">
        <f t="shared" si="45"/>
        <v/>
      </c>
      <c r="BM658" s="926" t="str">
        <f t="shared" si="46"/>
        <v/>
      </c>
      <c r="BN658" s="926" t="str">
        <f t="shared" si="47"/>
        <v/>
      </c>
      <c r="BO658" s="926" t="str">
        <f t="shared" si="48"/>
        <v/>
      </c>
      <c r="BP658" s="926" t="str">
        <f t="shared" si="49"/>
        <v/>
      </c>
      <c r="BQ658" s="926" t="str">
        <f t="shared" si="50"/>
        <v/>
      </c>
      <c r="BR658" s="926" t="str">
        <f t="shared" si="51"/>
        <v/>
      </c>
      <c r="BS658" s="926" t="str">
        <f t="shared" si="52"/>
        <v/>
      </c>
      <c r="BT658" s="926" t="str">
        <f t="shared" si="53"/>
        <v/>
      </c>
      <c r="BU658" s="926" t="str">
        <f t="shared" si="54"/>
        <v/>
      </c>
      <c r="BV658" s="926" t="str">
        <f t="shared" si="55"/>
        <v/>
      </c>
      <c r="BW658" s="926" t="str">
        <f t="shared" si="56"/>
        <v/>
      </c>
      <c r="BX658" s="926" t="str">
        <f t="shared" si="57"/>
        <v/>
      </c>
      <c r="BY658" s="926" t="str">
        <f t="shared" si="58"/>
        <v/>
      </c>
      <c r="BZ658" s="926" t="str">
        <f t="shared" si="59"/>
        <v/>
      </c>
      <c r="CA658" s="926" t="str">
        <f t="shared" si="60"/>
        <v/>
      </c>
      <c r="CB658" s="926" t="str">
        <f t="shared" si="61"/>
        <v/>
      </c>
      <c r="CC658" s="926" t="str">
        <f t="shared" si="62"/>
        <v/>
      </c>
      <c r="CD658" s="926" t="str">
        <f t="shared" si="63"/>
        <v/>
      </c>
      <c r="CE658" s="926" t="str">
        <f t="shared" si="64"/>
        <v/>
      </c>
      <c r="CF658" s="926" t="str">
        <f t="shared" si="65"/>
        <v/>
      </c>
      <c r="CG658" s="926" t="str">
        <f t="shared" si="66"/>
        <v/>
      </c>
      <c r="CH658" s="926" t="str">
        <f t="shared" si="67"/>
        <v/>
      </c>
      <c r="CI658" s="926" t="str">
        <f t="shared" si="68"/>
        <v/>
      </c>
      <c r="CJ658" s="926" t="str">
        <f t="shared" si="69"/>
        <v/>
      </c>
      <c r="CK658" s="926" t="str">
        <f t="shared" si="70"/>
        <v/>
      </c>
      <c r="CL658" s="926" t="str">
        <f t="shared" si="71"/>
        <v/>
      </c>
      <c r="CM658" s="926" t="str">
        <f t="shared" si="72"/>
        <v/>
      </c>
      <c r="CN658" s="926" t="str">
        <f t="shared" si="73"/>
        <v/>
      </c>
      <c r="CO658" s="926" t="str">
        <f t="shared" si="74"/>
        <v/>
      </c>
      <c r="CP658" s="926" t="str">
        <f t="shared" si="75"/>
        <v/>
      </c>
      <c r="CQ658" s="926" t="str">
        <f t="shared" si="76"/>
        <v/>
      </c>
      <c r="CR658" s="926" t="str">
        <f t="shared" si="77"/>
        <v/>
      </c>
      <c r="CS658" s="926" t="str">
        <f t="shared" si="78"/>
        <v/>
      </c>
      <c r="CT658" s="926" t="str">
        <f t="shared" si="79"/>
        <v/>
      </c>
      <c r="CU658" s="926" t="str">
        <f t="shared" si="80"/>
        <v/>
      </c>
      <c r="CV658" s="926" t="str">
        <f t="shared" si="81"/>
        <v/>
      </c>
      <c r="CW658" s="926" t="str">
        <f t="shared" si="82"/>
        <v/>
      </c>
      <c r="CX658" s="926" t="str">
        <f t="shared" si="83"/>
        <v/>
      </c>
      <c r="CY658" s="926" t="str">
        <f t="shared" si="84"/>
        <v/>
      </c>
      <c r="CZ658" s="926" t="str">
        <f t="shared" si="85"/>
        <v/>
      </c>
      <c r="DA658" s="926" t="str">
        <f t="shared" si="86"/>
        <v/>
      </c>
      <c r="DB658" s="926" t="str">
        <f t="shared" si="87"/>
        <v/>
      </c>
      <c r="DC658" s="926" t="str">
        <f t="shared" si="88"/>
        <v/>
      </c>
      <c r="DD658" s="926" t="str">
        <f t="shared" si="89"/>
        <v/>
      </c>
      <c r="DE658" s="926" t="str">
        <f t="shared" si="90"/>
        <v/>
      </c>
      <c r="DF658" s="926" t="str">
        <f t="shared" si="91"/>
        <v/>
      </c>
      <c r="DG658" s="926" t="str">
        <f t="shared" si="92"/>
        <v/>
      </c>
      <c r="DH658" s="926" t="str">
        <f t="shared" si="93"/>
        <v/>
      </c>
      <c r="DI658" s="926" t="str">
        <f t="shared" si="94"/>
        <v/>
      </c>
      <c r="DJ658" s="926" t="str">
        <f t="shared" si="95"/>
        <v/>
      </c>
      <c r="DK658" s="926" t="str">
        <f t="shared" si="96"/>
        <v/>
      </c>
      <c r="DL658" s="926" t="str">
        <f t="shared" si="97"/>
        <v/>
      </c>
      <c r="DM658" s="926" t="str">
        <f t="shared" si="98"/>
        <v/>
      </c>
      <c r="DN658" s="926" t="str">
        <f t="shared" si="99"/>
        <v/>
      </c>
      <c r="DO658" s="926" t="str">
        <f t="shared" si="100"/>
        <v/>
      </c>
      <c r="DP658" s="926" t="str">
        <f t="shared" si="101"/>
        <v/>
      </c>
      <c r="DQ658" s="926" t="str">
        <f t="shared" si="102"/>
        <v/>
      </c>
      <c r="DR658" s="926" t="str">
        <f t="shared" si="103"/>
        <v/>
      </c>
      <c r="DS658" s="926" t="str">
        <f t="shared" si="104"/>
        <v/>
      </c>
      <c r="DT658" s="926" t="str">
        <f t="shared" si="105"/>
        <v/>
      </c>
      <c r="DU658" s="926" t="str">
        <f t="shared" si="106"/>
        <v/>
      </c>
      <c r="DV658" s="926" t="str">
        <f t="shared" si="107"/>
        <v/>
      </c>
      <c r="DW658" s="926" t="str">
        <f t="shared" si="108"/>
        <v/>
      </c>
      <c r="DX658" s="926" t="str">
        <f t="shared" si="109"/>
        <v/>
      </c>
      <c r="DY658" s="926" t="str">
        <f t="shared" si="110"/>
        <v/>
      </c>
      <c r="DZ658" s="926" t="str">
        <f t="shared" si="111"/>
        <v/>
      </c>
      <c r="EA658" s="926" t="str">
        <f t="shared" si="112"/>
        <v/>
      </c>
      <c r="EB658" s="926" t="str">
        <f t="shared" si="113"/>
        <v/>
      </c>
      <c r="EC658" s="926" t="str">
        <f t="shared" si="114"/>
        <v/>
      </c>
      <c r="ED658" s="926" t="str">
        <f t="shared" si="115"/>
        <v/>
      </c>
      <c r="EE658" s="926" t="str">
        <f t="shared" si="116"/>
        <v/>
      </c>
      <c r="EF658" s="926" t="str">
        <f t="shared" si="117"/>
        <v/>
      </c>
      <c r="EG658" s="926" t="str">
        <f t="shared" si="118"/>
        <v/>
      </c>
      <c r="EH658" s="926" t="str">
        <f t="shared" si="119"/>
        <v/>
      </c>
      <c r="EI658" s="926" t="str">
        <f t="shared" si="120"/>
        <v/>
      </c>
      <c r="EJ658" s="926" t="str">
        <f t="shared" si="121"/>
        <v/>
      </c>
      <c r="EK658" s="926" t="str">
        <f t="shared" si="122"/>
        <v/>
      </c>
      <c r="EL658" s="926" t="str">
        <f t="shared" si="123"/>
        <v/>
      </c>
      <c r="EM658" s="926" t="str">
        <f t="shared" si="124"/>
        <v/>
      </c>
      <c r="EN658" s="926" t="str">
        <f t="shared" si="125"/>
        <v/>
      </c>
      <c r="EO658" s="926" t="str">
        <f t="shared" si="126"/>
        <v/>
      </c>
      <c r="EP658" s="926" t="str">
        <f t="shared" si="127"/>
        <v/>
      </c>
      <c r="EQ658" s="926" t="str">
        <f t="shared" si="128"/>
        <v/>
      </c>
      <c r="ER658" s="926" t="str">
        <f t="shared" si="129"/>
        <v/>
      </c>
      <c r="ES658" s="926" t="str">
        <f t="shared" si="130"/>
        <v/>
      </c>
      <c r="ET658" s="926" t="str">
        <f t="shared" si="131"/>
        <v/>
      </c>
      <c r="EU658" s="926" t="str">
        <f t="shared" si="132"/>
        <v/>
      </c>
      <c r="EV658" s="2945" t="str">
        <f t="shared" si="133"/>
        <v/>
      </c>
      <c r="EW658" s="2945" t="str">
        <f t="shared" si="134"/>
        <v/>
      </c>
      <c r="EX658" s="2945" t="str">
        <f t="shared" si="135"/>
        <v/>
      </c>
      <c r="EY658" s="2945" t="str">
        <f t="shared" si="136"/>
        <v/>
      </c>
      <c r="EZ658" s="2945" t="str">
        <f t="shared" si="137"/>
        <v/>
      </c>
      <c r="FA658" s="2945" t="str">
        <f t="shared" si="138"/>
        <v/>
      </c>
      <c r="FB658" s="2945" t="str">
        <f t="shared" si="139"/>
        <v/>
      </c>
      <c r="FC658" s="2945" t="str">
        <f t="shared" si="140"/>
        <v/>
      </c>
      <c r="FD658" s="2945" t="str">
        <f t="shared" si="141"/>
        <v/>
      </c>
      <c r="FE658" s="2945" t="str">
        <f t="shared" si="142"/>
        <v/>
      </c>
      <c r="FF658" s="2945" t="str">
        <f t="shared" si="143"/>
        <v/>
      </c>
      <c r="FG658" s="2945" t="str">
        <f t="shared" si="144"/>
        <v/>
      </c>
      <c r="FH658" s="2945" t="str">
        <f t="shared" si="145"/>
        <v/>
      </c>
      <c r="FI658" s="2945" t="str">
        <f t="shared" si="146"/>
        <v/>
      </c>
      <c r="FJ658" s="2945" t="str">
        <f t="shared" si="147"/>
        <v/>
      </c>
      <c r="FK658" s="2945" t="str">
        <f t="shared" si="148"/>
        <v/>
      </c>
      <c r="FL658" s="2945" t="str">
        <f t="shared" si="149"/>
        <v/>
      </c>
      <c r="FM658" s="2945" t="str">
        <f t="shared" si="150"/>
        <v/>
      </c>
      <c r="FN658" s="2945" t="str">
        <f t="shared" si="151"/>
        <v/>
      </c>
      <c r="FO658" s="2945" t="str">
        <f t="shared" si="152"/>
        <v/>
      </c>
      <c r="FP658" s="2945" t="str">
        <f t="shared" si="153"/>
        <v/>
      </c>
      <c r="FQ658" s="2945" t="str">
        <f t="shared" si="154"/>
        <v/>
      </c>
      <c r="FR658" s="2945" t="str">
        <f t="shared" si="155"/>
        <v/>
      </c>
      <c r="FS658" s="2945" t="str">
        <f t="shared" si="156"/>
        <v/>
      </c>
      <c r="FT658" s="2945" t="str">
        <f t="shared" si="157"/>
        <v/>
      </c>
      <c r="FU658" s="2945" t="str">
        <f t="shared" si="158"/>
        <v/>
      </c>
      <c r="FV658" s="2945" t="str">
        <f t="shared" si="159"/>
        <v/>
      </c>
      <c r="FW658" s="2945" t="str">
        <f t="shared" si="160"/>
        <v/>
      </c>
      <c r="FX658" s="2945" t="str">
        <f t="shared" si="161"/>
        <v/>
      </c>
      <c r="FY658" s="2945" t="str">
        <f t="shared" si="162"/>
        <v/>
      </c>
      <c r="FZ658" s="2945" t="str">
        <f t="shared" si="163"/>
        <v/>
      </c>
      <c r="GA658" s="2945" t="str">
        <f t="shared" si="164"/>
        <v/>
      </c>
      <c r="GB658" s="2945" t="str">
        <f t="shared" si="165"/>
        <v/>
      </c>
      <c r="GC658" s="2945" t="str">
        <f t="shared" si="166"/>
        <v/>
      </c>
      <c r="GD658" s="2945" t="str">
        <f t="shared" si="167"/>
        <v/>
      </c>
      <c r="GE658" s="2945" t="str">
        <f t="shared" si="168"/>
        <v/>
      </c>
      <c r="GF658" s="2945" t="str">
        <f t="shared" si="169"/>
        <v/>
      </c>
      <c r="GG658" s="2945" t="str">
        <f t="shared" si="170"/>
        <v/>
      </c>
      <c r="GH658" s="2945" t="str">
        <f t="shared" si="171"/>
        <v/>
      </c>
      <c r="GI658" s="2945" t="str">
        <f t="shared" si="172"/>
        <v/>
      </c>
      <c r="GJ658" s="2945" t="str">
        <f t="shared" si="173"/>
        <v/>
      </c>
      <c r="GK658" s="2945" t="str">
        <f t="shared" si="174"/>
        <v/>
      </c>
      <c r="GL658" s="2945" t="str">
        <f t="shared" si="175"/>
        <v/>
      </c>
      <c r="GM658" s="2945" t="str">
        <f t="shared" si="176"/>
        <v/>
      </c>
      <c r="GN658" s="2945" t="str">
        <f t="shared" si="177"/>
        <v/>
      </c>
      <c r="GO658" s="2945" t="str">
        <f t="shared" si="178"/>
        <v/>
      </c>
      <c r="GP658" s="2945" t="str">
        <f t="shared" si="179"/>
        <v/>
      </c>
      <c r="GQ658" s="2945" t="str">
        <f t="shared" si="180"/>
        <v/>
      </c>
      <c r="GR658" s="2945" t="str">
        <f t="shared" si="181"/>
        <v/>
      </c>
      <c r="GS658" s="2945" t="str">
        <f t="shared" si="182"/>
        <v/>
      </c>
      <c r="GT658" s="2945" t="str">
        <f t="shared" si="183"/>
        <v/>
      </c>
      <c r="GU658" s="2945" t="str">
        <f t="shared" si="184"/>
        <v/>
      </c>
      <c r="GV658" s="2945" t="str">
        <f t="shared" si="185"/>
        <v/>
      </c>
      <c r="GW658" s="2945" t="str">
        <f t="shared" si="186"/>
        <v/>
      </c>
      <c r="GX658" s="2945" t="str">
        <f t="shared" si="187"/>
        <v/>
      </c>
      <c r="GY658" s="2945" t="str">
        <f t="shared" si="188"/>
        <v/>
      </c>
      <c r="GZ658" s="2945" t="str">
        <f t="shared" si="189"/>
        <v/>
      </c>
      <c r="HA658" s="2945" t="str">
        <f t="shared" si="190"/>
        <v/>
      </c>
      <c r="HB658" s="2945" t="str">
        <f t="shared" si="191"/>
        <v/>
      </c>
      <c r="HC658" s="2945" t="str">
        <f t="shared" si="192"/>
        <v/>
      </c>
      <c r="HD658" s="2945" t="str">
        <f t="shared" si="193"/>
        <v/>
      </c>
      <c r="HE658" s="2945" t="str">
        <f t="shared" si="194"/>
        <v/>
      </c>
      <c r="HF658" s="2945" t="str">
        <f t="shared" si="195"/>
        <v/>
      </c>
      <c r="HG658" s="2945" t="str">
        <f t="shared" si="196"/>
        <v/>
      </c>
      <c r="HH658" s="2945" t="str">
        <f t="shared" si="197"/>
        <v/>
      </c>
      <c r="HI658" s="2945" t="str">
        <f t="shared" si="198"/>
        <v/>
      </c>
      <c r="HJ658" s="2945" t="str">
        <f t="shared" si="199"/>
        <v/>
      </c>
      <c r="HK658" s="2945" t="str">
        <f t="shared" si="200"/>
        <v/>
      </c>
      <c r="HL658" s="2945" t="str">
        <f t="shared" si="201"/>
        <v/>
      </c>
      <c r="HM658" s="2945" t="str">
        <f t="shared" si="202"/>
        <v/>
      </c>
      <c r="HN658" s="2945" t="str">
        <f t="shared" si="203"/>
        <v/>
      </c>
      <c r="HO658" s="2945" t="str">
        <f t="shared" si="204"/>
        <v/>
      </c>
      <c r="HP658" s="2945" t="str">
        <f t="shared" si="205"/>
        <v/>
      </c>
      <c r="HQ658" s="2945" t="str">
        <f t="shared" si="206"/>
        <v/>
      </c>
      <c r="HR658" s="2945" t="str">
        <f t="shared" si="207"/>
        <v/>
      </c>
      <c r="HS658" s="2945" t="str">
        <f t="shared" si="208"/>
        <v/>
      </c>
      <c r="HT658" s="2945" t="str">
        <f t="shared" si="209"/>
        <v/>
      </c>
      <c r="HU658" s="2945" t="str">
        <f t="shared" si="210"/>
        <v/>
      </c>
      <c r="HV658" s="2945" t="str">
        <f t="shared" si="211"/>
        <v/>
      </c>
      <c r="HW658" s="2945" t="str">
        <f t="shared" si="212"/>
        <v/>
      </c>
      <c r="HX658" s="2945" t="str">
        <f t="shared" si="213"/>
        <v/>
      </c>
      <c r="HY658" s="2945" t="str">
        <f t="shared" si="214"/>
        <v/>
      </c>
      <c r="HZ658" s="2945" t="str">
        <f t="shared" si="215"/>
        <v/>
      </c>
      <c r="IA658" s="2945" t="str">
        <f t="shared" si="216"/>
        <v/>
      </c>
      <c r="IB658" s="2945" t="str">
        <f t="shared" si="217"/>
        <v/>
      </c>
      <c r="IC658" s="2911" t="str">
        <f t="shared" si="218"/>
        <v/>
      </c>
      <c r="ID658" s="2911" t="str">
        <f t="shared" si="219"/>
        <v/>
      </c>
      <c r="IE658" s="2911" t="str">
        <f t="shared" si="220"/>
        <v/>
      </c>
      <c r="IF658" s="2911" t="str">
        <f t="shared" si="221"/>
        <v/>
      </c>
      <c r="IG658" s="2911" t="str">
        <f t="shared" si="222"/>
        <v/>
      </c>
      <c r="IH658" s="926" t="str">
        <f t="shared" si="223"/>
        <v/>
      </c>
      <c r="II658" s="926" t="str">
        <f t="shared" si="224"/>
        <v/>
      </c>
      <c r="IJ658" s="926" t="str">
        <f t="shared" si="225"/>
        <v/>
      </c>
      <c r="IK658" s="926" t="str">
        <f t="shared" si="226"/>
        <v/>
      </c>
      <c r="IL658" s="926" t="str">
        <f t="shared" si="227"/>
        <v/>
      </c>
      <c r="IM658" s="926" t="str">
        <f t="shared" si="228"/>
        <v/>
      </c>
      <c r="IN658" s="926" t="str">
        <f t="shared" si="229"/>
        <v/>
      </c>
      <c r="IO658" s="926" t="str">
        <f t="shared" si="230"/>
        <v/>
      </c>
      <c r="IP658" s="926" t="str">
        <f t="shared" si="231"/>
        <v/>
      </c>
      <c r="IQ658" s="926" t="str">
        <f t="shared" si="232"/>
        <v/>
      </c>
      <c r="IR658" s="926" t="str">
        <f t="shared" si="233"/>
        <v/>
      </c>
      <c r="IS658" s="926" t="str">
        <f t="shared" si="234"/>
        <v/>
      </c>
      <c r="IT658" s="926" t="str">
        <f t="shared" si="235"/>
        <v/>
      </c>
      <c r="IU658" s="926" t="str">
        <f t="shared" si="236"/>
        <v/>
      </c>
      <c r="IV658" s="926" t="str">
        <f t="shared" si="237"/>
        <v/>
      </c>
      <c r="IW658" s="926" t="str">
        <f t="shared" si="238"/>
        <v/>
      </c>
      <c r="IX658" s="926" t="str">
        <f t="shared" si="239"/>
        <v/>
      </c>
      <c r="IY658" s="926" t="str">
        <f t="shared" si="240"/>
        <v/>
      </c>
      <c r="IZ658" s="926" t="str">
        <f t="shared" si="241"/>
        <v/>
      </c>
      <c r="JA658" s="926" t="str">
        <f t="shared" si="242"/>
        <v/>
      </c>
      <c r="JB658" s="2909">
        <f t="shared" si="243"/>
        <v>0</v>
      </c>
      <c r="JC658" s="2909">
        <f t="shared" si="244"/>
        <v>0</v>
      </c>
      <c r="JD658" s="2909">
        <f t="shared" si="245"/>
        <v>0</v>
      </c>
      <c r="JE658" s="2909">
        <f t="shared" si="246"/>
        <v>0</v>
      </c>
      <c r="JF658" s="2909">
        <f t="shared" si="247"/>
        <v>0</v>
      </c>
      <c r="JG658" s="2909">
        <f t="shared" si="248"/>
        <v>0</v>
      </c>
      <c r="JH658" s="2909">
        <f t="shared" si="249"/>
        <v>0</v>
      </c>
      <c r="JI658" s="2909">
        <f t="shared" si="250"/>
        <v>0</v>
      </c>
      <c r="JJ658" s="2909">
        <f t="shared" si="251"/>
        <v>0</v>
      </c>
      <c r="JK658" s="2909">
        <f t="shared" si="252"/>
        <v>0</v>
      </c>
      <c r="JL658" s="2909">
        <f t="shared" si="253"/>
        <v>0</v>
      </c>
      <c r="JM658" s="2909">
        <f t="shared" si="254"/>
        <v>0</v>
      </c>
      <c r="JN658" s="2909">
        <f t="shared" si="255"/>
        <v>0</v>
      </c>
      <c r="JO658" s="2909">
        <f t="shared" si="256"/>
        <v>0</v>
      </c>
      <c r="JP658" s="2909">
        <f t="shared" si="257"/>
        <v>0</v>
      </c>
    </row>
    <row r="659" spans="1:277" ht="12" customHeight="1">
      <c r="A659" s="2924" t="str">
        <f t="shared" si="0"/>
        <v/>
      </c>
      <c r="B659" s="2936" t="str">
        <f>'Part VI-Revenues &amp; Expenses'!B39</f>
        <v>&lt;&lt;Select&gt;&gt;</v>
      </c>
      <c r="C659" s="2937">
        <f>'Part VI-Revenues &amp; Expenses'!C39</f>
        <v>0</v>
      </c>
      <c r="D659" s="2938">
        <f>'Part VI-Revenues &amp; Expenses'!D39</f>
        <v>0</v>
      </c>
      <c r="E659" s="2939">
        <f>'Part VI-Revenues &amp; Expenses'!E39</f>
        <v>0</v>
      </c>
      <c r="F659" s="2939">
        <f>'Part VI-Revenues &amp; Expenses'!F39</f>
        <v>0</v>
      </c>
      <c r="G659" s="2939">
        <f>'Part VI-Revenues &amp; Expenses'!G39</f>
        <v>0</v>
      </c>
      <c r="H659" s="2939">
        <f>'Part VI-Revenues &amp; Expenses'!H39</f>
        <v>0</v>
      </c>
      <c r="I659" s="2939">
        <f>'Part VI-Revenues &amp; Expenses'!I39</f>
        <v>0</v>
      </c>
      <c r="J659" s="2940">
        <f>'Part VI-Revenues &amp; Expenses'!J39</f>
        <v>0</v>
      </c>
      <c r="K659" s="2941">
        <f t="shared" si="1"/>
        <v>0</v>
      </c>
      <c r="L659" s="2941">
        <f t="shared" si="2"/>
        <v>0</v>
      </c>
      <c r="M659" s="2918">
        <f>'Part VI-Revenues &amp; Expenses'!M39</f>
        <v>0</v>
      </c>
      <c r="N659" s="2918">
        <f>'Part VI-Revenues &amp; Expenses'!N39</f>
        <v>0</v>
      </c>
      <c r="O659" s="2918">
        <f>'Part VI-Revenues &amp; Expenses'!O39</f>
        <v>0</v>
      </c>
      <c r="P659" s="2918">
        <f>'Part VI-Revenues &amp; Expenses'!P39</f>
        <v>0</v>
      </c>
      <c r="Q659" s="2942">
        <f>IF(H659="","",P659/($O$626*VLOOKUP(C659,'DCA Underwriting Assumptions'!$J$118:$K$123,2,FALSE)))</f>
        <v>0</v>
      </c>
      <c r="R659" s="2943"/>
      <c r="S659" s="2942"/>
      <c r="T659" s="2944"/>
      <c r="U659" s="2944"/>
      <c r="V659" s="926" t="str">
        <f t="shared" si="3"/>
        <v/>
      </c>
      <c r="W659" s="926" t="str">
        <f t="shared" si="4"/>
        <v/>
      </c>
      <c r="X659" s="926" t="str">
        <f t="shared" si="5"/>
        <v/>
      </c>
      <c r="Y659" s="926" t="str">
        <f t="shared" si="6"/>
        <v/>
      </c>
      <c r="Z659" s="926" t="str">
        <f t="shared" si="7"/>
        <v/>
      </c>
      <c r="AA659" s="926" t="str">
        <f t="shared" si="8"/>
        <v/>
      </c>
      <c r="AB659" s="926" t="str">
        <f t="shared" si="9"/>
        <v/>
      </c>
      <c r="AC659" s="926" t="str">
        <f t="shared" si="10"/>
        <v/>
      </c>
      <c r="AD659" s="926" t="str">
        <f t="shared" si="11"/>
        <v/>
      </c>
      <c r="AE659" s="926" t="str">
        <f t="shared" si="12"/>
        <v/>
      </c>
      <c r="AF659" s="926" t="str">
        <f t="shared" si="13"/>
        <v/>
      </c>
      <c r="AG659" s="926" t="str">
        <f t="shared" si="14"/>
        <v/>
      </c>
      <c r="AH659" s="926" t="str">
        <f t="shared" si="15"/>
        <v/>
      </c>
      <c r="AI659" s="926" t="str">
        <f t="shared" si="16"/>
        <v/>
      </c>
      <c r="AJ659" s="926" t="str">
        <f t="shared" si="17"/>
        <v/>
      </c>
      <c r="AK659" s="926" t="str">
        <f t="shared" si="18"/>
        <v/>
      </c>
      <c r="AL659" s="926" t="str">
        <f t="shared" si="19"/>
        <v/>
      </c>
      <c r="AM659" s="926" t="str">
        <f t="shared" si="20"/>
        <v/>
      </c>
      <c r="AN659" s="926" t="str">
        <f t="shared" si="21"/>
        <v/>
      </c>
      <c r="AO659" s="926" t="str">
        <f t="shared" si="22"/>
        <v/>
      </c>
      <c r="AP659" s="926" t="str">
        <f t="shared" si="23"/>
        <v/>
      </c>
      <c r="AQ659" s="926" t="str">
        <f t="shared" si="24"/>
        <v/>
      </c>
      <c r="AR659" s="926" t="str">
        <f t="shared" si="25"/>
        <v/>
      </c>
      <c r="AS659" s="926" t="str">
        <f t="shared" si="26"/>
        <v/>
      </c>
      <c r="AT659" s="926" t="str">
        <f t="shared" si="27"/>
        <v/>
      </c>
      <c r="AU659" s="926" t="str">
        <f t="shared" si="28"/>
        <v/>
      </c>
      <c r="AV659" s="926" t="str">
        <f t="shared" si="29"/>
        <v/>
      </c>
      <c r="AW659" s="926" t="str">
        <f t="shared" si="30"/>
        <v/>
      </c>
      <c r="AX659" s="926" t="str">
        <f t="shared" si="31"/>
        <v/>
      </c>
      <c r="AY659" s="926" t="str">
        <f t="shared" si="32"/>
        <v/>
      </c>
      <c r="AZ659" s="926" t="str">
        <f t="shared" si="33"/>
        <v/>
      </c>
      <c r="BA659" s="926" t="str">
        <f t="shared" si="34"/>
        <v/>
      </c>
      <c r="BB659" s="926" t="str">
        <f t="shared" si="35"/>
        <v/>
      </c>
      <c r="BC659" s="926" t="str">
        <f t="shared" si="36"/>
        <v/>
      </c>
      <c r="BD659" s="926" t="str">
        <f t="shared" si="37"/>
        <v/>
      </c>
      <c r="BE659" s="926" t="str">
        <f t="shared" si="38"/>
        <v/>
      </c>
      <c r="BF659" s="926" t="str">
        <f t="shared" si="39"/>
        <v/>
      </c>
      <c r="BG659" s="926" t="str">
        <f t="shared" si="40"/>
        <v/>
      </c>
      <c r="BH659" s="926" t="str">
        <f t="shared" si="41"/>
        <v/>
      </c>
      <c r="BI659" s="926" t="str">
        <f t="shared" si="42"/>
        <v/>
      </c>
      <c r="BJ659" s="926" t="str">
        <f t="shared" si="43"/>
        <v/>
      </c>
      <c r="BK659" s="926" t="str">
        <f t="shared" si="44"/>
        <v/>
      </c>
      <c r="BL659" s="926" t="str">
        <f t="shared" si="45"/>
        <v/>
      </c>
      <c r="BM659" s="926" t="str">
        <f t="shared" si="46"/>
        <v/>
      </c>
      <c r="BN659" s="926" t="str">
        <f t="shared" si="47"/>
        <v/>
      </c>
      <c r="BO659" s="926" t="str">
        <f t="shared" si="48"/>
        <v/>
      </c>
      <c r="BP659" s="926" t="str">
        <f t="shared" si="49"/>
        <v/>
      </c>
      <c r="BQ659" s="926" t="str">
        <f t="shared" si="50"/>
        <v/>
      </c>
      <c r="BR659" s="926" t="str">
        <f t="shared" si="51"/>
        <v/>
      </c>
      <c r="BS659" s="926" t="str">
        <f t="shared" si="52"/>
        <v/>
      </c>
      <c r="BT659" s="926" t="str">
        <f t="shared" si="53"/>
        <v/>
      </c>
      <c r="BU659" s="926" t="str">
        <f t="shared" si="54"/>
        <v/>
      </c>
      <c r="BV659" s="926" t="str">
        <f t="shared" si="55"/>
        <v/>
      </c>
      <c r="BW659" s="926" t="str">
        <f t="shared" si="56"/>
        <v/>
      </c>
      <c r="BX659" s="926" t="str">
        <f t="shared" si="57"/>
        <v/>
      </c>
      <c r="BY659" s="926" t="str">
        <f t="shared" si="58"/>
        <v/>
      </c>
      <c r="BZ659" s="926" t="str">
        <f t="shared" si="59"/>
        <v/>
      </c>
      <c r="CA659" s="926" t="str">
        <f t="shared" si="60"/>
        <v/>
      </c>
      <c r="CB659" s="926" t="str">
        <f t="shared" si="61"/>
        <v/>
      </c>
      <c r="CC659" s="926" t="str">
        <f t="shared" si="62"/>
        <v/>
      </c>
      <c r="CD659" s="926" t="str">
        <f t="shared" si="63"/>
        <v/>
      </c>
      <c r="CE659" s="926" t="str">
        <f t="shared" si="64"/>
        <v/>
      </c>
      <c r="CF659" s="926" t="str">
        <f t="shared" si="65"/>
        <v/>
      </c>
      <c r="CG659" s="926" t="str">
        <f t="shared" si="66"/>
        <v/>
      </c>
      <c r="CH659" s="926" t="str">
        <f t="shared" si="67"/>
        <v/>
      </c>
      <c r="CI659" s="926" t="str">
        <f t="shared" si="68"/>
        <v/>
      </c>
      <c r="CJ659" s="926" t="str">
        <f t="shared" si="69"/>
        <v/>
      </c>
      <c r="CK659" s="926" t="str">
        <f t="shared" si="70"/>
        <v/>
      </c>
      <c r="CL659" s="926" t="str">
        <f t="shared" si="71"/>
        <v/>
      </c>
      <c r="CM659" s="926" t="str">
        <f t="shared" si="72"/>
        <v/>
      </c>
      <c r="CN659" s="926" t="str">
        <f t="shared" si="73"/>
        <v/>
      </c>
      <c r="CO659" s="926" t="str">
        <f t="shared" si="74"/>
        <v/>
      </c>
      <c r="CP659" s="926" t="str">
        <f t="shared" si="75"/>
        <v/>
      </c>
      <c r="CQ659" s="926" t="str">
        <f t="shared" si="76"/>
        <v/>
      </c>
      <c r="CR659" s="926" t="str">
        <f t="shared" si="77"/>
        <v/>
      </c>
      <c r="CS659" s="926" t="str">
        <f t="shared" si="78"/>
        <v/>
      </c>
      <c r="CT659" s="926" t="str">
        <f t="shared" si="79"/>
        <v/>
      </c>
      <c r="CU659" s="926" t="str">
        <f t="shared" si="80"/>
        <v/>
      </c>
      <c r="CV659" s="926" t="str">
        <f t="shared" si="81"/>
        <v/>
      </c>
      <c r="CW659" s="926" t="str">
        <f t="shared" si="82"/>
        <v/>
      </c>
      <c r="CX659" s="926" t="str">
        <f t="shared" si="83"/>
        <v/>
      </c>
      <c r="CY659" s="926" t="str">
        <f t="shared" si="84"/>
        <v/>
      </c>
      <c r="CZ659" s="926" t="str">
        <f t="shared" si="85"/>
        <v/>
      </c>
      <c r="DA659" s="926" t="str">
        <f t="shared" si="86"/>
        <v/>
      </c>
      <c r="DB659" s="926" t="str">
        <f t="shared" si="87"/>
        <v/>
      </c>
      <c r="DC659" s="926" t="str">
        <f t="shared" si="88"/>
        <v/>
      </c>
      <c r="DD659" s="926" t="str">
        <f t="shared" si="89"/>
        <v/>
      </c>
      <c r="DE659" s="926" t="str">
        <f t="shared" si="90"/>
        <v/>
      </c>
      <c r="DF659" s="926" t="str">
        <f t="shared" si="91"/>
        <v/>
      </c>
      <c r="DG659" s="926" t="str">
        <f t="shared" si="92"/>
        <v/>
      </c>
      <c r="DH659" s="926" t="str">
        <f t="shared" si="93"/>
        <v/>
      </c>
      <c r="DI659" s="926" t="str">
        <f t="shared" si="94"/>
        <v/>
      </c>
      <c r="DJ659" s="926" t="str">
        <f t="shared" si="95"/>
        <v/>
      </c>
      <c r="DK659" s="926" t="str">
        <f t="shared" si="96"/>
        <v/>
      </c>
      <c r="DL659" s="926" t="str">
        <f t="shared" si="97"/>
        <v/>
      </c>
      <c r="DM659" s="926" t="str">
        <f t="shared" si="98"/>
        <v/>
      </c>
      <c r="DN659" s="926" t="str">
        <f t="shared" si="99"/>
        <v/>
      </c>
      <c r="DO659" s="926" t="str">
        <f t="shared" si="100"/>
        <v/>
      </c>
      <c r="DP659" s="926" t="str">
        <f t="shared" si="101"/>
        <v/>
      </c>
      <c r="DQ659" s="926" t="str">
        <f t="shared" si="102"/>
        <v/>
      </c>
      <c r="DR659" s="926" t="str">
        <f t="shared" si="103"/>
        <v/>
      </c>
      <c r="DS659" s="926" t="str">
        <f t="shared" si="104"/>
        <v/>
      </c>
      <c r="DT659" s="926" t="str">
        <f t="shared" si="105"/>
        <v/>
      </c>
      <c r="DU659" s="926" t="str">
        <f t="shared" si="106"/>
        <v/>
      </c>
      <c r="DV659" s="926" t="str">
        <f t="shared" si="107"/>
        <v/>
      </c>
      <c r="DW659" s="926" t="str">
        <f t="shared" si="108"/>
        <v/>
      </c>
      <c r="DX659" s="926" t="str">
        <f t="shared" si="109"/>
        <v/>
      </c>
      <c r="DY659" s="926" t="str">
        <f t="shared" si="110"/>
        <v/>
      </c>
      <c r="DZ659" s="926" t="str">
        <f t="shared" si="111"/>
        <v/>
      </c>
      <c r="EA659" s="926" t="str">
        <f t="shared" si="112"/>
        <v/>
      </c>
      <c r="EB659" s="926" t="str">
        <f t="shared" si="113"/>
        <v/>
      </c>
      <c r="EC659" s="926" t="str">
        <f t="shared" si="114"/>
        <v/>
      </c>
      <c r="ED659" s="926" t="str">
        <f t="shared" si="115"/>
        <v/>
      </c>
      <c r="EE659" s="926" t="str">
        <f t="shared" si="116"/>
        <v/>
      </c>
      <c r="EF659" s="926" t="str">
        <f t="shared" si="117"/>
        <v/>
      </c>
      <c r="EG659" s="926" t="str">
        <f t="shared" si="118"/>
        <v/>
      </c>
      <c r="EH659" s="926" t="str">
        <f t="shared" si="119"/>
        <v/>
      </c>
      <c r="EI659" s="926" t="str">
        <f t="shared" si="120"/>
        <v/>
      </c>
      <c r="EJ659" s="926" t="str">
        <f t="shared" si="121"/>
        <v/>
      </c>
      <c r="EK659" s="926" t="str">
        <f t="shared" si="122"/>
        <v/>
      </c>
      <c r="EL659" s="926" t="str">
        <f t="shared" si="123"/>
        <v/>
      </c>
      <c r="EM659" s="926" t="str">
        <f t="shared" si="124"/>
        <v/>
      </c>
      <c r="EN659" s="926" t="str">
        <f t="shared" si="125"/>
        <v/>
      </c>
      <c r="EO659" s="926" t="str">
        <f t="shared" si="126"/>
        <v/>
      </c>
      <c r="EP659" s="926" t="str">
        <f t="shared" si="127"/>
        <v/>
      </c>
      <c r="EQ659" s="926" t="str">
        <f t="shared" si="128"/>
        <v/>
      </c>
      <c r="ER659" s="926" t="str">
        <f t="shared" si="129"/>
        <v/>
      </c>
      <c r="ES659" s="926" t="str">
        <f t="shared" si="130"/>
        <v/>
      </c>
      <c r="ET659" s="926" t="str">
        <f t="shared" si="131"/>
        <v/>
      </c>
      <c r="EU659" s="926" t="str">
        <f t="shared" si="132"/>
        <v/>
      </c>
      <c r="EV659" s="2945" t="str">
        <f t="shared" si="133"/>
        <v/>
      </c>
      <c r="EW659" s="2945" t="str">
        <f t="shared" si="134"/>
        <v/>
      </c>
      <c r="EX659" s="2945" t="str">
        <f t="shared" si="135"/>
        <v/>
      </c>
      <c r="EY659" s="2945" t="str">
        <f t="shared" si="136"/>
        <v/>
      </c>
      <c r="EZ659" s="2945" t="str">
        <f t="shared" si="137"/>
        <v/>
      </c>
      <c r="FA659" s="2945" t="str">
        <f t="shared" si="138"/>
        <v/>
      </c>
      <c r="FB659" s="2945" t="str">
        <f t="shared" si="139"/>
        <v/>
      </c>
      <c r="FC659" s="2945" t="str">
        <f t="shared" si="140"/>
        <v/>
      </c>
      <c r="FD659" s="2945" t="str">
        <f t="shared" si="141"/>
        <v/>
      </c>
      <c r="FE659" s="2945" t="str">
        <f t="shared" si="142"/>
        <v/>
      </c>
      <c r="FF659" s="2945" t="str">
        <f t="shared" si="143"/>
        <v/>
      </c>
      <c r="FG659" s="2945" t="str">
        <f t="shared" si="144"/>
        <v/>
      </c>
      <c r="FH659" s="2945" t="str">
        <f t="shared" si="145"/>
        <v/>
      </c>
      <c r="FI659" s="2945" t="str">
        <f t="shared" si="146"/>
        <v/>
      </c>
      <c r="FJ659" s="2945" t="str">
        <f t="shared" si="147"/>
        <v/>
      </c>
      <c r="FK659" s="2945" t="str">
        <f t="shared" si="148"/>
        <v/>
      </c>
      <c r="FL659" s="2945" t="str">
        <f t="shared" si="149"/>
        <v/>
      </c>
      <c r="FM659" s="2945" t="str">
        <f t="shared" si="150"/>
        <v/>
      </c>
      <c r="FN659" s="2945" t="str">
        <f t="shared" si="151"/>
        <v/>
      </c>
      <c r="FO659" s="2945" t="str">
        <f t="shared" si="152"/>
        <v/>
      </c>
      <c r="FP659" s="2945" t="str">
        <f t="shared" si="153"/>
        <v/>
      </c>
      <c r="FQ659" s="2945" t="str">
        <f t="shared" si="154"/>
        <v/>
      </c>
      <c r="FR659" s="2945" t="str">
        <f t="shared" si="155"/>
        <v/>
      </c>
      <c r="FS659" s="2945" t="str">
        <f t="shared" si="156"/>
        <v/>
      </c>
      <c r="FT659" s="2945" t="str">
        <f t="shared" si="157"/>
        <v/>
      </c>
      <c r="FU659" s="2945" t="str">
        <f t="shared" si="158"/>
        <v/>
      </c>
      <c r="FV659" s="2945" t="str">
        <f t="shared" si="159"/>
        <v/>
      </c>
      <c r="FW659" s="2945" t="str">
        <f t="shared" si="160"/>
        <v/>
      </c>
      <c r="FX659" s="2945" t="str">
        <f t="shared" si="161"/>
        <v/>
      </c>
      <c r="FY659" s="2945" t="str">
        <f t="shared" si="162"/>
        <v/>
      </c>
      <c r="FZ659" s="2945" t="str">
        <f t="shared" si="163"/>
        <v/>
      </c>
      <c r="GA659" s="2945" t="str">
        <f t="shared" si="164"/>
        <v/>
      </c>
      <c r="GB659" s="2945" t="str">
        <f t="shared" si="165"/>
        <v/>
      </c>
      <c r="GC659" s="2945" t="str">
        <f t="shared" si="166"/>
        <v/>
      </c>
      <c r="GD659" s="2945" t="str">
        <f t="shared" si="167"/>
        <v/>
      </c>
      <c r="GE659" s="2945" t="str">
        <f t="shared" si="168"/>
        <v/>
      </c>
      <c r="GF659" s="2945" t="str">
        <f t="shared" si="169"/>
        <v/>
      </c>
      <c r="GG659" s="2945" t="str">
        <f t="shared" si="170"/>
        <v/>
      </c>
      <c r="GH659" s="2945" t="str">
        <f t="shared" si="171"/>
        <v/>
      </c>
      <c r="GI659" s="2945" t="str">
        <f t="shared" si="172"/>
        <v/>
      </c>
      <c r="GJ659" s="2945" t="str">
        <f t="shared" si="173"/>
        <v/>
      </c>
      <c r="GK659" s="2945" t="str">
        <f t="shared" si="174"/>
        <v/>
      </c>
      <c r="GL659" s="2945" t="str">
        <f t="shared" si="175"/>
        <v/>
      </c>
      <c r="GM659" s="2945" t="str">
        <f t="shared" si="176"/>
        <v/>
      </c>
      <c r="GN659" s="2945" t="str">
        <f t="shared" si="177"/>
        <v/>
      </c>
      <c r="GO659" s="2945" t="str">
        <f t="shared" si="178"/>
        <v/>
      </c>
      <c r="GP659" s="2945" t="str">
        <f t="shared" si="179"/>
        <v/>
      </c>
      <c r="GQ659" s="2945" t="str">
        <f t="shared" si="180"/>
        <v/>
      </c>
      <c r="GR659" s="2945" t="str">
        <f t="shared" si="181"/>
        <v/>
      </c>
      <c r="GS659" s="2945" t="str">
        <f t="shared" si="182"/>
        <v/>
      </c>
      <c r="GT659" s="2945" t="str">
        <f t="shared" si="183"/>
        <v/>
      </c>
      <c r="GU659" s="2945" t="str">
        <f t="shared" si="184"/>
        <v/>
      </c>
      <c r="GV659" s="2945" t="str">
        <f t="shared" si="185"/>
        <v/>
      </c>
      <c r="GW659" s="2945" t="str">
        <f t="shared" si="186"/>
        <v/>
      </c>
      <c r="GX659" s="2945" t="str">
        <f t="shared" si="187"/>
        <v/>
      </c>
      <c r="GY659" s="2945" t="str">
        <f t="shared" si="188"/>
        <v/>
      </c>
      <c r="GZ659" s="2945" t="str">
        <f t="shared" si="189"/>
        <v/>
      </c>
      <c r="HA659" s="2945" t="str">
        <f t="shared" si="190"/>
        <v/>
      </c>
      <c r="HB659" s="2945" t="str">
        <f t="shared" si="191"/>
        <v/>
      </c>
      <c r="HC659" s="2945" t="str">
        <f t="shared" si="192"/>
        <v/>
      </c>
      <c r="HD659" s="2945" t="str">
        <f t="shared" si="193"/>
        <v/>
      </c>
      <c r="HE659" s="2945" t="str">
        <f t="shared" si="194"/>
        <v/>
      </c>
      <c r="HF659" s="2945" t="str">
        <f t="shared" si="195"/>
        <v/>
      </c>
      <c r="HG659" s="2945" t="str">
        <f t="shared" si="196"/>
        <v/>
      </c>
      <c r="HH659" s="2945" t="str">
        <f t="shared" si="197"/>
        <v/>
      </c>
      <c r="HI659" s="2945" t="str">
        <f t="shared" si="198"/>
        <v/>
      </c>
      <c r="HJ659" s="2945" t="str">
        <f t="shared" si="199"/>
        <v/>
      </c>
      <c r="HK659" s="2945" t="str">
        <f t="shared" si="200"/>
        <v/>
      </c>
      <c r="HL659" s="2945" t="str">
        <f t="shared" si="201"/>
        <v/>
      </c>
      <c r="HM659" s="2945" t="str">
        <f t="shared" si="202"/>
        <v/>
      </c>
      <c r="HN659" s="2945" t="str">
        <f t="shared" si="203"/>
        <v/>
      </c>
      <c r="HO659" s="2945" t="str">
        <f t="shared" si="204"/>
        <v/>
      </c>
      <c r="HP659" s="2945" t="str">
        <f t="shared" si="205"/>
        <v/>
      </c>
      <c r="HQ659" s="2945" t="str">
        <f t="shared" si="206"/>
        <v/>
      </c>
      <c r="HR659" s="2945" t="str">
        <f t="shared" si="207"/>
        <v/>
      </c>
      <c r="HS659" s="2945" t="str">
        <f t="shared" si="208"/>
        <v/>
      </c>
      <c r="HT659" s="2945" t="str">
        <f t="shared" si="209"/>
        <v/>
      </c>
      <c r="HU659" s="2945" t="str">
        <f t="shared" si="210"/>
        <v/>
      </c>
      <c r="HV659" s="2945" t="str">
        <f t="shared" si="211"/>
        <v/>
      </c>
      <c r="HW659" s="2945" t="str">
        <f t="shared" si="212"/>
        <v/>
      </c>
      <c r="HX659" s="2945" t="str">
        <f t="shared" si="213"/>
        <v/>
      </c>
      <c r="HY659" s="2945" t="str">
        <f t="shared" si="214"/>
        <v/>
      </c>
      <c r="HZ659" s="2945" t="str">
        <f t="shared" si="215"/>
        <v/>
      </c>
      <c r="IA659" s="2945" t="str">
        <f t="shared" si="216"/>
        <v/>
      </c>
      <c r="IB659" s="2945" t="str">
        <f t="shared" si="217"/>
        <v/>
      </c>
      <c r="IC659" s="2911" t="str">
        <f t="shared" si="218"/>
        <v/>
      </c>
      <c r="ID659" s="2911" t="str">
        <f t="shared" si="219"/>
        <v/>
      </c>
      <c r="IE659" s="2911" t="str">
        <f t="shared" si="220"/>
        <v/>
      </c>
      <c r="IF659" s="2911" t="str">
        <f t="shared" si="221"/>
        <v/>
      </c>
      <c r="IG659" s="2911" t="str">
        <f t="shared" si="222"/>
        <v/>
      </c>
      <c r="IH659" s="926" t="str">
        <f t="shared" si="223"/>
        <v/>
      </c>
      <c r="II659" s="926" t="str">
        <f t="shared" si="224"/>
        <v/>
      </c>
      <c r="IJ659" s="926" t="str">
        <f t="shared" si="225"/>
        <v/>
      </c>
      <c r="IK659" s="926" t="str">
        <f t="shared" si="226"/>
        <v/>
      </c>
      <c r="IL659" s="926" t="str">
        <f t="shared" si="227"/>
        <v/>
      </c>
      <c r="IM659" s="926" t="str">
        <f t="shared" si="228"/>
        <v/>
      </c>
      <c r="IN659" s="926" t="str">
        <f t="shared" si="229"/>
        <v/>
      </c>
      <c r="IO659" s="926" t="str">
        <f t="shared" si="230"/>
        <v/>
      </c>
      <c r="IP659" s="926" t="str">
        <f t="shared" si="231"/>
        <v/>
      </c>
      <c r="IQ659" s="926" t="str">
        <f t="shared" si="232"/>
        <v/>
      </c>
      <c r="IR659" s="926" t="str">
        <f t="shared" si="233"/>
        <v/>
      </c>
      <c r="IS659" s="926" t="str">
        <f t="shared" si="234"/>
        <v/>
      </c>
      <c r="IT659" s="926" t="str">
        <f t="shared" si="235"/>
        <v/>
      </c>
      <c r="IU659" s="926" t="str">
        <f t="shared" si="236"/>
        <v/>
      </c>
      <c r="IV659" s="926" t="str">
        <f t="shared" si="237"/>
        <v/>
      </c>
      <c r="IW659" s="926" t="str">
        <f t="shared" si="238"/>
        <v/>
      </c>
      <c r="IX659" s="926" t="str">
        <f t="shared" si="239"/>
        <v/>
      </c>
      <c r="IY659" s="926" t="str">
        <f t="shared" si="240"/>
        <v/>
      </c>
      <c r="IZ659" s="926" t="str">
        <f t="shared" si="241"/>
        <v/>
      </c>
      <c r="JA659" s="926" t="str">
        <f t="shared" si="242"/>
        <v/>
      </c>
      <c r="JB659" s="2909">
        <f t="shared" si="243"/>
        <v>0</v>
      </c>
      <c r="JC659" s="2909">
        <f t="shared" si="244"/>
        <v>0</v>
      </c>
      <c r="JD659" s="2909">
        <f t="shared" si="245"/>
        <v>0</v>
      </c>
      <c r="JE659" s="2909">
        <f t="shared" si="246"/>
        <v>0</v>
      </c>
      <c r="JF659" s="2909">
        <f t="shared" si="247"/>
        <v>0</v>
      </c>
      <c r="JG659" s="2909">
        <f t="shared" si="248"/>
        <v>0</v>
      </c>
      <c r="JH659" s="2909">
        <f t="shared" si="249"/>
        <v>0</v>
      </c>
      <c r="JI659" s="2909">
        <f t="shared" si="250"/>
        <v>0</v>
      </c>
      <c r="JJ659" s="2909">
        <f t="shared" si="251"/>
        <v>0</v>
      </c>
      <c r="JK659" s="2909">
        <f t="shared" si="252"/>
        <v>0</v>
      </c>
      <c r="JL659" s="2909">
        <f t="shared" si="253"/>
        <v>0</v>
      </c>
      <c r="JM659" s="2909">
        <f t="shared" si="254"/>
        <v>0</v>
      </c>
      <c r="JN659" s="2909">
        <f t="shared" si="255"/>
        <v>0</v>
      </c>
      <c r="JO659" s="2909">
        <f t="shared" si="256"/>
        <v>0</v>
      </c>
      <c r="JP659" s="2909">
        <f t="shared" si="257"/>
        <v>0</v>
      </c>
    </row>
    <row r="660" spans="1:277" ht="12" customHeight="1">
      <c r="A660" s="2924" t="str">
        <f t="shared" si="0"/>
        <v/>
      </c>
      <c r="B660" s="2936" t="str">
        <f>'Part VI-Revenues &amp; Expenses'!B40</f>
        <v>&lt;&lt;Select&gt;&gt;</v>
      </c>
      <c r="C660" s="2937">
        <f>'Part VI-Revenues &amp; Expenses'!C40</f>
        <v>0</v>
      </c>
      <c r="D660" s="2938">
        <f>'Part VI-Revenues &amp; Expenses'!D40</f>
        <v>0</v>
      </c>
      <c r="E660" s="2939">
        <f>'Part VI-Revenues &amp; Expenses'!E40</f>
        <v>0</v>
      </c>
      <c r="F660" s="2939">
        <f>'Part VI-Revenues &amp; Expenses'!F40</f>
        <v>0</v>
      </c>
      <c r="G660" s="2939">
        <f>'Part VI-Revenues &amp; Expenses'!G40</f>
        <v>0</v>
      </c>
      <c r="H660" s="2939">
        <f>'Part VI-Revenues &amp; Expenses'!H40</f>
        <v>0</v>
      </c>
      <c r="I660" s="2939">
        <f>'Part VI-Revenues &amp; Expenses'!I40</f>
        <v>0</v>
      </c>
      <c r="J660" s="2940">
        <f>'Part VI-Revenues &amp; Expenses'!J40</f>
        <v>0</v>
      </c>
      <c r="K660" s="2941">
        <f t="shared" si="1"/>
        <v>0</v>
      </c>
      <c r="L660" s="2941">
        <f t="shared" si="2"/>
        <v>0</v>
      </c>
      <c r="M660" s="2918">
        <f>'Part VI-Revenues &amp; Expenses'!M40</f>
        <v>0</v>
      </c>
      <c r="N660" s="2918">
        <f>'Part VI-Revenues &amp; Expenses'!N40</f>
        <v>0</v>
      </c>
      <c r="O660" s="2918">
        <f>'Part VI-Revenues &amp; Expenses'!O40</f>
        <v>0</v>
      </c>
      <c r="P660" s="2918">
        <f>'Part VI-Revenues &amp; Expenses'!P40</f>
        <v>0</v>
      </c>
      <c r="Q660" s="2942">
        <f>IF(H660="","",P660/($O$626*VLOOKUP(C660,'DCA Underwriting Assumptions'!$J$118:$K$123,2,FALSE)))</f>
        <v>0</v>
      </c>
      <c r="R660" s="2943"/>
      <c r="S660" s="2942"/>
      <c r="T660" s="2944"/>
      <c r="U660" s="2944"/>
      <c r="V660" s="926" t="str">
        <f t="shared" si="3"/>
        <v/>
      </c>
      <c r="W660" s="926" t="str">
        <f t="shared" si="4"/>
        <v/>
      </c>
      <c r="X660" s="926" t="str">
        <f t="shared" si="5"/>
        <v/>
      </c>
      <c r="Y660" s="926" t="str">
        <f t="shared" si="6"/>
        <v/>
      </c>
      <c r="Z660" s="926" t="str">
        <f t="shared" si="7"/>
        <v/>
      </c>
      <c r="AA660" s="926" t="str">
        <f t="shared" si="8"/>
        <v/>
      </c>
      <c r="AB660" s="926" t="str">
        <f t="shared" si="9"/>
        <v/>
      </c>
      <c r="AC660" s="926" t="str">
        <f t="shared" si="10"/>
        <v/>
      </c>
      <c r="AD660" s="926" t="str">
        <f t="shared" si="11"/>
        <v/>
      </c>
      <c r="AE660" s="926" t="str">
        <f t="shared" si="12"/>
        <v/>
      </c>
      <c r="AF660" s="926" t="str">
        <f t="shared" si="13"/>
        <v/>
      </c>
      <c r="AG660" s="926" t="str">
        <f t="shared" si="14"/>
        <v/>
      </c>
      <c r="AH660" s="926" t="str">
        <f t="shared" si="15"/>
        <v/>
      </c>
      <c r="AI660" s="926" t="str">
        <f t="shared" si="16"/>
        <v/>
      </c>
      <c r="AJ660" s="926" t="str">
        <f t="shared" si="17"/>
        <v/>
      </c>
      <c r="AK660" s="926" t="str">
        <f t="shared" si="18"/>
        <v/>
      </c>
      <c r="AL660" s="926" t="str">
        <f t="shared" si="19"/>
        <v/>
      </c>
      <c r="AM660" s="926" t="str">
        <f t="shared" si="20"/>
        <v/>
      </c>
      <c r="AN660" s="926" t="str">
        <f t="shared" si="21"/>
        <v/>
      </c>
      <c r="AO660" s="926" t="str">
        <f t="shared" si="22"/>
        <v/>
      </c>
      <c r="AP660" s="926" t="str">
        <f t="shared" si="23"/>
        <v/>
      </c>
      <c r="AQ660" s="926" t="str">
        <f t="shared" si="24"/>
        <v/>
      </c>
      <c r="AR660" s="926" t="str">
        <f t="shared" si="25"/>
        <v/>
      </c>
      <c r="AS660" s="926" t="str">
        <f t="shared" si="26"/>
        <v/>
      </c>
      <c r="AT660" s="926" t="str">
        <f t="shared" si="27"/>
        <v/>
      </c>
      <c r="AU660" s="926" t="str">
        <f t="shared" si="28"/>
        <v/>
      </c>
      <c r="AV660" s="926" t="str">
        <f t="shared" si="29"/>
        <v/>
      </c>
      <c r="AW660" s="926" t="str">
        <f t="shared" si="30"/>
        <v/>
      </c>
      <c r="AX660" s="926" t="str">
        <f t="shared" si="31"/>
        <v/>
      </c>
      <c r="AY660" s="926" t="str">
        <f t="shared" si="32"/>
        <v/>
      </c>
      <c r="AZ660" s="926" t="str">
        <f t="shared" si="33"/>
        <v/>
      </c>
      <c r="BA660" s="926" t="str">
        <f t="shared" si="34"/>
        <v/>
      </c>
      <c r="BB660" s="926" t="str">
        <f t="shared" si="35"/>
        <v/>
      </c>
      <c r="BC660" s="926" t="str">
        <f t="shared" si="36"/>
        <v/>
      </c>
      <c r="BD660" s="926" t="str">
        <f t="shared" si="37"/>
        <v/>
      </c>
      <c r="BE660" s="926" t="str">
        <f t="shared" si="38"/>
        <v/>
      </c>
      <c r="BF660" s="926" t="str">
        <f t="shared" si="39"/>
        <v/>
      </c>
      <c r="BG660" s="926" t="str">
        <f t="shared" si="40"/>
        <v/>
      </c>
      <c r="BH660" s="926" t="str">
        <f t="shared" si="41"/>
        <v/>
      </c>
      <c r="BI660" s="926" t="str">
        <f t="shared" si="42"/>
        <v/>
      </c>
      <c r="BJ660" s="926" t="str">
        <f t="shared" si="43"/>
        <v/>
      </c>
      <c r="BK660" s="926" t="str">
        <f t="shared" si="44"/>
        <v/>
      </c>
      <c r="BL660" s="926" t="str">
        <f t="shared" si="45"/>
        <v/>
      </c>
      <c r="BM660" s="926" t="str">
        <f t="shared" si="46"/>
        <v/>
      </c>
      <c r="BN660" s="926" t="str">
        <f t="shared" si="47"/>
        <v/>
      </c>
      <c r="BO660" s="926" t="str">
        <f t="shared" si="48"/>
        <v/>
      </c>
      <c r="BP660" s="926" t="str">
        <f t="shared" si="49"/>
        <v/>
      </c>
      <c r="BQ660" s="926" t="str">
        <f t="shared" si="50"/>
        <v/>
      </c>
      <c r="BR660" s="926" t="str">
        <f t="shared" si="51"/>
        <v/>
      </c>
      <c r="BS660" s="926" t="str">
        <f t="shared" si="52"/>
        <v/>
      </c>
      <c r="BT660" s="926" t="str">
        <f t="shared" si="53"/>
        <v/>
      </c>
      <c r="BU660" s="926" t="str">
        <f t="shared" si="54"/>
        <v/>
      </c>
      <c r="BV660" s="926" t="str">
        <f t="shared" si="55"/>
        <v/>
      </c>
      <c r="BW660" s="926" t="str">
        <f t="shared" si="56"/>
        <v/>
      </c>
      <c r="BX660" s="926" t="str">
        <f t="shared" si="57"/>
        <v/>
      </c>
      <c r="BY660" s="926" t="str">
        <f t="shared" si="58"/>
        <v/>
      </c>
      <c r="BZ660" s="926" t="str">
        <f t="shared" si="59"/>
        <v/>
      </c>
      <c r="CA660" s="926" t="str">
        <f t="shared" si="60"/>
        <v/>
      </c>
      <c r="CB660" s="926" t="str">
        <f t="shared" si="61"/>
        <v/>
      </c>
      <c r="CC660" s="926" t="str">
        <f t="shared" si="62"/>
        <v/>
      </c>
      <c r="CD660" s="926" t="str">
        <f t="shared" si="63"/>
        <v/>
      </c>
      <c r="CE660" s="926" t="str">
        <f t="shared" si="64"/>
        <v/>
      </c>
      <c r="CF660" s="926" t="str">
        <f t="shared" si="65"/>
        <v/>
      </c>
      <c r="CG660" s="926" t="str">
        <f t="shared" si="66"/>
        <v/>
      </c>
      <c r="CH660" s="926" t="str">
        <f t="shared" si="67"/>
        <v/>
      </c>
      <c r="CI660" s="926" t="str">
        <f t="shared" si="68"/>
        <v/>
      </c>
      <c r="CJ660" s="926" t="str">
        <f t="shared" si="69"/>
        <v/>
      </c>
      <c r="CK660" s="926" t="str">
        <f t="shared" si="70"/>
        <v/>
      </c>
      <c r="CL660" s="926" t="str">
        <f t="shared" si="71"/>
        <v/>
      </c>
      <c r="CM660" s="926" t="str">
        <f t="shared" si="72"/>
        <v/>
      </c>
      <c r="CN660" s="926" t="str">
        <f t="shared" si="73"/>
        <v/>
      </c>
      <c r="CO660" s="926" t="str">
        <f t="shared" si="74"/>
        <v/>
      </c>
      <c r="CP660" s="926" t="str">
        <f t="shared" si="75"/>
        <v/>
      </c>
      <c r="CQ660" s="926" t="str">
        <f t="shared" si="76"/>
        <v/>
      </c>
      <c r="CR660" s="926" t="str">
        <f t="shared" si="77"/>
        <v/>
      </c>
      <c r="CS660" s="926" t="str">
        <f t="shared" si="78"/>
        <v/>
      </c>
      <c r="CT660" s="926" t="str">
        <f t="shared" si="79"/>
        <v/>
      </c>
      <c r="CU660" s="926" t="str">
        <f t="shared" si="80"/>
        <v/>
      </c>
      <c r="CV660" s="926" t="str">
        <f t="shared" si="81"/>
        <v/>
      </c>
      <c r="CW660" s="926" t="str">
        <f t="shared" si="82"/>
        <v/>
      </c>
      <c r="CX660" s="926" t="str">
        <f t="shared" si="83"/>
        <v/>
      </c>
      <c r="CY660" s="926" t="str">
        <f t="shared" si="84"/>
        <v/>
      </c>
      <c r="CZ660" s="926" t="str">
        <f t="shared" si="85"/>
        <v/>
      </c>
      <c r="DA660" s="926" t="str">
        <f t="shared" si="86"/>
        <v/>
      </c>
      <c r="DB660" s="926" t="str">
        <f t="shared" si="87"/>
        <v/>
      </c>
      <c r="DC660" s="926" t="str">
        <f t="shared" si="88"/>
        <v/>
      </c>
      <c r="DD660" s="926" t="str">
        <f t="shared" si="89"/>
        <v/>
      </c>
      <c r="DE660" s="926" t="str">
        <f t="shared" si="90"/>
        <v/>
      </c>
      <c r="DF660" s="926" t="str">
        <f t="shared" si="91"/>
        <v/>
      </c>
      <c r="DG660" s="926" t="str">
        <f t="shared" si="92"/>
        <v/>
      </c>
      <c r="DH660" s="926" t="str">
        <f t="shared" si="93"/>
        <v/>
      </c>
      <c r="DI660" s="926" t="str">
        <f t="shared" si="94"/>
        <v/>
      </c>
      <c r="DJ660" s="926" t="str">
        <f t="shared" si="95"/>
        <v/>
      </c>
      <c r="DK660" s="926" t="str">
        <f t="shared" si="96"/>
        <v/>
      </c>
      <c r="DL660" s="926" t="str">
        <f t="shared" si="97"/>
        <v/>
      </c>
      <c r="DM660" s="926" t="str">
        <f t="shared" si="98"/>
        <v/>
      </c>
      <c r="DN660" s="926" t="str">
        <f t="shared" si="99"/>
        <v/>
      </c>
      <c r="DO660" s="926" t="str">
        <f t="shared" si="100"/>
        <v/>
      </c>
      <c r="DP660" s="926" t="str">
        <f t="shared" si="101"/>
        <v/>
      </c>
      <c r="DQ660" s="926" t="str">
        <f t="shared" si="102"/>
        <v/>
      </c>
      <c r="DR660" s="926" t="str">
        <f t="shared" si="103"/>
        <v/>
      </c>
      <c r="DS660" s="926" t="str">
        <f t="shared" si="104"/>
        <v/>
      </c>
      <c r="DT660" s="926" t="str">
        <f t="shared" si="105"/>
        <v/>
      </c>
      <c r="DU660" s="926" t="str">
        <f t="shared" si="106"/>
        <v/>
      </c>
      <c r="DV660" s="926" t="str">
        <f t="shared" si="107"/>
        <v/>
      </c>
      <c r="DW660" s="926" t="str">
        <f t="shared" si="108"/>
        <v/>
      </c>
      <c r="DX660" s="926" t="str">
        <f t="shared" si="109"/>
        <v/>
      </c>
      <c r="DY660" s="926" t="str">
        <f t="shared" si="110"/>
        <v/>
      </c>
      <c r="DZ660" s="926" t="str">
        <f t="shared" si="111"/>
        <v/>
      </c>
      <c r="EA660" s="926" t="str">
        <f t="shared" si="112"/>
        <v/>
      </c>
      <c r="EB660" s="926" t="str">
        <f t="shared" si="113"/>
        <v/>
      </c>
      <c r="EC660" s="926" t="str">
        <f t="shared" si="114"/>
        <v/>
      </c>
      <c r="ED660" s="926" t="str">
        <f t="shared" si="115"/>
        <v/>
      </c>
      <c r="EE660" s="926" t="str">
        <f t="shared" si="116"/>
        <v/>
      </c>
      <c r="EF660" s="926" t="str">
        <f t="shared" si="117"/>
        <v/>
      </c>
      <c r="EG660" s="926" t="str">
        <f t="shared" si="118"/>
        <v/>
      </c>
      <c r="EH660" s="926" t="str">
        <f t="shared" si="119"/>
        <v/>
      </c>
      <c r="EI660" s="926" t="str">
        <f t="shared" si="120"/>
        <v/>
      </c>
      <c r="EJ660" s="926" t="str">
        <f t="shared" si="121"/>
        <v/>
      </c>
      <c r="EK660" s="926" t="str">
        <f t="shared" si="122"/>
        <v/>
      </c>
      <c r="EL660" s="926" t="str">
        <f t="shared" si="123"/>
        <v/>
      </c>
      <c r="EM660" s="926" t="str">
        <f t="shared" si="124"/>
        <v/>
      </c>
      <c r="EN660" s="926" t="str">
        <f t="shared" si="125"/>
        <v/>
      </c>
      <c r="EO660" s="926" t="str">
        <f t="shared" si="126"/>
        <v/>
      </c>
      <c r="EP660" s="926" t="str">
        <f t="shared" si="127"/>
        <v/>
      </c>
      <c r="EQ660" s="926" t="str">
        <f t="shared" si="128"/>
        <v/>
      </c>
      <c r="ER660" s="926" t="str">
        <f t="shared" si="129"/>
        <v/>
      </c>
      <c r="ES660" s="926" t="str">
        <f t="shared" si="130"/>
        <v/>
      </c>
      <c r="ET660" s="926" t="str">
        <f t="shared" si="131"/>
        <v/>
      </c>
      <c r="EU660" s="926" t="str">
        <f t="shared" si="132"/>
        <v/>
      </c>
      <c r="EV660" s="2945" t="str">
        <f t="shared" si="133"/>
        <v/>
      </c>
      <c r="EW660" s="2945" t="str">
        <f t="shared" si="134"/>
        <v/>
      </c>
      <c r="EX660" s="2945" t="str">
        <f t="shared" si="135"/>
        <v/>
      </c>
      <c r="EY660" s="2945" t="str">
        <f t="shared" si="136"/>
        <v/>
      </c>
      <c r="EZ660" s="2945" t="str">
        <f t="shared" si="137"/>
        <v/>
      </c>
      <c r="FA660" s="2945" t="str">
        <f t="shared" si="138"/>
        <v/>
      </c>
      <c r="FB660" s="2945" t="str">
        <f t="shared" si="139"/>
        <v/>
      </c>
      <c r="FC660" s="2945" t="str">
        <f t="shared" si="140"/>
        <v/>
      </c>
      <c r="FD660" s="2945" t="str">
        <f t="shared" si="141"/>
        <v/>
      </c>
      <c r="FE660" s="2945" t="str">
        <f t="shared" si="142"/>
        <v/>
      </c>
      <c r="FF660" s="2945" t="str">
        <f t="shared" si="143"/>
        <v/>
      </c>
      <c r="FG660" s="2945" t="str">
        <f t="shared" si="144"/>
        <v/>
      </c>
      <c r="FH660" s="2945" t="str">
        <f t="shared" si="145"/>
        <v/>
      </c>
      <c r="FI660" s="2945" t="str">
        <f t="shared" si="146"/>
        <v/>
      </c>
      <c r="FJ660" s="2945" t="str">
        <f t="shared" si="147"/>
        <v/>
      </c>
      <c r="FK660" s="2945" t="str">
        <f t="shared" si="148"/>
        <v/>
      </c>
      <c r="FL660" s="2945" t="str">
        <f t="shared" si="149"/>
        <v/>
      </c>
      <c r="FM660" s="2945" t="str">
        <f t="shared" si="150"/>
        <v/>
      </c>
      <c r="FN660" s="2945" t="str">
        <f t="shared" si="151"/>
        <v/>
      </c>
      <c r="FO660" s="2945" t="str">
        <f t="shared" si="152"/>
        <v/>
      </c>
      <c r="FP660" s="2945" t="str">
        <f t="shared" si="153"/>
        <v/>
      </c>
      <c r="FQ660" s="2945" t="str">
        <f t="shared" si="154"/>
        <v/>
      </c>
      <c r="FR660" s="2945" t="str">
        <f t="shared" si="155"/>
        <v/>
      </c>
      <c r="FS660" s="2945" t="str">
        <f t="shared" si="156"/>
        <v/>
      </c>
      <c r="FT660" s="2945" t="str">
        <f t="shared" si="157"/>
        <v/>
      </c>
      <c r="FU660" s="2945" t="str">
        <f t="shared" si="158"/>
        <v/>
      </c>
      <c r="FV660" s="2945" t="str">
        <f t="shared" si="159"/>
        <v/>
      </c>
      <c r="FW660" s="2945" t="str">
        <f t="shared" si="160"/>
        <v/>
      </c>
      <c r="FX660" s="2945" t="str">
        <f t="shared" si="161"/>
        <v/>
      </c>
      <c r="FY660" s="2945" t="str">
        <f t="shared" si="162"/>
        <v/>
      </c>
      <c r="FZ660" s="2945" t="str">
        <f t="shared" si="163"/>
        <v/>
      </c>
      <c r="GA660" s="2945" t="str">
        <f t="shared" si="164"/>
        <v/>
      </c>
      <c r="GB660" s="2945" t="str">
        <f t="shared" si="165"/>
        <v/>
      </c>
      <c r="GC660" s="2945" t="str">
        <f t="shared" si="166"/>
        <v/>
      </c>
      <c r="GD660" s="2945" t="str">
        <f t="shared" si="167"/>
        <v/>
      </c>
      <c r="GE660" s="2945" t="str">
        <f t="shared" si="168"/>
        <v/>
      </c>
      <c r="GF660" s="2945" t="str">
        <f t="shared" si="169"/>
        <v/>
      </c>
      <c r="GG660" s="2945" t="str">
        <f t="shared" si="170"/>
        <v/>
      </c>
      <c r="GH660" s="2945" t="str">
        <f t="shared" si="171"/>
        <v/>
      </c>
      <c r="GI660" s="2945" t="str">
        <f t="shared" si="172"/>
        <v/>
      </c>
      <c r="GJ660" s="2945" t="str">
        <f t="shared" si="173"/>
        <v/>
      </c>
      <c r="GK660" s="2945" t="str">
        <f t="shared" si="174"/>
        <v/>
      </c>
      <c r="GL660" s="2945" t="str">
        <f t="shared" si="175"/>
        <v/>
      </c>
      <c r="GM660" s="2945" t="str">
        <f t="shared" si="176"/>
        <v/>
      </c>
      <c r="GN660" s="2945" t="str">
        <f t="shared" si="177"/>
        <v/>
      </c>
      <c r="GO660" s="2945" t="str">
        <f t="shared" si="178"/>
        <v/>
      </c>
      <c r="GP660" s="2945" t="str">
        <f t="shared" si="179"/>
        <v/>
      </c>
      <c r="GQ660" s="2945" t="str">
        <f t="shared" si="180"/>
        <v/>
      </c>
      <c r="GR660" s="2945" t="str">
        <f t="shared" si="181"/>
        <v/>
      </c>
      <c r="GS660" s="2945" t="str">
        <f t="shared" si="182"/>
        <v/>
      </c>
      <c r="GT660" s="2945" t="str">
        <f t="shared" si="183"/>
        <v/>
      </c>
      <c r="GU660" s="2945" t="str">
        <f t="shared" si="184"/>
        <v/>
      </c>
      <c r="GV660" s="2945" t="str">
        <f t="shared" si="185"/>
        <v/>
      </c>
      <c r="GW660" s="2945" t="str">
        <f t="shared" si="186"/>
        <v/>
      </c>
      <c r="GX660" s="2945" t="str">
        <f t="shared" si="187"/>
        <v/>
      </c>
      <c r="GY660" s="2945" t="str">
        <f t="shared" si="188"/>
        <v/>
      </c>
      <c r="GZ660" s="2945" t="str">
        <f t="shared" si="189"/>
        <v/>
      </c>
      <c r="HA660" s="2945" t="str">
        <f t="shared" si="190"/>
        <v/>
      </c>
      <c r="HB660" s="2945" t="str">
        <f t="shared" si="191"/>
        <v/>
      </c>
      <c r="HC660" s="2945" t="str">
        <f t="shared" si="192"/>
        <v/>
      </c>
      <c r="HD660" s="2945" t="str">
        <f t="shared" si="193"/>
        <v/>
      </c>
      <c r="HE660" s="2945" t="str">
        <f t="shared" si="194"/>
        <v/>
      </c>
      <c r="HF660" s="2945" t="str">
        <f t="shared" si="195"/>
        <v/>
      </c>
      <c r="HG660" s="2945" t="str">
        <f t="shared" si="196"/>
        <v/>
      </c>
      <c r="HH660" s="2945" t="str">
        <f t="shared" si="197"/>
        <v/>
      </c>
      <c r="HI660" s="2945" t="str">
        <f t="shared" si="198"/>
        <v/>
      </c>
      <c r="HJ660" s="2945" t="str">
        <f t="shared" si="199"/>
        <v/>
      </c>
      <c r="HK660" s="2945" t="str">
        <f t="shared" si="200"/>
        <v/>
      </c>
      <c r="HL660" s="2945" t="str">
        <f t="shared" si="201"/>
        <v/>
      </c>
      <c r="HM660" s="2945" t="str">
        <f t="shared" si="202"/>
        <v/>
      </c>
      <c r="HN660" s="2945" t="str">
        <f t="shared" si="203"/>
        <v/>
      </c>
      <c r="HO660" s="2945" t="str">
        <f t="shared" si="204"/>
        <v/>
      </c>
      <c r="HP660" s="2945" t="str">
        <f t="shared" si="205"/>
        <v/>
      </c>
      <c r="HQ660" s="2945" t="str">
        <f t="shared" si="206"/>
        <v/>
      </c>
      <c r="HR660" s="2945" t="str">
        <f t="shared" si="207"/>
        <v/>
      </c>
      <c r="HS660" s="2945" t="str">
        <f t="shared" si="208"/>
        <v/>
      </c>
      <c r="HT660" s="2945" t="str">
        <f t="shared" si="209"/>
        <v/>
      </c>
      <c r="HU660" s="2945" t="str">
        <f t="shared" si="210"/>
        <v/>
      </c>
      <c r="HV660" s="2945" t="str">
        <f t="shared" si="211"/>
        <v/>
      </c>
      <c r="HW660" s="2945" t="str">
        <f t="shared" si="212"/>
        <v/>
      </c>
      <c r="HX660" s="2945" t="str">
        <f t="shared" si="213"/>
        <v/>
      </c>
      <c r="HY660" s="2945" t="str">
        <f t="shared" si="214"/>
        <v/>
      </c>
      <c r="HZ660" s="2945" t="str">
        <f t="shared" si="215"/>
        <v/>
      </c>
      <c r="IA660" s="2945" t="str">
        <f t="shared" si="216"/>
        <v/>
      </c>
      <c r="IB660" s="2945" t="str">
        <f t="shared" si="217"/>
        <v/>
      </c>
      <c r="IC660" s="2911" t="str">
        <f t="shared" si="218"/>
        <v/>
      </c>
      <c r="ID660" s="2911" t="str">
        <f t="shared" si="219"/>
        <v/>
      </c>
      <c r="IE660" s="2911" t="str">
        <f t="shared" si="220"/>
        <v/>
      </c>
      <c r="IF660" s="2911" t="str">
        <f t="shared" si="221"/>
        <v/>
      </c>
      <c r="IG660" s="2911" t="str">
        <f t="shared" si="222"/>
        <v/>
      </c>
      <c r="IH660" s="926" t="str">
        <f t="shared" si="223"/>
        <v/>
      </c>
      <c r="II660" s="926" t="str">
        <f t="shared" si="224"/>
        <v/>
      </c>
      <c r="IJ660" s="926" t="str">
        <f t="shared" si="225"/>
        <v/>
      </c>
      <c r="IK660" s="926" t="str">
        <f t="shared" si="226"/>
        <v/>
      </c>
      <c r="IL660" s="926" t="str">
        <f t="shared" si="227"/>
        <v/>
      </c>
      <c r="IM660" s="926" t="str">
        <f t="shared" si="228"/>
        <v/>
      </c>
      <c r="IN660" s="926" t="str">
        <f t="shared" si="229"/>
        <v/>
      </c>
      <c r="IO660" s="926" t="str">
        <f t="shared" si="230"/>
        <v/>
      </c>
      <c r="IP660" s="926" t="str">
        <f t="shared" si="231"/>
        <v/>
      </c>
      <c r="IQ660" s="926" t="str">
        <f t="shared" si="232"/>
        <v/>
      </c>
      <c r="IR660" s="926" t="str">
        <f t="shared" si="233"/>
        <v/>
      </c>
      <c r="IS660" s="926" t="str">
        <f t="shared" si="234"/>
        <v/>
      </c>
      <c r="IT660" s="926" t="str">
        <f t="shared" si="235"/>
        <v/>
      </c>
      <c r="IU660" s="926" t="str">
        <f t="shared" si="236"/>
        <v/>
      </c>
      <c r="IV660" s="926" t="str">
        <f t="shared" si="237"/>
        <v/>
      </c>
      <c r="IW660" s="926" t="str">
        <f t="shared" si="238"/>
        <v/>
      </c>
      <c r="IX660" s="926" t="str">
        <f t="shared" si="239"/>
        <v/>
      </c>
      <c r="IY660" s="926" t="str">
        <f t="shared" si="240"/>
        <v/>
      </c>
      <c r="IZ660" s="926" t="str">
        <f t="shared" si="241"/>
        <v/>
      </c>
      <c r="JA660" s="926" t="str">
        <f t="shared" si="242"/>
        <v/>
      </c>
      <c r="JB660" s="2909">
        <f t="shared" si="243"/>
        <v>0</v>
      </c>
      <c r="JC660" s="2909">
        <f t="shared" si="244"/>
        <v>0</v>
      </c>
      <c r="JD660" s="2909">
        <f t="shared" si="245"/>
        <v>0</v>
      </c>
      <c r="JE660" s="2909">
        <f t="shared" si="246"/>
        <v>0</v>
      </c>
      <c r="JF660" s="2909">
        <f t="shared" si="247"/>
        <v>0</v>
      </c>
      <c r="JG660" s="2909">
        <f t="shared" si="248"/>
        <v>0</v>
      </c>
      <c r="JH660" s="2909">
        <f t="shared" si="249"/>
        <v>0</v>
      </c>
      <c r="JI660" s="2909">
        <f t="shared" si="250"/>
        <v>0</v>
      </c>
      <c r="JJ660" s="2909">
        <f t="shared" si="251"/>
        <v>0</v>
      </c>
      <c r="JK660" s="2909">
        <f t="shared" si="252"/>
        <v>0</v>
      </c>
      <c r="JL660" s="2909">
        <f t="shared" si="253"/>
        <v>0</v>
      </c>
      <c r="JM660" s="2909">
        <f t="shared" si="254"/>
        <v>0</v>
      </c>
      <c r="JN660" s="2909">
        <f t="shared" si="255"/>
        <v>0</v>
      </c>
      <c r="JO660" s="2909">
        <f t="shared" si="256"/>
        <v>0</v>
      </c>
      <c r="JP660" s="2909">
        <f t="shared" si="257"/>
        <v>0</v>
      </c>
    </row>
    <row r="661" spans="1:277" ht="12" customHeight="1">
      <c r="A661" s="2924" t="str">
        <f t="shared" si="0"/>
        <v/>
      </c>
      <c r="B661" s="2936" t="str">
        <f>'Part VI-Revenues &amp; Expenses'!B41</f>
        <v>&lt;&lt;Select&gt;&gt;</v>
      </c>
      <c r="C661" s="2937">
        <f>'Part VI-Revenues &amp; Expenses'!C41</f>
        <v>0</v>
      </c>
      <c r="D661" s="2938">
        <f>'Part VI-Revenues &amp; Expenses'!D41</f>
        <v>0</v>
      </c>
      <c r="E661" s="2939">
        <f>'Part VI-Revenues &amp; Expenses'!E41</f>
        <v>0</v>
      </c>
      <c r="F661" s="2939">
        <f>'Part VI-Revenues &amp; Expenses'!F41</f>
        <v>0</v>
      </c>
      <c r="G661" s="2939">
        <f>'Part VI-Revenues &amp; Expenses'!G41</f>
        <v>0</v>
      </c>
      <c r="H661" s="2939">
        <f>'Part VI-Revenues &amp; Expenses'!H41</f>
        <v>0</v>
      </c>
      <c r="I661" s="2939">
        <f>'Part VI-Revenues &amp; Expenses'!I41</f>
        <v>0</v>
      </c>
      <c r="J661" s="2940">
        <f>'Part VI-Revenues &amp; Expenses'!J41</f>
        <v>0</v>
      </c>
      <c r="K661" s="2941">
        <f t="shared" si="1"/>
        <v>0</v>
      </c>
      <c r="L661" s="2941">
        <f t="shared" si="2"/>
        <v>0</v>
      </c>
      <c r="M661" s="2918">
        <f>'Part VI-Revenues &amp; Expenses'!M41</f>
        <v>0</v>
      </c>
      <c r="N661" s="2918">
        <f>'Part VI-Revenues &amp; Expenses'!N41</f>
        <v>0</v>
      </c>
      <c r="O661" s="2918">
        <f>'Part VI-Revenues &amp; Expenses'!O41</f>
        <v>0</v>
      </c>
      <c r="P661" s="2918">
        <f>'Part VI-Revenues &amp; Expenses'!P41</f>
        <v>0</v>
      </c>
      <c r="Q661" s="2942">
        <f>IF(H661="","",P661/($O$626*VLOOKUP(C661,'DCA Underwriting Assumptions'!$J$118:$K$123,2,FALSE)))</f>
        <v>0</v>
      </c>
      <c r="R661" s="2943"/>
      <c r="S661" s="2942"/>
      <c r="T661" s="2944"/>
      <c r="U661" s="2944"/>
      <c r="V661" s="926" t="str">
        <f t="shared" si="3"/>
        <v/>
      </c>
      <c r="W661" s="926" t="str">
        <f t="shared" si="4"/>
        <v/>
      </c>
      <c r="X661" s="926" t="str">
        <f t="shared" si="5"/>
        <v/>
      </c>
      <c r="Y661" s="926" t="str">
        <f t="shared" si="6"/>
        <v/>
      </c>
      <c r="Z661" s="926" t="str">
        <f t="shared" si="7"/>
        <v/>
      </c>
      <c r="AA661" s="926" t="str">
        <f t="shared" si="8"/>
        <v/>
      </c>
      <c r="AB661" s="926" t="str">
        <f t="shared" si="9"/>
        <v/>
      </c>
      <c r="AC661" s="926" t="str">
        <f t="shared" si="10"/>
        <v/>
      </c>
      <c r="AD661" s="926" t="str">
        <f t="shared" si="11"/>
        <v/>
      </c>
      <c r="AE661" s="926" t="str">
        <f t="shared" si="12"/>
        <v/>
      </c>
      <c r="AF661" s="926" t="str">
        <f t="shared" si="13"/>
        <v/>
      </c>
      <c r="AG661" s="926" t="str">
        <f t="shared" si="14"/>
        <v/>
      </c>
      <c r="AH661" s="926" t="str">
        <f t="shared" si="15"/>
        <v/>
      </c>
      <c r="AI661" s="926" t="str">
        <f t="shared" si="16"/>
        <v/>
      </c>
      <c r="AJ661" s="926" t="str">
        <f t="shared" si="17"/>
        <v/>
      </c>
      <c r="AK661" s="926" t="str">
        <f t="shared" si="18"/>
        <v/>
      </c>
      <c r="AL661" s="926" t="str">
        <f t="shared" si="19"/>
        <v/>
      </c>
      <c r="AM661" s="926" t="str">
        <f t="shared" si="20"/>
        <v/>
      </c>
      <c r="AN661" s="926" t="str">
        <f t="shared" si="21"/>
        <v/>
      </c>
      <c r="AO661" s="926" t="str">
        <f t="shared" si="22"/>
        <v/>
      </c>
      <c r="AP661" s="926" t="str">
        <f t="shared" si="23"/>
        <v/>
      </c>
      <c r="AQ661" s="926" t="str">
        <f t="shared" si="24"/>
        <v/>
      </c>
      <c r="AR661" s="926" t="str">
        <f t="shared" si="25"/>
        <v/>
      </c>
      <c r="AS661" s="926" t="str">
        <f t="shared" si="26"/>
        <v/>
      </c>
      <c r="AT661" s="926" t="str">
        <f t="shared" si="27"/>
        <v/>
      </c>
      <c r="AU661" s="926" t="str">
        <f t="shared" si="28"/>
        <v/>
      </c>
      <c r="AV661" s="926" t="str">
        <f t="shared" si="29"/>
        <v/>
      </c>
      <c r="AW661" s="926" t="str">
        <f t="shared" si="30"/>
        <v/>
      </c>
      <c r="AX661" s="926" t="str">
        <f t="shared" si="31"/>
        <v/>
      </c>
      <c r="AY661" s="926" t="str">
        <f t="shared" si="32"/>
        <v/>
      </c>
      <c r="AZ661" s="926" t="str">
        <f t="shared" si="33"/>
        <v/>
      </c>
      <c r="BA661" s="926" t="str">
        <f t="shared" si="34"/>
        <v/>
      </c>
      <c r="BB661" s="926" t="str">
        <f t="shared" si="35"/>
        <v/>
      </c>
      <c r="BC661" s="926" t="str">
        <f t="shared" si="36"/>
        <v/>
      </c>
      <c r="BD661" s="926" t="str">
        <f t="shared" si="37"/>
        <v/>
      </c>
      <c r="BE661" s="926" t="str">
        <f t="shared" si="38"/>
        <v/>
      </c>
      <c r="BF661" s="926" t="str">
        <f t="shared" si="39"/>
        <v/>
      </c>
      <c r="BG661" s="926" t="str">
        <f t="shared" si="40"/>
        <v/>
      </c>
      <c r="BH661" s="926" t="str">
        <f t="shared" si="41"/>
        <v/>
      </c>
      <c r="BI661" s="926" t="str">
        <f t="shared" si="42"/>
        <v/>
      </c>
      <c r="BJ661" s="926" t="str">
        <f t="shared" si="43"/>
        <v/>
      </c>
      <c r="BK661" s="926" t="str">
        <f t="shared" si="44"/>
        <v/>
      </c>
      <c r="BL661" s="926" t="str">
        <f t="shared" si="45"/>
        <v/>
      </c>
      <c r="BM661" s="926" t="str">
        <f t="shared" si="46"/>
        <v/>
      </c>
      <c r="BN661" s="926" t="str">
        <f t="shared" si="47"/>
        <v/>
      </c>
      <c r="BO661" s="926" t="str">
        <f t="shared" si="48"/>
        <v/>
      </c>
      <c r="BP661" s="926" t="str">
        <f t="shared" si="49"/>
        <v/>
      </c>
      <c r="BQ661" s="926" t="str">
        <f t="shared" si="50"/>
        <v/>
      </c>
      <c r="BR661" s="926" t="str">
        <f t="shared" si="51"/>
        <v/>
      </c>
      <c r="BS661" s="926" t="str">
        <f t="shared" si="52"/>
        <v/>
      </c>
      <c r="BT661" s="926" t="str">
        <f t="shared" si="53"/>
        <v/>
      </c>
      <c r="BU661" s="926" t="str">
        <f t="shared" si="54"/>
        <v/>
      </c>
      <c r="BV661" s="926" t="str">
        <f t="shared" si="55"/>
        <v/>
      </c>
      <c r="BW661" s="926" t="str">
        <f t="shared" si="56"/>
        <v/>
      </c>
      <c r="BX661" s="926" t="str">
        <f t="shared" si="57"/>
        <v/>
      </c>
      <c r="BY661" s="926" t="str">
        <f t="shared" si="58"/>
        <v/>
      </c>
      <c r="BZ661" s="926" t="str">
        <f t="shared" si="59"/>
        <v/>
      </c>
      <c r="CA661" s="926" t="str">
        <f t="shared" si="60"/>
        <v/>
      </c>
      <c r="CB661" s="926" t="str">
        <f t="shared" si="61"/>
        <v/>
      </c>
      <c r="CC661" s="926" t="str">
        <f t="shared" si="62"/>
        <v/>
      </c>
      <c r="CD661" s="926" t="str">
        <f t="shared" si="63"/>
        <v/>
      </c>
      <c r="CE661" s="926" t="str">
        <f t="shared" si="64"/>
        <v/>
      </c>
      <c r="CF661" s="926" t="str">
        <f t="shared" si="65"/>
        <v/>
      </c>
      <c r="CG661" s="926" t="str">
        <f t="shared" si="66"/>
        <v/>
      </c>
      <c r="CH661" s="926" t="str">
        <f t="shared" si="67"/>
        <v/>
      </c>
      <c r="CI661" s="926" t="str">
        <f t="shared" si="68"/>
        <v/>
      </c>
      <c r="CJ661" s="926" t="str">
        <f t="shared" si="69"/>
        <v/>
      </c>
      <c r="CK661" s="926" t="str">
        <f t="shared" si="70"/>
        <v/>
      </c>
      <c r="CL661" s="926" t="str">
        <f t="shared" si="71"/>
        <v/>
      </c>
      <c r="CM661" s="926" t="str">
        <f t="shared" si="72"/>
        <v/>
      </c>
      <c r="CN661" s="926" t="str">
        <f t="shared" si="73"/>
        <v/>
      </c>
      <c r="CO661" s="926" t="str">
        <f t="shared" si="74"/>
        <v/>
      </c>
      <c r="CP661" s="926" t="str">
        <f t="shared" si="75"/>
        <v/>
      </c>
      <c r="CQ661" s="926" t="str">
        <f t="shared" si="76"/>
        <v/>
      </c>
      <c r="CR661" s="926" t="str">
        <f t="shared" si="77"/>
        <v/>
      </c>
      <c r="CS661" s="926" t="str">
        <f t="shared" si="78"/>
        <v/>
      </c>
      <c r="CT661" s="926" t="str">
        <f t="shared" si="79"/>
        <v/>
      </c>
      <c r="CU661" s="926" t="str">
        <f t="shared" si="80"/>
        <v/>
      </c>
      <c r="CV661" s="926" t="str">
        <f t="shared" si="81"/>
        <v/>
      </c>
      <c r="CW661" s="926" t="str">
        <f t="shared" si="82"/>
        <v/>
      </c>
      <c r="CX661" s="926" t="str">
        <f t="shared" si="83"/>
        <v/>
      </c>
      <c r="CY661" s="926" t="str">
        <f t="shared" si="84"/>
        <v/>
      </c>
      <c r="CZ661" s="926" t="str">
        <f t="shared" si="85"/>
        <v/>
      </c>
      <c r="DA661" s="926" t="str">
        <f t="shared" si="86"/>
        <v/>
      </c>
      <c r="DB661" s="926" t="str">
        <f t="shared" si="87"/>
        <v/>
      </c>
      <c r="DC661" s="926" t="str">
        <f t="shared" si="88"/>
        <v/>
      </c>
      <c r="DD661" s="926" t="str">
        <f t="shared" si="89"/>
        <v/>
      </c>
      <c r="DE661" s="926" t="str">
        <f t="shared" si="90"/>
        <v/>
      </c>
      <c r="DF661" s="926" t="str">
        <f t="shared" si="91"/>
        <v/>
      </c>
      <c r="DG661" s="926" t="str">
        <f t="shared" si="92"/>
        <v/>
      </c>
      <c r="DH661" s="926" t="str">
        <f t="shared" si="93"/>
        <v/>
      </c>
      <c r="DI661" s="926" t="str">
        <f t="shared" si="94"/>
        <v/>
      </c>
      <c r="DJ661" s="926" t="str">
        <f t="shared" si="95"/>
        <v/>
      </c>
      <c r="DK661" s="926" t="str">
        <f t="shared" si="96"/>
        <v/>
      </c>
      <c r="DL661" s="926" t="str">
        <f t="shared" si="97"/>
        <v/>
      </c>
      <c r="DM661" s="926" t="str">
        <f t="shared" si="98"/>
        <v/>
      </c>
      <c r="DN661" s="926" t="str">
        <f t="shared" si="99"/>
        <v/>
      </c>
      <c r="DO661" s="926" t="str">
        <f t="shared" si="100"/>
        <v/>
      </c>
      <c r="DP661" s="926" t="str">
        <f t="shared" si="101"/>
        <v/>
      </c>
      <c r="DQ661" s="926" t="str">
        <f t="shared" si="102"/>
        <v/>
      </c>
      <c r="DR661" s="926" t="str">
        <f t="shared" si="103"/>
        <v/>
      </c>
      <c r="DS661" s="926" t="str">
        <f t="shared" si="104"/>
        <v/>
      </c>
      <c r="DT661" s="926" t="str">
        <f t="shared" si="105"/>
        <v/>
      </c>
      <c r="DU661" s="926" t="str">
        <f t="shared" si="106"/>
        <v/>
      </c>
      <c r="DV661" s="926" t="str">
        <f t="shared" si="107"/>
        <v/>
      </c>
      <c r="DW661" s="926" t="str">
        <f t="shared" si="108"/>
        <v/>
      </c>
      <c r="DX661" s="926" t="str">
        <f t="shared" si="109"/>
        <v/>
      </c>
      <c r="DY661" s="926" t="str">
        <f t="shared" si="110"/>
        <v/>
      </c>
      <c r="DZ661" s="926" t="str">
        <f t="shared" si="111"/>
        <v/>
      </c>
      <c r="EA661" s="926" t="str">
        <f t="shared" si="112"/>
        <v/>
      </c>
      <c r="EB661" s="926" t="str">
        <f t="shared" si="113"/>
        <v/>
      </c>
      <c r="EC661" s="926" t="str">
        <f t="shared" si="114"/>
        <v/>
      </c>
      <c r="ED661" s="926" t="str">
        <f t="shared" si="115"/>
        <v/>
      </c>
      <c r="EE661" s="926" t="str">
        <f t="shared" si="116"/>
        <v/>
      </c>
      <c r="EF661" s="926" t="str">
        <f t="shared" si="117"/>
        <v/>
      </c>
      <c r="EG661" s="926" t="str">
        <f t="shared" si="118"/>
        <v/>
      </c>
      <c r="EH661" s="926" t="str">
        <f t="shared" si="119"/>
        <v/>
      </c>
      <c r="EI661" s="926" t="str">
        <f t="shared" si="120"/>
        <v/>
      </c>
      <c r="EJ661" s="926" t="str">
        <f t="shared" si="121"/>
        <v/>
      </c>
      <c r="EK661" s="926" t="str">
        <f t="shared" si="122"/>
        <v/>
      </c>
      <c r="EL661" s="926" t="str">
        <f t="shared" si="123"/>
        <v/>
      </c>
      <c r="EM661" s="926" t="str">
        <f t="shared" si="124"/>
        <v/>
      </c>
      <c r="EN661" s="926" t="str">
        <f t="shared" si="125"/>
        <v/>
      </c>
      <c r="EO661" s="926" t="str">
        <f t="shared" si="126"/>
        <v/>
      </c>
      <c r="EP661" s="926" t="str">
        <f t="shared" si="127"/>
        <v/>
      </c>
      <c r="EQ661" s="926" t="str">
        <f t="shared" si="128"/>
        <v/>
      </c>
      <c r="ER661" s="926" t="str">
        <f t="shared" si="129"/>
        <v/>
      </c>
      <c r="ES661" s="926" t="str">
        <f t="shared" si="130"/>
        <v/>
      </c>
      <c r="ET661" s="926" t="str">
        <f t="shared" si="131"/>
        <v/>
      </c>
      <c r="EU661" s="926" t="str">
        <f t="shared" si="132"/>
        <v/>
      </c>
      <c r="EV661" s="2945" t="str">
        <f t="shared" si="133"/>
        <v/>
      </c>
      <c r="EW661" s="2945" t="str">
        <f t="shared" si="134"/>
        <v/>
      </c>
      <c r="EX661" s="2945" t="str">
        <f t="shared" si="135"/>
        <v/>
      </c>
      <c r="EY661" s="2945" t="str">
        <f t="shared" si="136"/>
        <v/>
      </c>
      <c r="EZ661" s="2945" t="str">
        <f t="shared" si="137"/>
        <v/>
      </c>
      <c r="FA661" s="2945" t="str">
        <f t="shared" si="138"/>
        <v/>
      </c>
      <c r="FB661" s="2945" t="str">
        <f t="shared" si="139"/>
        <v/>
      </c>
      <c r="FC661" s="2945" t="str">
        <f t="shared" si="140"/>
        <v/>
      </c>
      <c r="FD661" s="2945" t="str">
        <f t="shared" si="141"/>
        <v/>
      </c>
      <c r="FE661" s="2945" t="str">
        <f t="shared" si="142"/>
        <v/>
      </c>
      <c r="FF661" s="2945" t="str">
        <f t="shared" si="143"/>
        <v/>
      </c>
      <c r="FG661" s="2945" t="str">
        <f t="shared" si="144"/>
        <v/>
      </c>
      <c r="FH661" s="2945" t="str">
        <f t="shared" si="145"/>
        <v/>
      </c>
      <c r="FI661" s="2945" t="str">
        <f t="shared" si="146"/>
        <v/>
      </c>
      <c r="FJ661" s="2945" t="str">
        <f t="shared" si="147"/>
        <v/>
      </c>
      <c r="FK661" s="2945" t="str">
        <f t="shared" si="148"/>
        <v/>
      </c>
      <c r="FL661" s="2945" t="str">
        <f t="shared" si="149"/>
        <v/>
      </c>
      <c r="FM661" s="2945" t="str">
        <f t="shared" si="150"/>
        <v/>
      </c>
      <c r="FN661" s="2945" t="str">
        <f t="shared" si="151"/>
        <v/>
      </c>
      <c r="FO661" s="2945" t="str">
        <f t="shared" si="152"/>
        <v/>
      </c>
      <c r="FP661" s="2945" t="str">
        <f t="shared" si="153"/>
        <v/>
      </c>
      <c r="FQ661" s="2945" t="str">
        <f t="shared" si="154"/>
        <v/>
      </c>
      <c r="FR661" s="2945" t="str">
        <f t="shared" si="155"/>
        <v/>
      </c>
      <c r="FS661" s="2945" t="str">
        <f t="shared" si="156"/>
        <v/>
      </c>
      <c r="FT661" s="2945" t="str">
        <f t="shared" si="157"/>
        <v/>
      </c>
      <c r="FU661" s="2945" t="str">
        <f t="shared" si="158"/>
        <v/>
      </c>
      <c r="FV661" s="2945" t="str">
        <f t="shared" si="159"/>
        <v/>
      </c>
      <c r="FW661" s="2945" t="str">
        <f t="shared" si="160"/>
        <v/>
      </c>
      <c r="FX661" s="2945" t="str">
        <f t="shared" si="161"/>
        <v/>
      </c>
      <c r="FY661" s="2945" t="str">
        <f t="shared" si="162"/>
        <v/>
      </c>
      <c r="FZ661" s="2945" t="str">
        <f t="shared" si="163"/>
        <v/>
      </c>
      <c r="GA661" s="2945" t="str">
        <f t="shared" si="164"/>
        <v/>
      </c>
      <c r="GB661" s="2945" t="str">
        <f t="shared" si="165"/>
        <v/>
      </c>
      <c r="GC661" s="2945" t="str">
        <f t="shared" si="166"/>
        <v/>
      </c>
      <c r="GD661" s="2945" t="str">
        <f t="shared" si="167"/>
        <v/>
      </c>
      <c r="GE661" s="2945" t="str">
        <f t="shared" si="168"/>
        <v/>
      </c>
      <c r="GF661" s="2945" t="str">
        <f t="shared" si="169"/>
        <v/>
      </c>
      <c r="GG661" s="2945" t="str">
        <f t="shared" si="170"/>
        <v/>
      </c>
      <c r="GH661" s="2945" t="str">
        <f t="shared" si="171"/>
        <v/>
      </c>
      <c r="GI661" s="2945" t="str">
        <f t="shared" si="172"/>
        <v/>
      </c>
      <c r="GJ661" s="2945" t="str">
        <f t="shared" si="173"/>
        <v/>
      </c>
      <c r="GK661" s="2945" t="str">
        <f t="shared" si="174"/>
        <v/>
      </c>
      <c r="GL661" s="2945" t="str">
        <f t="shared" si="175"/>
        <v/>
      </c>
      <c r="GM661" s="2945" t="str">
        <f t="shared" si="176"/>
        <v/>
      </c>
      <c r="GN661" s="2945" t="str">
        <f t="shared" si="177"/>
        <v/>
      </c>
      <c r="GO661" s="2945" t="str">
        <f t="shared" si="178"/>
        <v/>
      </c>
      <c r="GP661" s="2945" t="str">
        <f t="shared" si="179"/>
        <v/>
      </c>
      <c r="GQ661" s="2945" t="str">
        <f t="shared" si="180"/>
        <v/>
      </c>
      <c r="GR661" s="2945" t="str">
        <f t="shared" si="181"/>
        <v/>
      </c>
      <c r="GS661" s="2945" t="str">
        <f t="shared" si="182"/>
        <v/>
      </c>
      <c r="GT661" s="2945" t="str">
        <f t="shared" si="183"/>
        <v/>
      </c>
      <c r="GU661" s="2945" t="str">
        <f t="shared" si="184"/>
        <v/>
      </c>
      <c r="GV661" s="2945" t="str">
        <f t="shared" si="185"/>
        <v/>
      </c>
      <c r="GW661" s="2945" t="str">
        <f t="shared" si="186"/>
        <v/>
      </c>
      <c r="GX661" s="2945" t="str">
        <f t="shared" si="187"/>
        <v/>
      </c>
      <c r="GY661" s="2945" t="str">
        <f t="shared" si="188"/>
        <v/>
      </c>
      <c r="GZ661" s="2945" t="str">
        <f t="shared" si="189"/>
        <v/>
      </c>
      <c r="HA661" s="2945" t="str">
        <f t="shared" si="190"/>
        <v/>
      </c>
      <c r="HB661" s="2945" t="str">
        <f t="shared" si="191"/>
        <v/>
      </c>
      <c r="HC661" s="2945" t="str">
        <f t="shared" si="192"/>
        <v/>
      </c>
      <c r="HD661" s="2945" t="str">
        <f t="shared" si="193"/>
        <v/>
      </c>
      <c r="HE661" s="2945" t="str">
        <f t="shared" si="194"/>
        <v/>
      </c>
      <c r="HF661" s="2945" t="str">
        <f t="shared" si="195"/>
        <v/>
      </c>
      <c r="HG661" s="2945" t="str">
        <f t="shared" si="196"/>
        <v/>
      </c>
      <c r="HH661" s="2945" t="str">
        <f t="shared" si="197"/>
        <v/>
      </c>
      <c r="HI661" s="2945" t="str">
        <f t="shared" si="198"/>
        <v/>
      </c>
      <c r="HJ661" s="2945" t="str">
        <f t="shared" si="199"/>
        <v/>
      </c>
      <c r="HK661" s="2945" t="str">
        <f t="shared" si="200"/>
        <v/>
      </c>
      <c r="HL661" s="2945" t="str">
        <f t="shared" si="201"/>
        <v/>
      </c>
      <c r="HM661" s="2945" t="str">
        <f t="shared" si="202"/>
        <v/>
      </c>
      <c r="HN661" s="2945" t="str">
        <f t="shared" si="203"/>
        <v/>
      </c>
      <c r="HO661" s="2945" t="str">
        <f t="shared" si="204"/>
        <v/>
      </c>
      <c r="HP661" s="2945" t="str">
        <f t="shared" si="205"/>
        <v/>
      </c>
      <c r="HQ661" s="2945" t="str">
        <f t="shared" si="206"/>
        <v/>
      </c>
      <c r="HR661" s="2945" t="str">
        <f t="shared" si="207"/>
        <v/>
      </c>
      <c r="HS661" s="2945" t="str">
        <f t="shared" si="208"/>
        <v/>
      </c>
      <c r="HT661" s="2945" t="str">
        <f t="shared" si="209"/>
        <v/>
      </c>
      <c r="HU661" s="2945" t="str">
        <f t="shared" si="210"/>
        <v/>
      </c>
      <c r="HV661" s="2945" t="str">
        <f t="shared" si="211"/>
        <v/>
      </c>
      <c r="HW661" s="2945" t="str">
        <f t="shared" si="212"/>
        <v/>
      </c>
      <c r="HX661" s="2945" t="str">
        <f t="shared" si="213"/>
        <v/>
      </c>
      <c r="HY661" s="2945" t="str">
        <f t="shared" si="214"/>
        <v/>
      </c>
      <c r="HZ661" s="2945" t="str">
        <f t="shared" si="215"/>
        <v/>
      </c>
      <c r="IA661" s="2945" t="str">
        <f t="shared" si="216"/>
        <v/>
      </c>
      <c r="IB661" s="2945" t="str">
        <f t="shared" si="217"/>
        <v/>
      </c>
      <c r="IC661" s="2911" t="str">
        <f t="shared" si="218"/>
        <v/>
      </c>
      <c r="ID661" s="2911" t="str">
        <f t="shared" si="219"/>
        <v/>
      </c>
      <c r="IE661" s="2911" t="str">
        <f t="shared" si="220"/>
        <v/>
      </c>
      <c r="IF661" s="2911" t="str">
        <f t="shared" si="221"/>
        <v/>
      </c>
      <c r="IG661" s="2911" t="str">
        <f t="shared" si="222"/>
        <v/>
      </c>
      <c r="IH661" s="926" t="str">
        <f t="shared" si="223"/>
        <v/>
      </c>
      <c r="II661" s="926" t="str">
        <f t="shared" si="224"/>
        <v/>
      </c>
      <c r="IJ661" s="926" t="str">
        <f t="shared" si="225"/>
        <v/>
      </c>
      <c r="IK661" s="926" t="str">
        <f t="shared" si="226"/>
        <v/>
      </c>
      <c r="IL661" s="926" t="str">
        <f t="shared" si="227"/>
        <v/>
      </c>
      <c r="IM661" s="926" t="str">
        <f t="shared" si="228"/>
        <v/>
      </c>
      <c r="IN661" s="926" t="str">
        <f t="shared" si="229"/>
        <v/>
      </c>
      <c r="IO661" s="926" t="str">
        <f t="shared" si="230"/>
        <v/>
      </c>
      <c r="IP661" s="926" t="str">
        <f t="shared" si="231"/>
        <v/>
      </c>
      <c r="IQ661" s="926" t="str">
        <f t="shared" si="232"/>
        <v/>
      </c>
      <c r="IR661" s="926" t="str">
        <f t="shared" si="233"/>
        <v/>
      </c>
      <c r="IS661" s="926" t="str">
        <f t="shared" si="234"/>
        <v/>
      </c>
      <c r="IT661" s="926" t="str">
        <f t="shared" si="235"/>
        <v/>
      </c>
      <c r="IU661" s="926" t="str">
        <f t="shared" si="236"/>
        <v/>
      </c>
      <c r="IV661" s="926" t="str">
        <f t="shared" si="237"/>
        <v/>
      </c>
      <c r="IW661" s="926" t="str">
        <f t="shared" si="238"/>
        <v/>
      </c>
      <c r="IX661" s="926" t="str">
        <f t="shared" si="239"/>
        <v/>
      </c>
      <c r="IY661" s="926" t="str">
        <f t="shared" si="240"/>
        <v/>
      </c>
      <c r="IZ661" s="926" t="str">
        <f t="shared" si="241"/>
        <v/>
      </c>
      <c r="JA661" s="926" t="str">
        <f t="shared" si="242"/>
        <v/>
      </c>
      <c r="JB661" s="2909">
        <f t="shared" si="243"/>
        <v>0</v>
      </c>
      <c r="JC661" s="2909">
        <f t="shared" si="244"/>
        <v>0</v>
      </c>
      <c r="JD661" s="2909">
        <f t="shared" si="245"/>
        <v>0</v>
      </c>
      <c r="JE661" s="2909">
        <f t="shared" si="246"/>
        <v>0</v>
      </c>
      <c r="JF661" s="2909">
        <f t="shared" si="247"/>
        <v>0</v>
      </c>
      <c r="JG661" s="2909">
        <f t="shared" si="248"/>
        <v>0</v>
      </c>
      <c r="JH661" s="2909">
        <f t="shared" si="249"/>
        <v>0</v>
      </c>
      <c r="JI661" s="2909">
        <f t="shared" si="250"/>
        <v>0</v>
      </c>
      <c r="JJ661" s="2909">
        <f t="shared" si="251"/>
        <v>0</v>
      </c>
      <c r="JK661" s="2909">
        <f t="shared" si="252"/>
        <v>0</v>
      </c>
      <c r="JL661" s="2909">
        <f t="shared" si="253"/>
        <v>0</v>
      </c>
      <c r="JM661" s="2909">
        <f t="shared" si="254"/>
        <v>0</v>
      </c>
      <c r="JN661" s="2909">
        <f t="shared" si="255"/>
        <v>0</v>
      </c>
      <c r="JO661" s="2909">
        <f t="shared" si="256"/>
        <v>0</v>
      </c>
      <c r="JP661" s="2909">
        <f t="shared" si="257"/>
        <v>0</v>
      </c>
    </row>
    <row r="662" spans="1:277" ht="12" customHeight="1">
      <c r="A662" s="2924" t="str">
        <f t="shared" si="0"/>
        <v/>
      </c>
      <c r="B662" s="2936" t="str">
        <f>'Part VI-Revenues &amp; Expenses'!B42</f>
        <v>&lt;&lt;Select&gt;&gt;</v>
      </c>
      <c r="C662" s="2937">
        <f>'Part VI-Revenues &amp; Expenses'!C42</f>
        <v>0</v>
      </c>
      <c r="D662" s="2938">
        <f>'Part VI-Revenues &amp; Expenses'!D42</f>
        <v>0</v>
      </c>
      <c r="E662" s="2939">
        <f>'Part VI-Revenues &amp; Expenses'!E42</f>
        <v>0</v>
      </c>
      <c r="F662" s="2939">
        <f>'Part VI-Revenues &amp; Expenses'!F42</f>
        <v>0</v>
      </c>
      <c r="G662" s="2939">
        <f>'Part VI-Revenues &amp; Expenses'!G42</f>
        <v>0</v>
      </c>
      <c r="H662" s="2939">
        <f>'Part VI-Revenues &amp; Expenses'!H42</f>
        <v>0</v>
      </c>
      <c r="I662" s="2939">
        <f>'Part VI-Revenues &amp; Expenses'!I42</f>
        <v>0</v>
      </c>
      <c r="J662" s="2940">
        <f>'Part VI-Revenues &amp; Expenses'!J42</f>
        <v>0</v>
      </c>
      <c r="K662" s="2941">
        <f t="shared" si="1"/>
        <v>0</v>
      </c>
      <c r="L662" s="2941">
        <f t="shared" si="2"/>
        <v>0</v>
      </c>
      <c r="M662" s="2918">
        <f>'Part VI-Revenues &amp; Expenses'!M42</f>
        <v>0</v>
      </c>
      <c r="N662" s="2918">
        <f>'Part VI-Revenues &amp; Expenses'!N42</f>
        <v>0</v>
      </c>
      <c r="O662" s="2918">
        <f>'Part VI-Revenues &amp; Expenses'!O42</f>
        <v>0</v>
      </c>
      <c r="P662" s="2918">
        <f>'Part VI-Revenues &amp; Expenses'!P42</f>
        <v>0</v>
      </c>
      <c r="Q662" s="2942">
        <f>IF(H662="","",P662/($O$626*VLOOKUP(C662,'DCA Underwriting Assumptions'!$J$118:$K$123,2,FALSE)))</f>
        <v>0</v>
      </c>
      <c r="R662" s="2943"/>
      <c r="S662" s="2942"/>
      <c r="T662" s="2944"/>
      <c r="U662" s="2944"/>
      <c r="V662" s="926" t="str">
        <f t="shared" si="3"/>
        <v/>
      </c>
      <c r="W662" s="926" t="str">
        <f t="shared" si="4"/>
        <v/>
      </c>
      <c r="X662" s="926" t="str">
        <f t="shared" si="5"/>
        <v/>
      </c>
      <c r="Y662" s="926" t="str">
        <f t="shared" si="6"/>
        <v/>
      </c>
      <c r="Z662" s="926" t="str">
        <f t="shared" si="7"/>
        <v/>
      </c>
      <c r="AA662" s="926" t="str">
        <f t="shared" si="8"/>
        <v/>
      </c>
      <c r="AB662" s="926" t="str">
        <f t="shared" si="9"/>
        <v/>
      </c>
      <c r="AC662" s="926" t="str">
        <f t="shared" si="10"/>
        <v/>
      </c>
      <c r="AD662" s="926" t="str">
        <f t="shared" si="11"/>
        <v/>
      </c>
      <c r="AE662" s="926" t="str">
        <f t="shared" si="12"/>
        <v/>
      </c>
      <c r="AF662" s="926" t="str">
        <f t="shared" si="13"/>
        <v/>
      </c>
      <c r="AG662" s="926" t="str">
        <f t="shared" si="14"/>
        <v/>
      </c>
      <c r="AH662" s="926" t="str">
        <f t="shared" si="15"/>
        <v/>
      </c>
      <c r="AI662" s="926" t="str">
        <f t="shared" si="16"/>
        <v/>
      </c>
      <c r="AJ662" s="926" t="str">
        <f t="shared" si="17"/>
        <v/>
      </c>
      <c r="AK662" s="926" t="str">
        <f t="shared" si="18"/>
        <v/>
      </c>
      <c r="AL662" s="926" t="str">
        <f t="shared" si="19"/>
        <v/>
      </c>
      <c r="AM662" s="926" t="str">
        <f t="shared" si="20"/>
        <v/>
      </c>
      <c r="AN662" s="926" t="str">
        <f t="shared" si="21"/>
        <v/>
      </c>
      <c r="AO662" s="926" t="str">
        <f t="shared" si="22"/>
        <v/>
      </c>
      <c r="AP662" s="926" t="str">
        <f t="shared" si="23"/>
        <v/>
      </c>
      <c r="AQ662" s="926" t="str">
        <f t="shared" si="24"/>
        <v/>
      </c>
      <c r="AR662" s="926" t="str">
        <f t="shared" si="25"/>
        <v/>
      </c>
      <c r="AS662" s="926" t="str">
        <f t="shared" si="26"/>
        <v/>
      </c>
      <c r="AT662" s="926" t="str">
        <f t="shared" si="27"/>
        <v/>
      </c>
      <c r="AU662" s="926" t="str">
        <f t="shared" si="28"/>
        <v/>
      </c>
      <c r="AV662" s="926" t="str">
        <f t="shared" si="29"/>
        <v/>
      </c>
      <c r="AW662" s="926" t="str">
        <f t="shared" si="30"/>
        <v/>
      </c>
      <c r="AX662" s="926" t="str">
        <f t="shared" si="31"/>
        <v/>
      </c>
      <c r="AY662" s="926" t="str">
        <f t="shared" si="32"/>
        <v/>
      </c>
      <c r="AZ662" s="926" t="str">
        <f t="shared" si="33"/>
        <v/>
      </c>
      <c r="BA662" s="926" t="str">
        <f t="shared" si="34"/>
        <v/>
      </c>
      <c r="BB662" s="926" t="str">
        <f t="shared" si="35"/>
        <v/>
      </c>
      <c r="BC662" s="926" t="str">
        <f t="shared" si="36"/>
        <v/>
      </c>
      <c r="BD662" s="926" t="str">
        <f t="shared" si="37"/>
        <v/>
      </c>
      <c r="BE662" s="926" t="str">
        <f t="shared" si="38"/>
        <v/>
      </c>
      <c r="BF662" s="926" t="str">
        <f t="shared" si="39"/>
        <v/>
      </c>
      <c r="BG662" s="926" t="str">
        <f t="shared" si="40"/>
        <v/>
      </c>
      <c r="BH662" s="926" t="str">
        <f t="shared" si="41"/>
        <v/>
      </c>
      <c r="BI662" s="926" t="str">
        <f t="shared" si="42"/>
        <v/>
      </c>
      <c r="BJ662" s="926" t="str">
        <f t="shared" si="43"/>
        <v/>
      </c>
      <c r="BK662" s="926" t="str">
        <f t="shared" si="44"/>
        <v/>
      </c>
      <c r="BL662" s="926" t="str">
        <f t="shared" si="45"/>
        <v/>
      </c>
      <c r="BM662" s="926" t="str">
        <f t="shared" si="46"/>
        <v/>
      </c>
      <c r="BN662" s="926" t="str">
        <f t="shared" si="47"/>
        <v/>
      </c>
      <c r="BO662" s="926" t="str">
        <f t="shared" si="48"/>
        <v/>
      </c>
      <c r="BP662" s="926" t="str">
        <f t="shared" si="49"/>
        <v/>
      </c>
      <c r="BQ662" s="926" t="str">
        <f t="shared" si="50"/>
        <v/>
      </c>
      <c r="BR662" s="926" t="str">
        <f t="shared" si="51"/>
        <v/>
      </c>
      <c r="BS662" s="926" t="str">
        <f t="shared" si="52"/>
        <v/>
      </c>
      <c r="BT662" s="926" t="str">
        <f t="shared" si="53"/>
        <v/>
      </c>
      <c r="BU662" s="926" t="str">
        <f t="shared" si="54"/>
        <v/>
      </c>
      <c r="BV662" s="926" t="str">
        <f t="shared" si="55"/>
        <v/>
      </c>
      <c r="BW662" s="926" t="str">
        <f t="shared" si="56"/>
        <v/>
      </c>
      <c r="BX662" s="926" t="str">
        <f t="shared" si="57"/>
        <v/>
      </c>
      <c r="BY662" s="926" t="str">
        <f t="shared" si="58"/>
        <v/>
      </c>
      <c r="BZ662" s="926" t="str">
        <f t="shared" si="59"/>
        <v/>
      </c>
      <c r="CA662" s="926" t="str">
        <f t="shared" si="60"/>
        <v/>
      </c>
      <c r="CB662" s="926" t="str">
        <f t="shared" si="61"/>
        <v/>
      </c>
      <c r="CC662" s="926" t="str">
        <f t="shared" si="62"/>
        <v/>
      </c>
      <c r="CD662" s="926" t="str">
        <f t="shared" si="63"/>
        <v/>
      </c>
      <c r="CE662" s="926" t="str">
        <f t="shared" si="64"/>
        <v/>
      </c>
      <c r="CF662" s="926" t="str">
        <f t="shared" si="65"/>
        <v/>
      </c>
      <c r="CG662" s="926" t="str">
        <f t="shared" si="66"/>
        <v/>
      </c>
      <c r="CH662" s="926" t="str">
        <f t="shared" si="67"/>
        <v/>
      </c>
      <c r="CI662" s="926" t="str">
        <f t="shared" si="68"/>
        <v/>
      </c>
      <c r="CJ662" s="926" t="str">
        <f t="shared" si="69"/>
        <v/>
      </c>
      <c r="CK662" s="926" t="str">
        <f t="shared" si="70"/>
        <v/>
      </c>
      <c r="CL662" s="926" t="str">
        <f t="shared" si="71"/>
        <v/>
      </c>
      <c r="CM662" s="926" t="str">
        <f t="shared" si="72"/>
        <v/>
      </c>
      <c r="CN662" s="926" t="str">
        <f t="shared" si="73"/>
        <v/>
      </c>
      <c r="CO662" s="926" t="str">
        <f t="shared" si="74"/>
        <v/>
      </c>
      <c r="CP662" s="926" t="str">
        <f t="shared" si="75"/>
        <v/>
      </c>
      <c r="CQ662" s="926" t="str">
        <f t="shared" si="76"/>
        <v/>
      </c>
      <c r="CR662" s="926" t="str">
        <f t="shared" si="77"/>
        <v/>
      </c>
      <c r="CS662" s="926" t="str">
        <f t="shared" si="78"/>
        <v/>
      </c>
      <c r="CT662" s="926" t="str">
        <f t="shared" si="79"/>
        <v/>
      </c>
      <c r="CU662" s="926" t="str">
        <f t="shared" si="80"/>
        <v/>
      </c>
      <c r="CV662" s="926" t="str">
        <f t="shared" si="81"/>
        <v/>
      </c>
      <c r="CW662" s="926" t="str">
        <f t="shared" si="82"/>
        <v/>
      </c>
      <c r="CX662" s="926" t="str">
        <f t="shared" si="83"/>
        <v/>
      </c>
      <c r="CY662" s="926" t="str">
        <f t="shared" si="84"/>
        <v/>
      </c>
      <c r="CZ662" s="926" t="str">
        <f t="shared" si="85"/>
        <v/>
      </c>
      <c r="DA662" s="926" t="str">
        <f t="shared" si="86"/>
        <v/>
      </c>
      <c r="DB662" s="926" t="str">
        <f t="shared" si="87"/>
        <v/>
      </c>
      <c r="DC662" s="926" t="str">
        <f t="shared" si="88"/>
        <v/>
      </c>
      <c r="DD662" s="926" t="str">
        <f t="shared" si="89"/>
        <v/>
      </c>
      <c r="DE662" s="926" t="str">
        <f t="shared" si="90"/>
        <v/>
      </c>
      <c r="DF662" s="926" t="str">
        <f t="shared" si="91"/>
        <v/>
      </c>
      <c r="DG662" s="926" t="str">
        <f t="shared" si="92"/>
        <v/>
      </c>
      <c r="DH662" s="926" t="str">
        <f t="shared" si="93"/>
        <v/>
      </c>
      <c r="DI662" s="926" t="str">
        <f t="shared" si="94"/>
        <v/>
      </c>
      <c r="DJ662" s="926" t="str">
        <f t="shared" si="95"/>
        <v/>
      </c>
      <c r="DK662" s="926" t="str">
        <f t="shared" si="96"/>
        <v/>
      </c>
      <c r="DL662" s="926" t="str">
        <f t="shared" si="97"/>
        <v/>
      </c>
      <c r="DM662" s="926" t="str">
        <f t="shared" si="98"/>
        <v/>
      </c>
      <c r="DN662" s="926" t="str">
        <f t="shared" si="99"/>
        <v/>
      </c>
      <c r="DO662" s="926" t="str">
        <f t="shared" si="100"/>
        <v/>
      </c>
      <c r="DP662" s="926" t="str">
        <f t="shared" si="101"/>
        <v/>
      </c>
      <c r="DQ662" s="926" t="str">
        <f t="shared" si="102"/>
        <v/>
      </c>
      <c r="DR662" s="926" t="str">
        <f t="shared" si="103"/>
        <v/>
      </c>
      <c r="DS662" s="926" t="str">
        <f t="shared" si="104"/>
        <v/>
      </c>
      <c r="DT662" s="926" t="str">
        <f t="shared" si="105"/>
        <v/>
      </c>
      <c r="DU662" s="926" t="str">
        <f t="shared" si="106"/>
        <v/>
      </c>
      <c r="DV662" s="926" t="str">
        <f t="shared" si="107"/>
        <v/>
      </c>
      <c r="DW662" s="926" t="str">
        <f t="shared" si="108"/>
        <v/>
      </c>
      <c r="DX662" s="926" t="str">
        <f t="shared" si="109"/>
        <v/>
      </c>
      <c r="DY662" s="926" t="str">
        <f t="shared" si="110"/>
        <v/>
      </c>
      <c r="DZ662" s="926" t="str">
        <f t="shared" si="111"/>
        <v/>
      </c>
      <c r="EA662" s="926" t="str">
        <f t="shared" si="112"/>
        <v/>
      </c>
      <c r="EB662" s="926" t="str">
        <f t="shared" si="113"/>
        <v/>
      </c>
      <c r="EC662" s="926" t="str">
        <f t="shared" si="114"/>
        <v/>
      </c>
      <c r="ED662" s="926" t="str">
        <f t="shared" si="115"/>
        <v/>
      </c>
      <c r="EE662" s="926" t="str">
        <f t="shared" si="116"/>
        <v/>
      </c>
      <c r="EF662" s="926" t="str">
        <f t="shared" si="117"/>
        <v/>
      </c>
      <c r="EG662" s="926" t="str">
        <f t="shared" si="118"/>
        <v/>
      </c>
      <c r="EH662" s="926" t="str">
        <f t="shared" si="119"/>
        <v/>
      </c>
      <c r="EI662" s="926" t="str">
        <f t="shared" si="120"/>
        <v/>
      </c>
      <c r="EJ662" s="926" t="str">
        <f t="shared" si="121"/>
        <v/>
      </c>
      <c r="EK662" s="926" t="str">
        <f t="shared" si="122"/>
        <v/>
      </c>
      <c r="EL662" s="926" t="str">
        <f t="shared" si="123"/>
        <v/>
      </c>
      <c r="EM662" s="926" t="str">
        <f t="shared" si="124"/>
        <v/>
      </c>
      <c r="EN662" s="926" t="str">
        <f t="shared" si="125"/>
        <v/>
      </c>
      <c r="EO662" s="926" t="str">
        <f t="shared" si="126"/>
        <v/>
      </c>
      <c r="EP662" s="926" t="str">
        <f t="shared" si="127"/>
        <v/>
      </c>
      <c r="EQ662" s="926" t="str">
        <f t="shared" si="128"/>
        <v/>
      </c>
      <c r="ER662" s="926" t="str">
        <f t="shared" si="129"/>
        <v/>
      </c>
      <c r="ES662" s="926" t="str">
        <f t="shared" si="130"/>
        <v/>
      </c>
      <c r="ET662" s="926" t="str">
        <f t="shared" si="131"/>
        <v/>
      </c>
      <c r="EU662" s="926" t="str">
        <f t="shared" si="132"/>
        <v/>
      </c>
      <c r="EV662" s="2945" t="str">
        <f t="shared" si="133"/>
        <v/>
      </c>
      <c r="EW662" s="2945" t="str">
        <f t="shared" si="134"/>
        <v/>
      </c>
      <c r="EX662" s="2945" t="str">
        <f t="shared" si="135"/>
        <v/>
      </c>
      <c r="EY662" s="2945" t="str">
        <f t="shared" si="136"/>
        <v/>
      </c>
      <c r="EZ662" s="2945" t="str">
        <f t="shared" si="137"/>
        <v/>
      </c>
      <c r="FA662" s="2945" t="str">
        <f t="shared" si="138"/>
        <v/>
      </c>
      <c r="FB662" s="2945" t="str">
        <f t="shared" si="139"/>
        <v/>
      </c>
      <c r="FC662" s="2945" t="str">
        <f t="shared" si="140"/>
        <v/>
      </c>
      <c r="FD662" s="2945" t="str">
        <f t="shared" si="141"/>
        <v/>
      </c>
      <c r="FE662" s="2945" t="str">
        <f t="shared" si="142"/>
        <v/>
      </c>
      <c r="FF662" s="2945" t="str">
        <f t="shared" si="143"/>
        <v/>
      </c>
      <c r="FG662" s="2945" t="str">
        <f t="shared" si="144"/>
        <v/>
      </c>
      <c r="FH662" s="2945" t="str">
        <f t="shared" si="145"/>
        <v/>
      </c>
      <c r="FI662" s="2945" t="str">
        <f t="shared" si="146"/>
        <v/>
      </c>
      <c r="FJ662" s="2945" t="str">
        <f t="shared" si="147"/>
        <v/>
      </c>
      <c r="FK662" s="2945" t="str">
        <f t="shared" si="148"/>
        <v/>
      </c>
      <c r="FL662" s="2945" t="str">
        <f t="shared" si="149"/>
        <v/>
      </c>
      <c r="FM662" s="2945" t="str">
        <f t="shared" si="150"/>
        <v/>
      </c>
      <c r="FN662" s="2945" t="str">
        <f t="shared" si="151"/>
        <v/>
      </c>
      <c r="FO662" s="2945" t="str">
        <f t="shared" si="152"/>
        <v/>
      </c>
      <c r="FP662" s="2945" t="str">
        <f t="shared" si="153"/>
        <v/>
      </c>
      <c r="FQ662" s="2945" t="str">
        <f t="shared" si="154"/>
        <v/>
      </c>
      <c r="FR662" s="2945" t="str">
        <f t="shared" si="155"/>
        <v/>
      </c>
      <c r="FS662" s="2945" t="str">
        <f t="shared" si="156"/>
        <v/>
      </c>
      <c r="FT662" s="2945" t="str">
        <f t="shared" si="157"/>
        <v/>
      </c>
      <c r="FU662" s="2945" t="str">
        <f t="shared" si="158"/>
        <v/>
      </c>
      <c r="FV662" s="2945" t="str">
        <f t="shared" si="159"/>
        <v/>
      </c>
      <c r="FW662" s="2945" t="str">
        <f t="shared" si="160"/>
        <v/>
      </c>
      <c r="FX662" s="2945" t="str">
        <f t="shared" si="161"/>
        <v/>
      </c>
      <c r="FY662" s="2945" t="str">
        <f t="shared" si="162"/>
        <v/>
      </c>
      <c r="FZ662" s="2945" t="str">
        <f t="shared" si="163"/>
        <v/>
      </c>
      <c r="GA662" s="2945" t="str">
        <f t="shared" si="164"/>
        <v/>
      </c>
      <c r="GB662" s="2945" t="str">
        <f t="shared" si="165"/>
        <v/>
      </c>
      <c r="GC662" s="2945" t="str">
        <f t="shared" si="166"/>
        <v/>
      </c>
      <c r="GD662" s="2945" t="str">
        <f t="shared" si="167"/>
        <v/>
      </c>
      <c r="GE662" s="2945" t="str">
        <f t="shared" si="168"/>
        <v/>
      </c>
      <c r="GF662" s="2945" t="str">
        <f t="shared" si="169"/>
        <v/>
      </c>
      <c r="GG662" s="2945" t="str">
        <f t="shared" si="170"/>
        <v/>
      </c>
      <c r="GH662" s="2945" t="str">
        <f t="shared" si="171"/>
        <v/>
      </c>
      <c r="GI662" s="2945" t="str">
        <f t="shared" si="172"/>
        <v/>
      </c>
      <c r="GJ662" s="2945" t="str">
        <f t="shared" si="173"/>
        <v/>
      </c>
      <c r="GK662" s="2945" t="str">
        <f t="shared" si="174"/>
        <v/>
      </c>
      <c r="GL662" s="2945" t="str">
        <f t="shared" si="175"/>
        <v/>
      </c>
      <c r="GM662" s="2945" t="str">
        <f t="shared" si="176"/>
        <v/>
      </c>
      <c r="GN662" s="2945" t="str">
        <f t="shared" si="177"/>
        <v/>
      </c>
      <c r="GO662" s="2945" t="str">
        <f t="shared" si="178"/>
        <v/>
      </c>
      <c r="GP662" s="2945" t="str">
        <f t="shared" si="179"/>
        <v/>
      </c>
      <c r="GQ662" s="2945" t="str">
        <f t="shared" si="180"/>
        <v/>
      </c>
      <c r="GR662" s="2945" t="str">
        <f t="shared" si="181"/>
        <v/>
      </c>
      <c r="GS662" s="2945" t="str">
        <f t="shared" si="182"/>
        <v/>
      </c>
      <c r="GT662" s="2945" t="str">
        <f t="shared" si="183"/>
        <v/>
      </c>
      <c r="GU662" s="2945" t="str">
        <f t="shared" si="184"/>
        <v/>
      </c>
      <c r="GV662" s="2945" t="str">
        <f t="shared" si="185"/>
        <v/>
      </c>
      <c r="GW662" s="2945" t="str">
        <f t="shared" si="186"/>
        <v/>
      </c>
      <c r="GX662" s="2945" t="str">
        <f t="shared" si="187"/>
        <v/>
      </c>
      <c r="GY662" s="2945" t="str">
        <f t="shared" si="188"/>
        <v/>
      </c>
      <c r="GZ662" s="2945" t="str">
        <f t="shared" si="189"/>
        <v/>
      </c>
      <c r="HA662" s="2945" t="str">
        <f t="shared" si="190"/>
        <v/>
      </c>
      <c r="HB662" s="2945" t="str">
        <f t="shared" si="191"/>
        <v/>
      </c>
      <c r="HC662" s="2945" t="str">
        <f t="shared" si="192"/>
        <v/>
      </c>
      <c r="HD662" s="2945" t="str">
        <f t="shared" si="193"/>
        <v/>
      </c>
      <c r="HE662" s="2945" t="str">
        <f t="shared" si="194"/>
        <v/>
      </c>
      <c r="HF662" s="2945" t="str">
        <f t="shared" si="195"/>
        <v/>
      </c>
      <c r="HG662" s="2945" t="str">
        <f t="shared" si="196"/>
        <v/>
      </c>
      <c r="HH662" s="2945" t="str">
        <f t="shared" si="197"/>
        <v/>
      </c>
      <c r="HI662" s="2945" t="str">
        <f t="shared" si="198"/>
        <v/>
      </c>
      <c r="HJ662" s="2945" t="str">
        <f t="shared" si="199"/>
        <v/>
      </c>
      <c r="HK662" s="2945" t="str">
        <f t="shared" si="200"/>
        <v/>
      </c>
      <c r="HL662" s="2945" t="str">
        <f t="shared" si="201"/>
        <v/>
      </c>
      <c r="HM662" s="2945" t="str">
        <f t="shared" si="202"/>
        <v/>
      </c>
      <c r="HN662" s="2945" t="str">
        <f t="shared" si="203"/>
        <v/>
      </c>
      <c r="HO662" s="2945" t="str">
        <f t="shared" si="204"/>
        <v/>
      </c>
      <c r="HP662" s="2945" t="str">
        <f t="shared" si="205"/>
        <v/>
      </c>
      <c r="HQ662" s="2945" t="str">
        <f t="shared" si="206"/>
        <v/>
      </c>
      <c r="HR662" s="2945" t="str">
        <f t="shared" si="207"/>
        <v/>
      </c>
      <c r="HS662" s="2945" t="str">
        <f t="shared" si="208"/>
        <v/>
      </c>
      <c r="HT662" s="2945" t="str">
        <f t="shared" si="209"/>
        <v/>
      </c>
      <c r="HU662" s="2945" t="str">
        <f t="shared" si="210"/>
        <v/>
      </c>
      <c r="HV662" s="2945" t="str">
        <f t="shared" si="211"/>
        <v/>
      </c>
      <c r="HW662" s="2945" t="str">
        <f t="shared" si="212"/>
        <v/>
      </c>
      <c r="HX662" s="2945" t="str">
        <f t="shared" si="213"/>
        <v/>
      </c>
      <c r="HY662" s="2945" t="str">
        <f t="shared" si="214"/>
        <v/>
      </c>
      <c r="HZ662" s="2945" t="str">
        <f t="shared" si="215"/>
        <v/>
      </c>
      <c r="IA662" s="2945" t="str">
        <f t="shared" si="216"/>
        <v/>
      </c>
      <c r="IB662" s="2945" t="str">
        <f t="shared" si="217"/>
        <v/>
      </c>
      <c r="IC662" s="2911" t="str">
        <f t="shared" si="218"/>
        <v/>
      </c>
      <c r="ID662" s="2911" t="str">
        <f t="shared" si="219"/>
        <v/>
      </c>
      <c r="IE662" s="2911" t="str">
        <f t="shared" si="220"/>
        <v/>
      </c>
      <c r="IF662" s="2911" t="str">
        <f t="shared" si="221"/>
        <v/>
      </c>
      <c r="IG662" s="2911" t="str">
        <f t="shared" si="222"/>
        <v/>
      </c>
      <c r="IH662" s="926" t="str">
        <f t="shared" si="223"/>
        <v/>
      </c>
      <c r="II662" s="926" t="str">
        <f t="shared" si="224"/>
        <v/>
      </c>
      <c r="IJ662" s="926" t="str">
        <f t="shared" si="225"/>
        <v/>
      </c>
      <c r="IK662" s="926" t="str">
        <f t="shared" si="226"/>
        <v/>
      </c>
      <c r="IL662" s="926" t="str">
        <f t="shared" si="227"/>
        <v/>
      </c>
      <c r="IM662" s="926" t="str">
        <f t="shared" si="228"/>
        <v/>
      </c>
      <c r="IN662" s="926" t="str">
        <f t="shared" si="229"/>
        <v/>
      </c>
      <c r="IO662" s="926" t="str">
        <f t="shared" si="230"/>
        <v/>
      </c>
      <c r="IP662" s="926" t="str">
        <f t="shared" si="231"/>
        <v/>
      </c>
      <c r="IQ662" s="926" t="str">
        <f t="shared" si="232"/>
        <v/>
      </c>
      <c r="IR662" s="926" t="str">
        <f t="shared" si="233"/>
        <v/>
      </c>
      <c r="IS662" s="926" t="str">
        <f t="shared" si="234"/>
        <v/>
      </c>
      <c r="IT662" s="926" t="str">
        <f t="shared" si="235"/>
        <v/>
      </c>
      <c r="IU662" s="926" t="str">
        <f t="shared" si="236"/>
        <v/>
      </c>
      <c r="IV662" s="926" t="str">
        <f t="shared" si="237"/>
        <v/>
      </c>
      <c r="IW662" s="926" t="str">
        <f t="shared" si="238"/>
        <v/>
      </c>
      <c r="IX662" s="926" t="str">
        <f t="shared" si="239"/>
        <v/>
      </c>
      <c r="IY662" s="926" t="str">
        <f t="shared" si="240"/>
        <v/>
      </c>
      <c r="IZ662" s="926" t="str">
        <f t="shared" si="241"/>
        <v/>
      </c>
      <c r="JA662" s="926" t="str">
        <f t="shared" si="242"/>
        <v/>
      </c>
      <c r="JB662" s="2909">
        <f t="shared" si="243"/>
        <v>0</v>
      </c>
      <c r="JC662" s="2909">
        <f t="shared" si="244"/>
        <v>0</v>
      </c>
      <c r="JD662" s="2909">
        <f t="shared" si="245"/>
        <v>0</v>
      </c>
      <c r="JE662" s="2909">
        <f t="shared" si="246"/>
        <v>0</v>
      </c>
      <c r="JF662" s="2909">
        <f t="shared" si="247"/>
        <v>0</v>
      </c>
      <c r="JG662" s="2909">
        <f t="shared" si="248"/>
        <v>0</v>
      </c>
      <c r="JH662" s="2909">
        <f t="shared" si="249"/>
        <v>0</v>
      </c>
      <c r="JI662" s="2909">
        <f t="shared" si="250"/>
        <v>0</v>
      </c>
      <c r="JJ662" s="2909">
        <f t="shared" si="251"/>
        <v>0</v>
      </c>
      <c r="JK662" s="2909">
        <f t="shared" si="252"/>
        <v>0</v>
      </c>
      <c r="JL662" s="2909">
        <f t="shared" si="253"/>
        <v>0</v>
      </c>
      <c r="JM662" s="2909">
        <f t="shared" si="254"/>
        <v>0</v>
      </c>
      <c r="JN662" s="2909">
        <f t="shared" si="255"/>
        <v>0</v>
      </c>
      <c r="JO662" s="2909">
        <f t="shared" si="256"/>
        <v>0</v>
      </c>
      <c r="JP662" s="2909">
        <f t="shared" si="257"/>
        <v>0</v>
      </c>
    </row>
    <row r="663" spans="1:277" ht="12" customHeight="1">
      <c r="A663" s="2924" t="str">
        <f t="shared" si="0"/>
        <v/>
      </c>
      <c r="B663" s="2936" t="str">
        <f>'Part VI-Revenues &amp; Expenses'!B43</f>
        <v>&lt;&lt;Select&gt;&gt;</v>
      </c>
      <c r="C663" s="2937">
        <f>'Part VI-Revenues &amp; Expenses'!C43</f>
        <v>0</v>
      </c>
      <c r="D663" s="2938">
        <f>'Part VI-Revenues &amp; Expenses'!D43</f>
        <v>0</v>
      </c>
      <c r="E663" s="2939">
        <f>'Part VI-Revenues &amp; Expenses'!E43</f>
        <v>0</v>
      </c>
      <c r="F663" s="2939">
        <f>'Part VI-Revenues &amp; Expenses'!F43</f>
        <v>0</v>
      </c>
      <c r="G663" s="2939">
        <f>'Part VI-Revenues &amp; Expenses'!G43</f>
        <v>0</v>
      </c>
      <c r="H663" s="2939">
        <f>'Part VI-Revenues &amp; Expenses'!H43</f>
        <v>0</v>
      </c>
      <c r="I663" s="2939">
        <f>'Part VI-Revenues &amp; Expenses'!I43</f>
        <v>0</v>
      </c>
      <c r="J663" s="2940">
        <f>'Part VI-Revenues &amp; Expenses'!J43</f>
        <v>0</v>
      </c>
      <c r="K663" s="2941">
        <f t="shared" si="1"/>
        <v>0</v>
      </c>
      <c r="L663" s="2941">
        <f t="shared" si="2"/>
        <v>0</v>
      </c>
      <c r="M663" s="2918">
        <f>'Part VI-Revenues &amp; Expenses'!M43</f>
        <v>0</v>
      </c>
      <c r="N663" s="2918">
        <f>'Part VI-Revenues &amp; Expenses'!N43</f>
        <v>0</v>
      </c>
      <c r="O663" s="2918">
        <f>'Part VI-Revenues &amp; Expenses'!O43</f>
        <v>0</v>
      </c>
      <c r="P663" s="2918">
        <f>'Part VI-Revenues &amp; Expenses'!P43</f>
        <v>0</v>
      </c>
      <c r="Q663" s="2942">
        <f>IF(H663="","",P663/($O$626*VLOOKUP(C663,'DCA Underwriting Assumptions'!$J$118:$K$123,2,FALSE)))</f>
        <v>0</v>
      </c>
      <c r="R663" s="2943"/>
      <c r="S663" s="2942"/>
      <c r="T663" s="2944"/>
      <c r="U663" s="2944"/>
      <c r="V663" s="926" t="str">
        <f t="shared" si="3"/>
        <v/>
      </c>
      <c r="W663" s="926" t="str">
        <f t="shared" si="4"/>
        <v/>
      </c>
      <c r="X663" s="926" t="str">
        <f t="shared" si="5"/>
        <v/>
      </c>
      <c r="Y663" s="926" t="str">
        <f t="shared" si="6"/>
        <v/>
      </c>
      <c r="Z663" s="926" t="str">
        <f t="shared" si="7"/>
        <v/>
      </c>
      <c r="AA663" s="926" t="str">
        <f t="shared" si="8"/>
        <v/>
      </c>
      <c r="AB663" s="926" t="str">
        <f t="shared" si="9"/>
        <v/>
      </c>
      <c r="AC663" s="926" t="str">
        <f t="shared" si="10"/>
        <v/>
      </c>
      <c r="AD663" s="926" t="str">
        <f t="shared" si="11"/>
        <v/>
      </c>
      <c r="AE663" s="926" t="str">
        <f t="shared" si="12"/>
        <v/>
      </c>
      <c r="AF663" s="926" t="str">
        <f t="shared" si="13"/>
        <v/>
      </c>
      <c r="AG663" s="926" t="str">
        <f t="shared" si="14"/>
        <v/>
      </c>
      <c r="AH663" s="926" t="str">
        <f t="shared" si="15"/>
        <v/>
      </c>
      <c r="AI663" s="926" t="str">
        <f t="shared" si="16"/>
        <v/>
      </c>
      <c r="AJ663" s="926" t="str">
        <f t="shared" si="17"/>
        <v/>
      </c>
      <c r="AK663" s="926" t="str">
        <f t="shared" si="18"/>
        <v/>
      </c>
      <c r="AL663" s="926" t="str">
        <f t="shared" si="19"/>
        <v/>
      </c>
      <c r="AM663" s="926" t="str">
        <f t="shared" si="20"/>
        <v/>
      </c>
      <c r="AN663" s="926" t="str">
        <f t="shared" si="21"/>
        <v/>
      </c>
      <c r="AO663" s="926" t="str">
        <f t="shared" si="22"/>
        <v/>
      </c>
      <c r="AP663" s="926" t="str">
        <f t="shared" si="23"/>
        <v/>
      </c>
      <c r="AQ663" s="926" t="str">
        <f t="shared" si="24"/>
        <v/>
      </c>
      <c r="AR663" s="926" t="str">
        <f t="shared" si="25"/>
        <v/>
      </c>
      <c r="AS663" s="926" t="str">
        <f t="shared" si="26"/>
        <v/>
      </c>
      <c r="AT663" s="926" t="str">
        <f t="shared" si="27"/>
        <v/>
      </c>
      <c r="AU663" s="926" t="str">
        <f t="shared" si="28"/>
        <v/>
      </c>
      <c r="AV663" s="926" t="str">
        <f t="shared" si="29"/>
        <v/>
      </c>
      <c r="AW663" s="926" t="str">
        <f t="shared" si="30"/>
        <v/>
      </c>
      <c r="AX663" s="926" t="str">
        <f t="shared" si="31"/>
        <v/>
      </c>
      <c r="AY663" s="926" t="str">
        <f t="shared" si="32"/>
        <v/>
      </c>
      <c r="AZ663" s="926" t="str">
        <f t="shared" si="33"/>
        <v/>
      </c>
      <c r="BA663" s="926" t="str">
        <f t="shared" si="34"/>
        <v/>
      </c>
      <c r="BB663" s="926" t="str">
        <f t="shared" si="35"/>
        <v/>
      </c>
      <c r="BC663" s="926" t="str">
        <f t="shared" si="36"/>
        <v/>
      </c>
      <c r="BD663" s="926" t="str">
        <f t="shared" si="37"/>
        <v/>
      </c>
      <c r="BE663" s="926" t="str">
        <f t="shared" si="38"/>
        <v/>
      </c>
      <c r="BF663" s="926" t="str">
        <f t="shared" si="39"/>
        <v/>
      </c>
      <c r="BG663" s="926" t="str">
        <f t="shared" si="40"/>
        <v/>
      </c>
      <c r="BH663" s="926" t="str">
        <f t="shared" si="41"/>
        <v/>
      </c>
      <c r="BI663" s="926" t="str">
        <f t="shared" si="42"/>
        <v/>
      </c>
      <c r="BJ663" s="926" t="str">
        <f t="shared" si="43"/>
        <v/>
      </c>
      <c r="BK663" s="926" t="str">
        <f t="shared" si="44"/>
        <v/>
      </c>
      <c r="BL663" s="926" t="str">
        <f t="shared" si="45"/>
        <v/>
      </c>
      <c r="BM663" s="926" t="str">
        <f t="shared" si="46"/>
        <v/>
      </c>
      <c r="BN663" s="926" t="str">
        <f t="shared" si="47"/>
        <v/>
      </c>
      <c r="BO663" s="926" t="str">
        <f t="shared" si="48"/>
        <v/>
      </c>
      <c r="BP663" s="926" t="str">
        <f t="shared" si="49"/>
        <v/>
      </c>
      <c r="BQ663" s="926" t="str">
        <f t="shared" si="50"/>
        <v/>
      </c>
      <c r="BR663" s="926" t="str">
        <f t="shared" si="51"/>
        <v/>
      </c>
      <c r="BS663" s="926" t="str">
        <f t="shared" si="52"/>
        <v/>
      </c>
      <c r="BT663" s="926" t="str">
        <f t="shared" si="53"/>
        <v/>
      </c>
      <c r="BU663" s="926" t="str">
        <f t="shared" si="54"/>
        <v/>
      </c>
      <c r="BV663" s="926" t="str">
        <f t="shared" si="55"/>
        <v/>
      </c>
      <c r="BW663" s="926" t="str">
        <f t="shared" si="56"/>
        <v/>
      </c>
      <c r="BX663" s="926" t="str">
        <f t="shared" si="57"/>
        <v/>
      </c>
      <c r="BY663" s="926" t="str">
        <f t="shared" si="58"/>
        <v/>
      </c>
      <c r="BZ663" s="926" t="str">
        <f t="shared" si="59"/>
        <v/>
      </c>
      <c r="CA663" s="926" t="str">
        <f t="shared" si="60"/>
        <v/>
      </c>
      <c r="CB663" s="926" t="str">
        <f t="shared" si="61"/>
        <v/>
      </c>
      <c r="CC663" s="926" t="str">
        <f t="shared" si="62"/>
        <v/>
      </c>
      <c r="CD663" s="926" t="str">
        <f t="shared" si="63"/>
        <v/>
      </c>
      <c r="CE663" s="926" t="str">
        <f t="shared" si="64"/>
        <v/>
      </c>
      <c r="CF663" s="926" t="str">
        <f t="shared" si="65"/>
        <v/>
      </c>
      <c r="CG663" s="926" t="str">
        <f t="shared" si="66"/>
        <v/>
      </c>
      <c r="CH663" s="926" t="str">
        <f t="shared" si="67"/>
        <v/>
      </c>
      <c r="CI663" s="926" t="str">
        <f t="shared" si="68"/>
        <v/>
      </c>
      <c r="CJ663" s="926" t="str">
        <f t="shared" si="69"/>
        <v/>
      </c>
      <c r="CK663" s="926" t="str">
        <f t="shared" si="70"/>
        <v/>
      </c>
      <c r="CL663" s="926" t="str">
        <f t="shared" si="71"/>
        <v/>
      </c>
      <c r="CM663" s="926" t="str">
        <f t="shared" si="72"/>
        <v/>
      </c>
      <c r="CN663" s="926" t="str">
        <f t="shared" si="73"/>
        <v/>
      </c>
      <c r="CO663" s="926" t="str">
        <f t="shared" si="74"/>
        <v/>
      </c>
      <c r="CP663" s="926" t="str">
        <f t="shared" si="75"/>
        <v/>
      </c>
      <c r="CQ663" s="926" t="str">
        <f t="shared" si="76"/>
        <v/>
      </c>
      <c r="CR663" s="926" t="str">
        <f t="shared" si="77"/>
        <v/>
      </c>
      <c r="CS663" s="926" t="str">
        <f t="shared" si="78"/>
        <v/>
      </c>
      <c r="CT663" s="926" t="str">
        <f t="shared" si="79"/>
        <v/>
      </c>
      <c r="CU663" s="926" t="str">
        <f t="shared" si="80"/>
        <v/>
      </c>
      <c r="CV663" s="926" t="str">
        <f t="shared" si="81"/>
        <v/>
      </c>
      <c r="CW663" s="926" t="str">
        <f t="shared" si="82"/>
        <v/>
      </c>
      <c r="CX663" s="926" t="str">
        <f t="shared" si="83"/>
        <v/>
      </c>
      <c r="CY663" s="926" t="str">
        <f t="shared" si="84"/>
        <v/>
      </c>
      <c r="CZ663" s="926" t="str">
        <f t="shared" si="85"/>
        <v/>
      </c>
      <c r="DA663" s="926" t="str">
        <f t="shared" si="86"/>
        <v/>
      </c>
      <c r="DB663" s="926" t="str">
        <f t="shared" si="87"/>
        <v/>
      </c>
      <c r="DC663" s="926" t="str">
        <f t="shared" si="88"/>
        <v/>
      </c>
      <c r="DD663" s="926" t="str">
        <f t="shared" si="89"/>
        <v/>
      </c>
      <c r="DE663" s="926" t="str">
        <f t="shared" si="90"/>
        <v/>
      </c>
      <c r="DF663" s="926" t="str">
        <f t="shared" si="91"/>
        <v/>
      </c>
      <c r="DG663" s="926" t="str">
        <f t="shared" si="92"/>
        <v/>
      </c>
      <c r="DH663" s="926" t="str">
        <f t="shared" si="93"/>
        <v/>
      </c>
      <c r="DI663" s="926" t="str">
        <f t="shared" si="94"/>
        <v/>
      </c>
      <c r="DJ663" s="926" t="str">
        <f t="shared" si="95"/>
        <v/>
      </c>
      <c r="DK663" s="926" t="str">
        <f t="shared" si="96"/>
        <v/>
      </c>
      <c r="DL663" s="926" t="str">
        <f t="shared" si="97"/>
        <v/>
      </c>
      <c r="DM663" s="926" t="str">
        <f t="shared" si="98"/>
        <v/>
      </c>
      <c r="DN663" s="926" t="str">
        <f t="shared" si="99"/>
        <v/>
      </c>
      <c r="DO663" s="926" t="str">
        <f t="shared" si="100"/>
        <v/>
      </c>
      <c r="DP663" s="926" t="str">
        <f t="shared" si="101"/>
        <v/>
      </c>
      <c r="DQ663" s="926" t="str">
        <f t="shared" si="102"/>
        <v/>
      </c>
      <c r="DR663" s="926" t="str">
        <f t="shared" si="103"/>
        <v/>
      </c>
      <c r="DS663" s="926" t="str">
        <f t="shared" si="104"/>
        <v/>
      </c>
      <c r="DT663" s="926" t="str">
        <f t="shared" si="105"/>
        <v/>
      </c>
      <c r="DU663" s="926" t="str">
        <f t="shared" si="106"/>
        <v/>
      </c>
      <c r="DV663" s="926" t="str">
        <f t="shared" si="107"/>
        <v/>
      </c>
      <c r="DW663" s="926" t="str">
        <f t="shared" si="108"/>
        <v/>
      </c>
      <c r="DX663" s="926" t="str">
        <f t="shared" si="109"/>
        <v/>
      </c>
      <c r="DY663" s="926" t="str">
        <f t="shared" si="110"/>
        <v/>
      </c>
      <c r="DZ663" s="926" t="str">
        <f t="shared" si="111"/>
        <v/>
      </c>
      <c r="EA663" s="926" t="str">
        <f t="shared" si="112"/>
        <v/>
      </c>
      <c r="EB663" s="926" t="str">
        <f t="shared" si="113"/>
        <v/>
      </c>
      <c r="EC663" s="926" t="str">
        <f t="shared" si="114"/>
        <v/>
      </c>
      <c r="ED663" s="926" t="str">
        <f t="shared" si="115"/>
        <v/>
      </c>
      <c r="EE663" s="926" t="str">
        <f t="shared" si="116"/>
        <v/>
      </c>
      <c r="EF663" s="926" t="str">
        <f t="shared" si="117"/>
        <v/>
      </c>
      <c r="EG663" s="926" t="str">
        <f t="shared" si="118"/>
        <v/>
      </c>
      <c r="EH663" s="926" t="str">
        <f t="shared" si="119"/>
        <v/>
      </c>
      <c r="EI663" s="926" t="str">
        <f t="shared" si="120"/>
        <v/>
      </c>
      <c r="EJ663" s="926" t="str">
        <f t="shared" si="121"/>
        <v/>
      </c>
      <c r="EK663" s="926" t="str">
        <f t="shared" si="122"/>
        <v/>
      </c>
      <c r="EL663" s="926" t="str">
        <f t="shared" si="123"/>
        <v/>
      </c>
      <c r="EM663" s="926" t="str">
        <f t="shared" si="124"/>
        <v/>
      </c>
      <c r="EN663" s="926" t="str">
        <f t="shared" si="125"/>
        <v/>
      </c>
      <c r="EO663" s="926" t="str">
        <f t="shared" si="126"/>
        <v/>
      </c>
      <c r="EP663" s="926" t="str">
        <f t="shared" si="127"/>
        <v/>
      </c>
      <c r="EQ663" s="926" t="str">
        <f t="shared" si="128"/>
        <v/>
      </c>
      <c r="ER663" s="926" t="str">
        <f t="shared" si="129"/>
        <v/>
      </c>
      <c r="ES663" s="926" t="str">
        <f t="shared" si="130"/>
        <v/>
      </c>
      <c r="ET663" s="926" t="str">
        <f t="shared" si="131"/>
        <v/>
      </c>
      <c r="EU663" s="926" t="str">
        <f t="shared" si="132"/>
        <v/>
      </c>
      <c r="EV663" s="2945" t="str">
        <f t="shared" si="133"/>
        <v/>
      </c>
      <c r="EW663" s="2945" t="str">
        <f t="shared" si="134"/>
        <v/>
      </c>
      <c r="EX663" s="2945" t="str">
        <f t="shared" si="135"/>
        <v/>
      </c>
      <c r="EY663" s="2945" t="str">
        <f t="shared" si="136"/>
        <v/>
      </c>
      <c r="EZ663" s="2945" t="str">
        <f t="shared" si="137"/>
        <v/>
      </c>
      <c r="FA663" s="2945" t="str">
        <f t="shared" si="138"/>
        <v/>
      </c>
      <c r="FB663" s="2945" t="str">
        <f t="shared" si="139"/>
        <v/>
      </c>
      <c r="FC663" s="2945" t="str">
        <f t="shared" si="140"/>
        <v/>
      </c>
      <c r="FD663" s="2945" t="str">
        <f t="shared" si="141"/>
        <v/>
      </c>
      <c r="FE663" s="2945" t="str">
        <f t="shared" si="142"/>
        <v/>
      </c>
      <c r="FF663" s="2945" t="str">
        <f t="shared" si="143"/>
        <v/>
      </c>
      <c r="FG663" s="2945" t="str">
        <f t="shared" si="144"/>
        <v/>
      </c>
      <c r="FH663" s="2945" t="str">
        <f t="shared" si="145"/>
        <v/>
      </c>
      <c r="FI663" s="2945" t="str">
        <f t="shared" si="146"/>
        <v/>
      </c>
      <c r="FJ663" s="2945" t="str">
        <f t="shared" si="147"/>
        <v/>
      </c>
      <c r="FK663" s="2945" t="str">
        <f t="shared" si="148"/>
        <v/>
      </c>
      <c r="FL663" s="2945" t="str">
        <f t="shared" si="149"/>
        <v/>
      </c>
      <c r="FM663" s="2945" t="str">
        <f t="shared" si="150"/>
        <v/>
      </c>
      <c r="FN663" s="2945" t="str">
        <f t="shared" si="151"/>
        <v/>
      </c>
      <c r="FO663" s="2945" t="str">
        <f t="shared" si="152"/>
        <v/>
      </c>
      <c r="FP663" s="2945" t="str">
        <f t="shared" si="153"/>
        <v/>
      </c>
      <c r="FQ663" s="2945" t="str">
        <f t="shared" si="154"/>
        <v/>
      </c>
      <c r="FR663" s="2945" t="str">
        <f t="shared" si="155"/>
        <v/>
      </c>
      <c r="FS663" s="2945" t="str">
        <f t="shared" si="156"/>
        <v/>
      </c>
      <c r="FT663" s="2945" t="str">
        <f t="shared" si="157"/>
        <v/>
      </c>
      <c r="FU663" s="2945" t="str">
        <f t="shared" si="158"/>
        <v/>
      </c>
      <c r="FV663" s="2945" t="str">
        <f t="shared" si="159"/>
        <v/>
      </c>
      <c r="FW663" s="2945" t="str">
        <f t="shared" si="160"/>
        <v/>
      </c>
      <c r="FX663" s="2945" t="str">
        <f t="shared" si="161"/>
        <v/>
      </c>
      <c r="FY663" s="2945" t="str">
        <f t="shared" si="162"/>
        <v/>
      </c>
      <c r="FZ663" s="2945" t="str">
        <f t="shared" si="163"/>
        <v/>
      </c>
      <c r="GA663" s="2945" t="str">
        <f t="shared" si="164"/>
        <v/>
      </c>
      <c r="GB663" s="2945" t="str">
        <f t="shared" si="165"/>
        <v/>
      </c>
      <c r="GC663" s="2945" t="str">
        <f t="shared" si="166"/>
        <v/>
      </c>
      <c r="GD663" s="2945" t="str">
        <f t="shared" si="167"/>
        <v/>
      </c>
      <c r="GE663" s="2945" t="str">
        <f t="shared" si="168"/>
        <v/>
      </c>
      <c r="GF663" s="2945" t="str">
        <f t="shared" si="169"/>
        <v/>
      </c>
      <c r="GG663" s="2945" t="str">
        <f t="shared" si="170"/>
        <v/>
      </c>
      <c r="GH663" s="2945" t="str">
        <f t="shared" si="171"/>
        <v/>
      </c>
      <c r="GI663" s="2945" t="str">
        <f t="shared" si="172"/>
        <v/>
      </c>
      <c r="GJ663" s="2945" t="str">
        <f t="shared" si="173"/>
        <v/>
      </c>
      <c r="GK663" s="2945" t="str">
        <f t="shared" si="174"/>
        <v/>
      </c>
      <c r="GL663" s="2945" t="str">
        <f t="shared" si="175"/>
        <v/>
      </c>
      <c r="GM663" s="2945" t="str">
        <f t="shared" si="176"/>
        <v/>
      </c>
      <c r="GN663" s="2945" t="str">
        <f t="shared" si="177"/>
        <v/>
      </c>
      <c r="GO663" s="2945" t="str">
        <f t="shared" si="178"/>
        <v/>
      </c>
      <c r="GP663" s="2945" t="str">
        <f t="shared" si="179"/>
        <v/>
      </c>
      <c r="GQ663" s="2945" t="str">
        <f t="shared" si="180"/>
        <v/>
      </c>
      <c r="GR663" s="2945" t="str">
        <f t="shared" si="181"/>
        <v/>
      </c>
      <c r="GS663" s="2945" t="str">
        <f t="shared" si="182"/>
        <v/>
      </c>
      <c r="GT663" s="2945" t="str">
        <f t="shared" si="183"/>
        <v/>
      </c>
      <c r="GU663" s="2945" t="str">
        <f t="shared" si="184"/>
        <v/>
      </c>
      <c r="GV663" s="2945" t="str">
        <f t="shared" si="185"/>
        <v/>
      </c>
      <c r="GW663" s="2945" t="str">
        <f t="shared" si="186"/>
        <v/>
      </c>
      <c r="GX663" s="2945" t="str">
        <f t="shared" si="187"/>
        <v/>
      </c>
      <c r="GY663" s="2945" t="str">
        <f t="shared" si="188"/>
        <v/>
      </c>
      <c r="GZ663" s="2945" t="str">
        <f t="shared" si="189"/>
        <v/>
      </c>
      <c r="HA663" s="2945" t="str">
        <f t="shared" si="190"/>
        <v/>
      </c>
      <c r="HB663" s="2945" t="str">
        <f t="shared" si="191"/>
        <v/>
      </c>
      <c r="HC663" s="2945" t="str">
        <f t="shared" si="192"/>
        <v/>
      </c>
      <c r="HD663" s="2945" t="str">
        <f t="shared" si="193"/>
        <v/>
      </c>
      <c r="HE663" s="2945" t="str">
        <f t="shared" si="194"/>
        <v/>
      </c>
      <c r="HF663" s="2945" t="str">
        <f t="shared" si="195"/>
        <v/>
      </c>
      <c r="HG663" s="2945" t="str">
        <f t="shared" si="196"/>
        <v/>
      </c>
      <c r="HH663" s="2945" t="str">
        <f t="shared" si="197"/>
        <v/>
      </c>
      <c r="HI663" s="2945" t="str">
        <f t="shared" si="198"/>
        <v/>
      </c>
      <c r="HJ663" s="2945" t="str">
        <f t="shared" si="199"/>
        <v/>
      </c>
      <c r="HK663" s="2945" t="str">
        <f t="shared" si="200"/>
        <v/>
      </c>
      <c r="HL663" s="2945" t="str">
        <f t="shared" si="201"/>
        <v/>
      </c>
      <c r="HM663" s="2945" t="str">
        <f t="shared" si="202"/>
        <v/>
      </c>
      <c r="HN663" s="2945" t="str">
        <f t="shared" si="203"/>
        <v/>
      </c>
      <c r="HO663" s="2945" t="str">
        <f t="shared" si="204"/>
        <v/>
      </c>
      <c r="HP663" s="2945" t="str">
        <f t="shared" si="205"/>
        <v/>
      </c>
      <c r="HQ663" s="2945" t="str">
        <f t="shared" si="206"/>
        <v/>
      </c>
      <c r="HR663" s="2945" t="str">
        <f t="shared" si="207"/>
        <v/>
      </c>
      <c r="HS663" s="2945" t="str">
        <f t="shared" si="208"/>
        <v/>
      </c>
      <c r="HT663" s="2945" t="str">
        <f t="shared" si="209"/>
        <v/>
      </c>
      <c r="HU663" s="2945" t="str">
        <f t="shared" si="210"/>
        <v/>
      </c>
      <c r="HV663" s="2945" t="str">
        <f t="shared" si="211"/>
        <v/>
      </c>
      <c r="HW663" s="2945" t="str">
        <f t="shared" si="212"/>
        <v/>
      </c>
      <c r="HX663" s="2945" t="str">
        <f t="shared" si="213"/>
        <v/>
      </c>
      <c r="HY663" s="2945" t="str">
        <f t="shared" si="214"/>
        <v/>
      </c>
      <c r="HZ663" s="2945" t="str">
        <f t="shared" si="215"/>
        <v/>
      </c>
      <c r="IA663" s="2945" t="str">
        <f t="shared" si="216"/>
        <v/>
      </c>
      <c r="IB663" s="2945" t="str">
        <f t="shared" si="217"/>
        <v/>
      </c>
      <c r="IC663" s="2911" t="str">
        <f t="shared" si="218"/>
        <v/>
      </c>
      <c r="ID663" s="2911" t="str">
        <f t="shared" si="219"/>
        <v/>
      </c>
      <c r="IE663" s="2911" t="str">
        <f t="shared" si="220"/>
        <v/>
      </c>
      <c r="IF663" s="2911" t="str">
        <f t="shared" si="221"/>
        <v/>
      </c>
      <c r="IG663" s="2911" t="str">
        <f t="shared" si="222"/>
        <v/>
      </c>
      <c r="IH663" s="926" t="str">
        <f t="shared" si="223"/>
        <v/>
      </c>
      <c r="II663" s="926" t="str">
        <f t="shared" si="224"/>
        <v/>
      </c>
      <c r="IJ663" s="926" t="str">
        <f t="shared" si="225"/>
        <v/>
      </c>
      <c r="IK663" s="926" t="str">
        <f t="shared" si="226"/>
        <v/>
      </c>
      <c r="IL663" s="926" t="str">
        <f t="shared" si="227"/>
        <v/>
      </c>
      <c r="IM663" s="926" t="str">
        <f t="shared" si="228"/>
        <v/>
      </c>
      <c r="IN663" s="926" t="str">
        <f t="shared" si="229"/>
        <v/>
      </c>
      <c r="IO663" s="926" t="str">
        <f t="shared" si="230"/>
        <v/>
      </c>
      <c r="IP663" s="926" t="str">
        <f t="shared" si="231"/>
        <v/>
      </c>
      <c r="IQ663" s="926" t="str">
        <f t="shared" si="232"/>
        <v/>
      </c>
      <c r="IR663" s="926" t="str">
        <f t="shared" si="233"/>
        <v/>
      </c>
      <c r="IS663" s="926" t="str">
        <f t="shared" si="234"/>
        <v/>
      </c>
      <c r="IT663" s="926" t="str">
        <f t="shared" si="235"/>
        <v/>
      </c>
      <c r="IU663" s="926" t="str">
        <f t="shared" si="236"/>
        <v/>
      </c>
      <c r="IV663" s="926" t="str">
        <f t="shared" si="237"/>
        <v/>
      </c>
      <c r="IW663" s="926" t="str">
        <f t="shared" si="238"/>
        <v/>
      </c>
      <c r="IX663" s="926" t="str">
        <f t="shared" si="239"/>
        <v/>
      </c>
      <c r="IY663" s="926" t="str">
        <f t="shared" si="240"/>
        <v/>
      </c>
      <c r="IZ663" s="926" t="str">
        <f t="shared" si="241"/>
        <v/>
      </c>
      <c r="JA663" s="926" t="str">
        <f t="shared" si="242"/>
        <v/>
      </c>
      <c r="JB663" s="2909">
        <f t="shared" si="243"/>
        <v>0</v>
      </c>
      <c r="JC663" s="2909">
        <f t="shared" si="244"/>
        <v>0</v>
      </c>
      <c r="JD663" s="2909">
        <f t="shared" si="245"/>
        <v>0</v>
      </c>
      <c r="JE663" s="2909">
        <f t="shared" si="246"/>
        <v>0</v>
      </c>
      <c r="JF663" s="2909">
        <f t="shared" si="247"/>
        <v>0</v>
      </c>
      <c r="JG663" s="2909">
        <f t="shared" si="248"/>
        <v>0</v>
      </c>
      <c r="JH663" s="2909">
        <f t="shared" si="249"/>
        <v>0</v>
      </c>
      <c r="JI663" s="2909">
        <f t="shared" si="250"/>
        <v>0</v>
      </c>
      <c r="JJ663" s="2909">
        <f t="shared" si="251"/>
        <v>0</v>
      </c>
      <c r="JK663" s="2909">
        <f t="shared" si="252"/>
        <v>0</v>
      </c>
      <c r="JL663" s="2909">
        <f t="shared" si="253"/>
        <v>0</v>
      </c>
      <c r="JM663" s="2909">
        <f t="shared" si="254"/>
        <v>0</v>
      </c>
      <c r="JN663" s="2909">
        <f t="shared" si="255"/>
        <v>0</v>
      </c>
      <c r="JO663" s="2909">
        <f t="shared" si="256"/>
        <v>0</v>
      </c>
      <c r="JP663" s="2909">
        <f t="shared" si="257"/>
        <v>0</v>
      </c>
    </row>
    <row r="664" spans="1:277" ht="12" customHeight="1">
      <c r="A664" s="2924" t="str">
        <f t="shared" si="0"/>
        <v/>
      </c>
      <c r="B664" s="2936" t="str">
        <f>'Part VI-Revenues &amp; Expenses'!B44</f>
        <v>&lt;&lt;Select&gt;&gt;</v>
      </c>
      <c r="C664" s="2937">
        <f>'Part VI-Revenues &amp; Expenses'!C44</f>
        <v>0</v>
      </c>
      <c r="D664" s="2938">
        <f>'Part VI-Revenues &amp; Expenses'!D44</f>
        <v>0</v>
      </c>
      <c r="E664" s="2939">
        <f>'Part VI-Revenues &amp; Expenses'!E44</f>
        <v>0</v>
      </c>
      <c r="F664" s="2939">
        <f>'Part VI-Revenues &amp; Expenses'!F44</f>
        <v>0</v>
      </c>
      <c r="G664" s="2939">
        <f>'Part VI-Revenues &amp; Expenses'!G44</f>
        <v>0</v>
      </c>
      <c r="H664" s="2939">
        <f>'Part VI-Revenues &amp; Expenses'!H44</f>
        <v>0</v>
      </c>
      <c r="I664" s="2939">
        <f>'Part VI-Revenues &amp; Expenses'!I44</f>
        <v>0</v>
      </c>
      <c r="J664" s="2940">
        <f>'Part VI-Revenues &amp; Expenses'!J44</f>
        <v>0</v>
      </c>
      <c r="K664" s="2941">
        <f t="shared" si="1"/>
        <v>0</v>
      </c>
      <c r="L664" s="2941">
        <f t="shared" si="2"/>
        <v>0</v>
      </c>
      <c r="M664" s="2918">
        <f>'Part VI-Revenues &amp; Expenses'!M44</f>
        <v>0</v>
      </c>
      <c r="N664" s="2918">
        <f>'Part VI-Revenues &amp; Expenses'!N44</f>
        <v>0</v>
      </c>
      <c r="O664" s="2918">
        <f>'Part VI-Revenues &amp; Expenses'!O44</f>
        <v>0</v>
      </c>
      <c r="P664" s="2918">
        <f>'Part VI-Revenues &amp; Expenses'!P44</f>
        <v>0</v>
      </c>
      <c r="Q664" s="2942">
        <f>IF(H664="","",P664/($O$626*VLOOKUP(C664,'DCA Underwriting Assumptions'!$J$118:$K$123,2,FALSE)))</f>
        <v>0</v>
      </c>
      <c r="R664" s="2943"/>
      <c r="S664" s="2942"/>
      <c r="T664" s="2944"/>
      <c r="U664" s="2944"/>
      <c r="V664" s="926" t="str">
        <f t="shared" si="3"/>
        <v/>
      </c>
      <c r="W664" s="926" t="str">
        <f t="shared" si="4"/>
        <v/>
      </c>
      <c r="X664" s="926" t="str">
        <f t="shared" si="5"/>
        <v/>
      </c>
      <c r="Y664" s="926" t="str">
        <f t="shared" si="6"/>
        <v/>
      </c>
      <c r="Z664" s="926" t="str">
        <f t="shared" si="7"/>
        <v/>
      </c>
      <c r="AA664" s="926" t="str">
        <f t="shared" si="8"/>
        <v/>
      </c>
      <c r="AB664" s="926" t="str">
        <f t="shared" si="9"/>
        <v/>
      </c>
      <c r="AC664" s="926" t="str">
        <f t="shared" si="10"/>
        <v/>
      </c>
      <c r="AD664" s="926" t="str">
        <f t="shared" si="11"/>
        <v/>
      </c>
      <c r="AE664" s="926" t="str">
        <f t="shared" si="12"/>
        <v/>
      </c>
      <c r="AF664" s="926" t="str">
        <f t="shared" si="13"/>
        <v/>
      </c>
      <c r="AG664" s="926" t="str">
        <f t="shared" si="14"/>
        <v/>
      </c>
      <c r="AH664" s="926" t="str">
        <f t="shared" si="15"/>
        <v/>
      </c>
      <c r="AI664" s="926" t="str">
        <f t="shared" si="16"/>
        <v/>
      </c>
      <c r="AJ664" s="926" t="str">
        <f t="shared" si="17"/>
        <v/>
      </c>
      <c r="AK664" s="926" t="str">
        <f t="shared" si="18"/>
        <v/>
      </c>
      <c r="AL664" s="926" t="str">
        <f t="shared" si="19"/>
        <v/>
      </c>
      <c r="AM664" s="926" t="str">
        <f t="shared" si="20"/>
        <v/>
      </c>
      <c r="AN664" s="926" t="str">
        <f t="shared" si="21"/>
        <v/>
      </c>
      <c r="AO664" s="926" t="str">
        <f t="shared" si="22"/>
        <v/>
      </c>
      <c r="AP664" s="926" t="str">
        <f t="shared" si="23"/>
        <v/>
      </c>
      <c r="AQ664" s="926" t="str">
        <f t="shared" si="24"/>
        <v/>
      </c>
      <c r="AR664" s="926" t="str">
        <f t="shared" si="25"/>
        <v/>
      </c>
      <c r="AS664" s="926" t="str">
        <f t="shared" si="26"/>
        <v/>
      </c>
      <c r="AT664" s="926" t="str">
        <f t="shared" si="27"/>
        <v/>
      </c>
      <c r="AU664" s="926" t="str">
        <f t="shared" si="28"/>
        <v/>
      </c>
      <c r="AV664" s="926" t="str">
        <f t="shared" si="29"/>
        <v/>
      </c>
      <c r="AW664" s="926" t="str">
        <f t="shared" si="30"/>
        <v/>
      </c>
      <c r="AX664" s="926" t="str">
        <f t="shared" si="31"/>
        <v/>
      </c>
      <c r="AY664" s="926" t="str">
        <f t="shared" si="32"/>
        <v/>
      </c>
      <c r="AZ664" s="926" t="str">
        <f t="shared" si="33"/>
        <v/>
      </c>
      <c r="BA664" s="926" t="str">
        <f t="shared" si="34"/>
        <v/>
      </c>
      <c r="BB664" s="926" t="str">
        <f t="shared" si="35"/>
        <v/>
      </c>
      <c r="BC664" s="926" t="str">
        <f t="shared" si="36"/>
        <v/>
      </c>
      <c r="BD664" s="926" t="str">
        <f t="shared" si="37"/>
        <v/>
      </c>
      <c r="BE664" s="926" t="str">
        <f t="shared" si="38"/>
        <v/>
      </c>
      <c r="BF664" s="926" t="str">
        <f t="shared" si="39"/>
        <v/>
      </c>
      <c r="BG664" s="926" t="str">
        <f t="shared" si="40"/>
        <v/>
      </c>
      <c r="BH664" s="926" t="str">
        <f t="shared" si="41"/>
        <v/>
      </c>
      <c r="BI664" s="926" t="str">
        <f t="shared" si="42"/>
        <v/>
      </c>
      <c r="BJ664" s="926" t="str">
        <f t="shared" si="43"/>
        <v/>
      </c>
      <c r="BK664" s="926" t="str">
        <f t="shared" si="44"/>
        <v/>
      </c>
      <c r="BL664" s="926" t="str">
        <f t="shared" si="45"/>
        <v/>
      </c>
      <c r="BM664" s="926" t="str">
        <f t="shared" si="46"/>
        <v/>
      </c>
      <c r="BN664" s="926" t="str">
        <f t="shared" si="47"/>
        <v/>
      </c>
      <c r="BO664" s="926" t="str">
        <f t="shared" si="48"/>
        <v/>
      </c>
      <c r="BP664" s="926" t="str">
        <f t="shared" si="49"/>
        <v/>
      </c>
      <c r="BQ664" s="926" t="str">
        <f t="shared" si="50"/>
        <v/>
      </c>
      <c r="BR664" s="926" t="str">
        <f t="shared" si="51"/>
        <v/>
      </c>
      <c r="BS664" s="926" t="str">
        <f t="shared" si="52"/>
        <v/>
      </c>
      <c r="BT664" s="926" t="str">
        <f t="shared" si="53"/>
        <v/>
      </c>
      <c r="BU664" s="926" t="str">
        <f t="shared" si="54"/>
        <v/>
      </c>
      <c r="BV664" s="926" t="str">
        <f t="shared" si="55"/>
        <v/>
      </c>
      <c r="BW664" s="926" t="str">
        <f t="shared" si="56"/>
        <v/>
      </c>
      <c r="BX664" s="926" t="str">
        <f t="shared" si="57"/>
        <v/>
      </c>
      <c r="BY664" s="926" t="str">
        <f t="shared" si="58"/>
        <v/>
      </c>
      <c r="BZ664" s="926" t="str">
        <f t="shared" si="59"/>
        <v/>
      </c>
      <c r="CA664" s="926" t="str">
        <f t="shared" si="60"/>
        <v/>
      </c>
      <c r="CB664" s="926" t="str">
        <f t="shared" si="61"/>
        <v/>
      </c>
      <c r="CC664" s="926" t="str">
        <f t="shared" si="62"/>
        <v/>
      </c>
      <c r="CD664" s="926" t="str">
        <f t="shared" si="63"/>
        <v/>
      </c>
      <c r="CE664" s="926" t="str">
        <f t="shared" si="64"/>
        <v/>
      </c>
      <c r="CF664" s="926" t="str">
        <f t="shared" si="65"/>
        <v/>
      </c>
      <c r="CG664" s="926" t="str">
        <f t="shared" si="66"/>
        <v/>
      </c>
      <c r="CH664" s="926" t="str">
        <f t="shared" si="67"/>
        <v/>
      </c>
      <c r="CI664" s="926" t="str">
        <f t="shared" si="68"/>
        <v/>
      </c>
      <c r="CJ664" s="926" t="str">
        <f t="shared" si="69"/>
        <v/>
      </c>
      <c r="CK664" s="926" t="str">
        <f t="shared" si="70"/>
        <v/>
      </c>
      <c r="CL664" s="926" t="str">
        <f t="shared" si="71"/>
        <v/>
      </c>
      <c r="CM664" s="926" t="str">
        <f t="shared" si="72"/>
        <v/>
      </c>
      <c r="CN664" s="926" t="str">
        <f t="shared" si="73"/>
        <v/>
      </c>
      <c r="CO664" s="926" t="str">
        <f t="shared" si="74"/>
        <v/>
      </c>
      <c r="CP664" s="926" t="str">
        <f t="shared" si="75"/>
        <v/>
      </c>
      <c r="CQ664" s="926" t="str">
        <f t="shared" si="76"/>
        <v/>
      </c>
      <c r="CR664" s="926" t="str">
        <f t="shared" si="77"/>
        <v/>
      </c>
      <c r="CS664" s="926" t="str">
        <f t="shared" si="78"/>
        <v/>
      </c>
      <c r="CT664" s="926" t="str">
        <f t="shared" si="79"/>
        <v/>
      </c>
      <c r="CU664" s="926" t="str">
        <f t="shared" si="80"/>
        <v/>
      </c>
      <c r="CV664" s="926" t="str">
        <f t="shared" si="81"/>
        <v/>
      </c>
      <c r="CW664" s="926" t="str">
        <f t="shared" si="82"/>
        <v/>
      </c>
      <c r="CX664" s="926" t="str">
        <f t="shared" si="83"/>
        <v/>
      </c>
      <c r="CY664" s="926" t="str">
        <f t="shared" si="84"/>
        <v/>
      </c>
      <c r="CZ664" s="926" t="str">
        <f t="shared" si="85"/>
        <v/>
      </c>
      <c r="DA664" s="926" t="str">
        <f t="shared" si="86"/>
        <v/>
      </c>
      <c r="DB664" s="926" t="str">
        <f t="shared" si="87"/>
        <v/>
      </c>
      <c r="DC664" s="926" t="str">
        <f t="shared" si="88"/>
        <v/>
      </c>
      <c r="DD664" s="926" t="str">
        <f t="shared" si="89"/>
        <v/>
      </c>
      <c r="DE664" s="926" t="str">
        <f t="shared" si="90"/>
        <v/>
      </c>
      <c r="DF664" s="926" t="str">
        <f t="shared" si="91"/>
        <v/>
      </c>
      <c r="DG664" s="926" t="str">
        <f t="shared" si="92"/>
        <v/>
      </c>
      <c r="DH664" s="926" t="str">
        <f t="shared" si="93"/>
        <v/>
      </c>
      <c r="DI664" s="926" t="str">
        <f t="shared" si="94"/>
        <v/>
      </c>
      <c r="DJ664" s="926" t="str">
        <f t="shared" si="95"/>
        <v/>
      </c>
      <c r="DK664" s="926" t="str">
        <f t="shared" si="96"/>
        <v/>
      </c>
      <c r="DL664" s="926" t="str">
        <f t="shared" si="97"/>
        <v/>
      </c>
      <c r="DM664" s="926" t="str">
        <f t="shared" si="98"/>
        <v/>
      </c>
      <c r="DN664" s="926" t="str">
        <f t="shared" si="99"/>
        <v/>
      </c>
      <c r="DO664" s="926" t="str">
        <f t="shared" si="100"/>
        <v/>
      </c>
      <c r="DP664" s="926" t="str">
        <f t="shared" si="101"/>
        <v/>
      </c>
      <c r="DQ664" s="926" t="str">
        <f t="shared" si="102"/>
        <v/>
      </c>
      <c r="DR664" s="926" t="str">
        <f t="shared" si="103"/>
        <v/>
      </c>
      <c r="DS664" s="926" t="str">
        <f t="shared" si="104"/>
        <v/>
      </c>
      <c r="DT664" s="926" t="str">
        <f t="shared" si="105"/>
        <v/>
      </c>
      <c r="DU664" s="926" t="str">
        <f t="shared" si="106"/>
        <v/>
      </c>
      <c r="DV664" s="926" t="str">
        <f t="shared" si="107"/>
        <v/>
      </c>
      <c r="DW664" s="926" t="str">
        <f t="shared" si="108"/>
        <v/>
      </c>
      <c r="DX664" s="926" t="str">
        <f t="shared" si="109"/>
        <v/>
      </c>
      <c r="DY664" s="926" t="str">
        <f t="shared" si="110"/>
        <v/>
      </c>
      <c r="DZ664" s="926" t="str">
        <f t="shared" si="111"/>
        <v/>
      </c>
      <c r="EA664" s="926" t="str">
        <f t="shared" si="112"/>
        <v/>
      </c>
      <c r="EB664" s="926" t="str">
        <f t="shared" si="113"/>
        <v/>
      </c>
      <c r="EC664" s="926" t="str">
        <f t="shared" si="114"/>
        <v/>
      </c>
      <c r="ED664" s="926" t="str">
        <f t="shared" si="115"/>
        <v/>
      </c>
      <c r="EE664" s="926" t="str">
        <f t="shared" si="116"/>
        <v/>
      </c>
      <c r="EF664" s="926" t="str">
        <f t="shared" si="117"/>
        <v/>
      </c>
      <c r="EG664" s="926" t="str">
        <f t="shared" si="118"/>
        <v/>
      </c>
      <c r="EH664" s="926" t="str">
        <f t="shared" si="119"/>
        <v/>
      </c>
      <c r="EI664" s="926" t="str">
        <f t="shared" si="120"/>
        <v/>
      </c>
      <c r="EJ664" s="926" t="str">
        <f t="shared" si="121"/>
        <v/>
      </c>
      <c r="EK664" s="926" t="str">
        <f t="shared" si="122"/>
        <v/>
      </c>
      <c r="EL664" s="926" t="str">
        <f t="shared" si="123"/>
        <v/>
      </c>
      <c r="EM664" s="926" t="str">
        <f t="shared" si="124"/>
        <v/>
      </c>
      <c r="EN664" s="926" t="str">
        <f t="shared" si="125"/>
        <v/>
      </c>
      <c r="EO664" s="926" t="str">
        <f t="shared" si="126"/>
        <v/>
      </c>
      <c r="EP664" s="926" t="str">
        <f t="shared" si="127"/>
        <v/>
      </c>
      <c r="EQ664" s="926" t="str">
        <f t="shared" si="128"/>
        <v/>
      </c>
      <c r="ER664" s="926" t="str">
        <f t="shared" si="129"/>
        <v/>
      </c>
      <c r="ES664" s="926" t="str">
        <f t="shared" si="130"/>
        <v/>
      </c>
      <c r="ET664" s="926" t="str">
        <f t="shared" si="131"/>
        <v/>
      </c>
      <c r="EU664" s="926" t="str">
        <f t="shared" si="132"/>
        <v/>
      </c>
      <c r="EV664" s="2945" t="str">
        <f t="shared" si="133"/>
        <v/>
      </c>
      <c r="EW664" s="2945" t="str">
        <f t="shared" si="134"/>
        <v/>
      </c>
      <c r="EX664" s="2945" t="str">
        <f t="shared" si="135"/>
        <v/>
      </c>
      <c r="EY664" s="2945" t="str">
        <f t="shared" si="136"/>
        <v/>
      </c>
      <c r="EZ664" s="2945" t="str">
        <f t="shared" si="137"/>
        <v/>
      </c>
      <c r="FA664" s="2945" t="str">
        <f t="shared" si="138"/>
        <v/>
      </c>
      <c r="FB664" s="2945" t="str">
        <f t="shared" si="139"/>
        <v/>
      </c>
      <c r="FC664" s="2945" t="str">
        <f t="shared" si="140"/>
        <v/>
      </c>
      <c r="FD664" s="2945" t="str">
        <f t="shared" si="141"/>
        <v/>
      </c>
      <c r="FE664" s="2945" t="str">
        <f t="shared" si="142"/>
        <v/>
      </c>
      <c r="FF664" s="2945" t="str">
        <f t="shared" si="143"/>
        <v/>
      </c>
      <c r="FG664" s="2945" t="str">
        <f t="shared" si="144"/>
        <v/>
      </c>
      <c r="FH664" s="2945" t="str">
        <f t="shared" si="145"/>
        <v/>
      </c>
      <c r="FI664" s="2945" t="str">
        <f t="shared" si="146"/>
        <v/>
      </c>
      <c r="FJ664" s="2945" t="str">
        <f t="shared" si="147"/>
        <v/>
      </c>
      <c r="FK664" s="2945" t="str">
        <f t="shared" si="148"/>
        <v/>
      </c>
      <c r="FL664" s="2945" t="str">
        <f t="shared" si="149"/>
        <v/>
      </c>
      <c r="FM664" s="2945" t="str">
        <f t="shared" si="150"/>
        <v/>
      </c>
      <c r="FN664" s="2945" t="str">
        <f t="shared" si="151"/>
        <v/>
      </c>
      <c r="FO664" s="2945" t="str">
        <f t="shared" si="152"/>
        <v/>
      </c>
      <c r="FP664" s="2945" t="str">
        <f t="shared" si="153"/>
        <v/>
      </c>
      <c r="FQ664" s="2945" t="str">
        <f t="shared" si="154"/>
        <v/>
      </c>
      <c r="FR664" s="2945" t="str">
        <f t="shared" si="155"/>
        <v/>
      </c>
      <c r="FS664" s="2945" t="str">
        <f t="shared" si="156"/>
        <v/>
      </c>
      <c r="FT664" s="2945" t="str">
        <f t="shared" si="157"/>
        <v/>
      </c>
      <c r="FU664" s="2945" t="str">
        <f t="shared" si="158"/>
        <v/>
      </c>
      <c r="FV664" s="2945" t="str">
        <f t="shared" si="159"/>
        <v/>
      </c>
      <c r="FW664" s="2945" t="str">
        <f t="shared" si="160"/>
        <v/>
      </c>
      <c r="FX664" s="2945" t="str">
        <f t="shared" si="161"/>
        <v/>
      </c>
      <c r="FY664" s="2945" t="str">
        <f t="shared" si="162"/>
        <v/>
      </c>
      <c r="FZ664" s="2945" t="str">
        <f t="shared" si="163"/>
        <v/>
      </c>
      <c r="GA664" s="2945" t="str">
        <f t="shared" si="164"/>
        <v/>
      </c>
      <c r="GB664" s="2945" t="str">
        <f t="shared" si="165"/>
        <v/>
      </c>
      <c r="GC664" s="2945" t="str">
        <f t="shared" si="166"/>
        <v/>
      </c>
      <c r="GD664" s="2945" t="str">
        <f t="shared" si="167"/>
        <v/>
      </c>
      <c r="GE664" s="2945" t="str">
        <f t="shared" si="168"/>
        <v/>
      </c>
      <c r="GF664" s="2945" t="str">
        <f t="shared" si="169"/>
        <v/>
      </c>
      <c r="GG664" s="2945" t="str">
        <f t="shared" si="170"/>
        <v/>
      </c>
      <c r="GH664" s="2945" t="str">
        <f t="shared" si="171"/>
        <v/>
      </c>
      <c r="GI664" s="2945" t="str">
        <f t="shared" si="172"/>
        <v/>
      </c>
      <c r="GJ664" s="2945" t="str">
        <f t="shared" si="173"/>
        <v/>
      </c>
      <c r="GK664" s="2945" t="str">
        <f t="shared" si="174"/>
        <v/>
      </c>
      <c r="GL664" s="2945" t="str">
        <f t="shared" si="175"/>
        <v/>
      </c>
      <c r="GM664" s="2945" t="str">
        <f t="shared" si="176"/>
        <v/>
      </c>
      <c r="GN664" s="2945" t="str">
        <f t="shared" si="177"/>
        <v/>
      </c>
      <c r="GO664" s="2945" t="str">
        <f t="shared" si="178"/>
        <v/>
      </c>
      <c r="GP664" s="2945" t="str">
        <f t="shared" si="179"/>
        <v/>
      </c>
      <c r="GQ664" s="2945" t="str">
        <f t="shared" si="180"/>
        <v/>
      </c>
      <c r="GR664" s="2945" t="str">
        <f t="shared" si="181"/>
        <v/>
      </c>
      <c r="GS664" s="2945" t="str">
        <f t="shared" si="182"/>
        <v/>
      </c>
      <c r="GT664" s="2945" t="str">
        <f t="shared" si="183"/>
        <v/>
      </c>
      <c r="GU664" s="2945" t="str">
        <f t="shared" si="184"/>
        <v/>
      </c>
      <c r="GV664" s="2945" t="str">
        <f t="shared" si="185"/>
        <v/>
      </c>
      <c r="GW664" s="2945" t="str">
        <f t="shared" si="186"/>
        <v/>
      </c>
      <c r="GX664" s="2945" t="str">
        <f t="shared" si="187"/>
        <v/>
      </c>
      <c r="GY664" s="2945" t="str">
        <f t="shared" si="188"/>
        <v/>
      </c>
      <c r="GZ664" s="2945" t="str">
        <f t="shared" si="189"/>
        <v/>
      </c>
      <c r="HA664" s="2945" t="str">
        <f t="shared" si="190"/>
        <v/>
      </c>
      <c r="HB664" s="2945" t="str">
        <f t="shared" si="191"/>
        <v/>
      </c>
      <c r="HC664" s="2945" t="str">
        <f t="shared" si="192"/>
        <v/>
      </c>
      <c r="HD664" s="2945" t="str">
        <f t="shared" si="193"/>
        <v/>
      </c>
      <c r="HE664" s="2945" t="str">
        <f t="shared" si="194"/>
        <v/>
      </c>
      <c r="HF664" s="2945" t="str">
        <f t="shared" si="195"/>
        <v/>
      </c>
      <c r="HG664" s="2945" t="str">
        <f t="shared" si="196"/>
        <v/>
      </c>
      <c r="HH664" s="2945" t="str">
        <f t="shared" si="197"/>
        <v/>
      </c>
      <c r="HI664" s="2945" t="str">
        <f t="shared" si="198"/>
        <v/>
      </c>
      <c r="HJ664" s="2945" t="str">
        <f t="shared" si="199"/>
        <v/>
      </c>
      <c r="HK664" s="2945" t="str">
        <f t="shared" si="200"/>
        <v/>
      </c>
      <c r="HL664" s="2945" t="str">
        <f t="shared" si="201"/>
        <v/>
      </c>
      <c r="HM664" s="2945" t="str">
        <f t="shared" si="202"/>
        <v/>
      </c>
      <c r="HN664" s="2945" t="str">
        <f t="shared" si="203"/>
        <v/>
      </c>
      <c r="HO664" s="2945" t="str">
        <f t="shared" si="204"/>
        <v/>
      </c>
      <c r="HP664" s="2945" t="str">
        <f t="shared" si="205"/>
        <v/>
      </c>
      <c r="HQ664" s="2945" t="str">
        <f t="shared" si="206"/>
        <v/>
      </c>
      <c r="HR664" s="2945" t="str">
        <f t="shared" si="207"/>
        <v/>
      </c>
      <c r="HS664" s="2945" t="str">
        <f t="shared" si="208"/>
        <v/>
      </c>
      <c r="HT664" s="2945" t="str">
        <f t="shared" si="209"/>
        <v/>
      </c>
      <c r="HU664" s="2945" t="str">
        <f t="shared" si="210"/>
        <v/>
      </c>
      <c r="HV664" s="2945" t="str">
        <f t="shared" si="211"/>
        <v/>
      </c>
      <c r="HW664" s="2945" t="str">
        <f t="shared" si="212"/>
        <v/>
      </c>
      <c r="HX664" s="2945" t="str">
        <f t="shared" si="213"/>
        <v/>
      </c>
      <c r="HY664" s="2945" t="str">
        <f t="shared" si="214"/>
        <v/>
      </c>
      <c r="HZ664" s="2945" t="str">
        <f t="shared" si="215"/>
        <v/>
      </c>
      <c r="IA664" s="2945" t="str">
        <f t="shared" si="216"/>
        <v/>
      </c>
      <c r="IB664" s="2945" t="str">
        <f t="shared" si="217"/>
        <v/>
      </c>
      <c r="IC664" s="2911" t="str">
        <f t="shared" si="218"/>
        <v/>
      </c>
      <c r="ID664" s="2911" t="str">
        <f t="shared" si="219"/>
        <v/>
      </c>
      <c r="IE664" s="2911" t="str">
        <f t="shared" si="220"/>
        <v/>
      </c>
      <c r="IF664" s="2911" t="str">
        <f t="shared" si="221"/>
        <v/>
      </c>
      <c r="IG664" s="2911" t="str">
        <f t="shared" si="222"/>
        <v/>
      </c>
      <c r="IH664" s="926" t="str">
        <f t="shared" si="223"/>
        <v/>
      </c>
      <c r="II664" s="926" t="str">
        <f t="shared" si="224"/>
        <v/>
      </c>
      <c r="IJ664" s="926" t="str">
        <f t="shared" si="225"/>
        <v/>
      </c>
      <c r="IK664" s="926" t="str">
        <f t="shared" si="226"/>
        <v/>
      </c>
      <c r="IL664" s="926" t="str">
        <f t="shared" si="227"/>
        <v/>
      </c>
      <c r="IM664" s="926" t="str">
        <f t="shared" si="228"/>
        <v/>
      </c>
      <c r="IN664" s="926" t="str">
        <f t="shared" si="229"/>
        <v/>
      </c>
      <c r="IO664" s="926" t="str">
        <f t="shared" si="230"/>
        <v/>
      </c>
      <c r="IP664" s="926" t="str">
        <f t="shared" si="231"/>
        <v/>
      </c>
      <c r="IQ664" s="926" t="str">
        <f t="shared" si="232"/>
        <v/>
      </c>
      <c r="IR664" s="926" t="str">
        <f t="shared" si="233"/>
        <v/>
      </c>
      <c r="IS664" s="926" t="str">
        <f t="shared" si="234"/>
        <v/>
      </c>
      <c r="IT664" s="926" t="str">
        <f t="shared" si="235"/>
        <v/>
      </c>
      <c r="IU664" s="926" t="str">
        <f t="shared" si="236"/>
        <v/>
      </c>
      <c r="IV664" s="926" t="str">
        <f t="shared" si="237"/>
        <v/>
      </c>
      <c r="IW664" s="926" t="str">
        <f t="shared" si="238"/>
        <v/>
      </c>
      <c r="IX664" s="926" t="str">
        <f t="shared" si="239"/>
        <v/>
      </c>
      <c r="IY664" s="926" t="str">
        <f t="shared" si="240"/>
        <v/>
      </c>
      <c r="IZ664" s="926" t="str">
        <f t="shared" si="241"/>
        <v/>
      </c>
      <c r="JA664" s="926" t="str">
        <f t="shared" si="242"/>
        <v/>
      </c>
      <c r="JB664" s="2909">
        <f t="shared" si="243"/>
        <v>0</v>
      </c>
      <c r="JC664" s="2909">
        <f t="shared" si="244"/>
        <v>0</v>
      </c>
      <c r="JD664" s="2909">
        <f t="shared" si="245"/>
        <v>0</v>
      </c>
      <c r="JE664" s="2909">
        <f t="shared" si="246"/>
        <v>0</v>
      </c>
      <c r="JF664" s="2909">
        <f t="shared" si="247"/>
        <v>0</v>
      </c>
      <c r="JG664" s="2909">
        <f t="shared" si="248"/>
        <v>0</v>
      </c>
      <c r="JH664" s="2909">
        <f t="shared" si="249"/>
        <v>0</v>
      </c>
      <c r="JI664" s="2909">
        <f t="shared" si="250"/>
        <v>0</v>
      </c>
      <c r="JJ664" s="2909">
        <f t="shared" si="251"/>
        <v>0</v>
      </c>
      <c r="JK664" s="2909">
        <f t="shared" si="252"/>
        <v>0</v>
      </c>
      <c r="JL664" s="2909">
        <f t="shared" si="253"/>
        <v>0</v>
      </c>
      <c r="JM664" s="2909">
        <f t="shared" si="254"/>
        <v>0</v>
      </c>
      <c r="JN664" s="2909">
        <f t="shared" si="255"/>
        <v>0</v>
      </c>
      <c r="JO664" s="2909">
        <f t="shared" si="256"/>
        <v>0</v>
      </c>
      <c r="JP664" s="2909">
        <f t="shared" si="257"/>
        <v>0</v>
      </c>
    </row>
    <row r="665" spans="1:277" ht="12" customHeight="1">
      <c r="A665" s="2924" t="str">
        <f t="shared" si="0"/>
        <v/>
      </c>
      <c r="B665" s="2936" t="str">
        <f>'Part VI-Revenues &amp; Expenses'!B45</f>
        <v>&lt;&lt;Select&gt;&gt;</v>
      </c>
      <c r="C665" s="2937">
        <f>'Part VI-Revenues &amp; Expenses'!C45</f>
        <v>0</v>
      </c>
      <c r="D665" s="2938">
        <f>'Part VI-Revenues &amp; Expenses'!D45</f>
        <v>0</v>
      </c>
      <c r="E665" s="2939">
        <f>'Part VI-Revenues &amp; Expenses'!E45</f>
        <v>0</v>
      </c>
      <c r="F665" s="2939">
        <f>'Part VI-Revenues &amp; Expenses'!F45</f>
        <v>0</v>
      </c>
      <c r="G665" s="2939">
        <f>'Part VI-Revenues &amp; Expenses'!G45</f>
        <v>0</v>
      </c>
      <c r="H665" s="2939">
        <f>'Part VI-Revenues &amp; Expenses'!H45</f>
        <v>0</v>
      </c>
      <c r="I665" s="2939">
        <f>'Part VI-Revenues &amp; Expenses'!I45</f>
        <v>0</v>
      </c>
      <c r="J665" s="2940">
        <f>'Part VI-Revenues &amp; Expenses'!J45</f>
        <v>0</v>
      </c>
      <c r="K665" s="2941">
        <f t="shared" si="1"/>
        <v>0</v>
      </c>
      <c r="L665" s="2941">
        <f t="shared" si="2"/>
        <v>0</v>
      </c>
      <c r="M665" s="2918">
        <f>'Part VI-Revenues &amp; Expenses'!M45</f>
        <v>0</v>
      </c>
      <c r="N665" s="2918">
        <f>'Part VI-Revenues &amp; Expenses'!N45</f>
        <v>0</v>
      </c>
      <c r="O665" s="2918">
        <f>'Part VI-Revenues &amp; Expenses'!O45</f>
        <v>0</v>
      </c>
      <c r="P665" s="2918">
        <f>'Part VI-Revenues &amp; Expenses'!P45</f>
        <v>0</v>
      </c>
      <c r="Q665" s="2942">
        <f>IF(H665="","",P665/($O$626*VLOOKUP(C665,'DCA Underwriting Assumptions'!$J$118:$K$123,2,FALSE)))</f>
        <v>0</v>
      </c>
      <c r="R665" s="2943"/>
      <c r="S665" s="2942"/>
      <c r="T665" s="2944"/>
      <c r="U665" s="2944"/>
      <c r="V665" s="926" t="str">
        <f t="shared" si="3"/>
        <v/>
      </c>
      <c r="W665" s="926" t="str">
        <f t="shared" si="4"/>
        <v/>
      </c>
      <c r="X665" s="926" t="str">
        <f t="shared" si="5"/>
        <v/>
      </c>
      <c r="Y665" s="926" t="str">
        <f t="shared" si="6"/>
        <v/>
      </c>
      <c r="Z665" s="926" t="str">
        <f t="shared" si="7"/>
        <v/>
      </c>
      <c r="AA665" s="926" t="str">
        <f t="shared" si="8"/>
        <v/>
      </c>
      <c r="AB665" s="926" t="str">
        <f t="shared" si="9"/>
        <v/>
      </c>
      <c r="AC665" s="926" t="str">
        <f t="shared" si="10"/>
        <v/>
      </c>
      <c r="AD665" s="926" t="str">
        <f t="shared" si="11"/>
        <v/>
      </c>
      <c r="AE665" s="926" t="str">
        <f t="shared" si="12"/>
        <v/>
      </c>
      <c r="AF665" s="926" t="str">
        <f t="shared" si="13"/>
        <v/>
      </c>
      <c r="AG665" s="926" t="str">
        <f t="shared" si="14"/>
        <v/>
      </c>
      <c r="AH665" s="926" t="str">
        <f t="shared" si="15"/>
        <v/>
      </c>
      <c r="AI665" s="926" t="str">
        <f t="shared" si="16"/>
        <v/>
      </c>
      <c r="AJ665" s="926" t="str">
        <f t="shared" si="17"/>
        <v/>
      </c>
      <c r="AK665" s="926" t="str">
        <f t="shared" si="18"/>
        <v/>
      </c>
      <c r="AL665" s="926" t="str">
        <f t="shared" si="19"/>
        <v/>
      </c>
      <c r="AM665" s="926" t="str">
        <f t="shared" si="20"/>
        <v/>
      </c>
      <c r="AN665" s="926" t="str">
        <f t="shared" si="21"/>
        <v/>
      </c>
      <c r="AO665" s="926" t="str">
        <f t="shared" si="22"/>
        <v/>
      </c>
      <c r="AP665" s="926" t="str">
        <f t="shared" si="23"/>
        <v/>
      </c>
      <c r="AQ665" s="926" t="str">
        <f t="shared" si="24"/>
        <v/>
      </c>
      <c r="AR665" s="926" t="str">
        <f t="shared" si="25"/>
        <v/>
      </c>
      <c r="AS665" s="926" t="str">
        <f t="shared" si="26"/>
        <v/>
      </c>
      <c r="AT665" s="926" t="str">
        <f t="shared" si="27"/>
        <v/>
      </c>
      <c r="AU665" s="926" t="str">
        <f t="shared" si="28"/>
        <v/>
      </c>
      <c r="AV665" s="926" t="str">
        <f t="shared" si="29"/>
        <v/>
      </c>
      <c r="AW665" s="926" t="str">
        <f t="shared" si="30"/>
        <v/>
      </c>
      <c r="AX665" s="926" t="str">
        <f t="shared" si="31"/>
        <v/>
      </c>
      <c r="AY665" s="926" t="str">
        <f t="shared" si="32"/>
        <v/>
      </c>
      <c r="AZ665" s="926" t="str">
        <f t="shared" si="33"/>
        <v/>
      </c>
      <c r="BA665" s="926" t="str">
        <f t="shared" si="34"/>
        <v/>
      </c>
      <c r="BB665" s="926" t="str">
        <f t="shared" si="35"/>
        <v/>
      </c>
      <c r="BC665" s="926" t="str">
        <f t="shared" si="36"/>
        <v/>
      </c>
      <c r="BD665" s="926" t="str">
        <f t="shared" si="37"/>
        <v/>
      </c>
      <c r="BE665" s="926" t="str">
        <f t="shared" si="38"/>
        <v/>
      </c>
      <c r="BF665" s="926" t="str">
        <f t="shared" si="39"/>
        <v/>
      </c>
      <c r="BG665" s="926" t="str">
        <f t="shared" si="40"/>
        <v/>
      </c>
      <c r="BH665" s="926" t="str">
        <f t="shared" si="41"/>
        <v/>
      </c>
      <c r="BI665" s="926" t="str">
        <f t="shared" si="42"/>
        <v/>
      </c>
      <c r="BJ665" s="926" t="str">
        <f t="shared" si="43"/>
        <v/>
      </c>
      <c r="BK665" s="926" t="str">
        <f t="shared" si="44"/>
        <v/>
      </c>
      <c r="BL665" s="926" t="str">
        <f t="shared" si="45"/>
        <v/>
      </c>
      <c r="BM665" s="926" t="str">
        <f t="shared" si="46"/>
        <v/>
      </c>
      <c r="BN665" s="926" t="str">
        <f t="shared" si="47"/>
        <v/>
      </c>
      <c r="BO665" s="926" t="str">
        <f t="shared" si="48"/>
        <v/>
      </c>
      <c r="BP665" s="926" t="str">
        <f t="shared" si="49"/>
        <v/>
      </c>
      <c r="BQ665" s="926" t="str">
        <f t="shared" si="50"/>
        <v/>
      </c>
      <c r="BR665" s="926" t="str">
        <f t="shared" si="51"/>
        <v/>
      </c>
      <c r="BS665" s="926" t="str">
        <f t="shared" si="52"/>
        <v/>
      </c>
      <c r="BT665" s="926" t="str">
        <f t="shared" si="53"/>
        <v/>
      </c>
      <c r="BU665" s="926" t="str">
        <f t="shared" si="54"/>
        <v/>
      </c>
      <c r="BV665" s="926" t="str">
        <f t="shared" si="55"/>
        <v/>
      </c>
      <c r="BW665" s="926" t="str">
        <f t="shared" si="56"/>
        <v/>
      </c>
      <c r="BX665" s="926" t="str">
        <f t="shared" si="57"/>
        <v/>
      </c>
      <c r="BY665" s="926" t="str">
        <f t="shared" si="58"/>
        <v/>
      </c>
      <c r="BZ665" s="926" t="str">
        <f t="shared" si="59"/>
        <v/>
      </c>
      <c r="CA665" s="926" t="str">
        <f t="shared" si="60"/>
        <v/>
      </c>
      <c r="CB665" s="926" t="str">
        <f t="shared" si="61"/>
        <v/>
      </c>
      <c r="CC665" s="926" t="str">
        <f t="shared" si="62"/>
        <v/>
      </c>
      <c r="CD665" s="926" t="str">
        <f t="shared" si="63"/>
        <v/>
      </c>
      <c r="CE665" s="926" t="str">
        <f t="shared" si="64"/>
        <v/>
      </c>
      <c r="CF665" s="926" t="str">
        <f t="shared" si="65"/>
        <v/>
      </c>
      <c r="CG665" s="926" t="str">
        <f t="shared" si="66"/>
        <v/>
      </c>
      <c r="CH665" s="926" t="str">
        <f t="shared" si="67"/>
        <v/>
      </c>
      <c r="CI665" s="926" t="str">
        <f t="shared" si="68"/>
        <v/>
      </c>
      <c r="CJ665" s="926" t="str">
        <f t="shared" si="69"/>
        <v/>
      </c>
      <c r="CK665" s="926" t="str">
        <f t="shared" si="70"/>
        <v/>
      </c>
      <c r="CL665" s="926" t="str">
        <f t="shared" si="71"/>
        <v/>
      </c>
      <c r="CM665" s="926" t="str">
        <f t="shared" si="72"/>
        <v/>
      </c>
      <c r="CN665" s="926" t="str">
        <f t="shared" si="73"/>
        <v/>
      </c>
      <c r="CO665" s="926" t="str">
        <f t="shared" si="74"/>
        <v/>
      </c>
      <c r="CP665" s="926" t="str">
        <f t="shared" si="75"/>
        <v/>
      </c>
      <c r="CQ665" s="926" t="str">
        <f t="shared" si="76"/>
        <v/>
      </c>
      <c r="CR665" s="926" t="str">
        <f t="shared" si="77"/>
        <v/>
      </c>
      <c r="CS665" s="926" t="str">
        <f t="shared" si="78"/>
        <v/>
      </c>
      <c r="CT665" s="926" t="str">
        <f t="shared" si="79"/>
        <v/>
      </c>
      <c r="CU665" s="926" t="str">
        <f t="shared" si="80"/>
        <v/>
      </c>
      <c r="CV665" s="926" t="str">
        <f t="shared" si="81"/>
        <v/>
      </c>
      <c r="CW665" s="926" t="str">
        <f t="shared" si="82"/>
        <v/>
      </c>
      <c r="CX665" s="926" t="str">
        <f t="shared" si="83"/>
        <v/>
      </c>
      <c r="CY665" s="926" t="str">
        <f t="shared" si="84"/>
        <v/>
      </c>
      <c r="CZ665" s="926" t="str">
        <f t="shared" si="85"/>
        <v/>
      </c>
      <c r="DA665" s="926" t="str">
        <f t="shared" si="86"/>
        <v/>
      </c>
      <c r="DB665" s="926" t="str">
        <f t="shared" si="87"/>
        <v/>
      </c>
      <c r="DC665" s="926" t="str">
        <f t="shared" si="88"/>
        <v/>
      </c>
      <c r="DD665" s="926" t="str">
        <f t="shared" si="89"/>
        <v/>
      </c>
      <c r="DE665" s="926" t="str">
        <f t="shared" si="90"/>
        <v/>
      </c>
      <c r="DF665" s="926" t="str">
        <f t="shared" si="91"/>
        <v/>
      </c>
      <c r="DG665" s="926" t="str">
        <f t="shared" si="92"/>
        <v/>
      </c>
      <c r="DH665" s="926" t="str">
        <f t="shared" si="93"/>
        <v/>
      </c>
      <c r="DI665" s="926" t="str">
        <f t="shared" si="94"/>
        <v/>
      </c>
      <c r="DJ665" s="926" t="str">
        <f t="shared" si="95"/>
        <v/>
      </c>
      <c r="DK665" s="926" t="str">
        <f t="shared" si="96"/>
        <v/>
      </c>
      <c r="DL665" s="926" t="str">
        <f t="shared" si="97"/>
        <v/>
      </c>
      <c r="DM665" s="926" t="str">
        <f t="shared" si="98"/>
        <v/>
      </c>
      <c r="DN665" s="926" t="str">
        <f t="shared" si="99"/>
        <v/>
      </c>
      <c r="DO665" s="926" t="str">
        <f t="shared" si="100"/>
        <v/>
      </c>
      <c r="DP665" s="926" t="str">
        <f t="shared" si="101"/>
        <v/>
      </c>
      <c r="DQ665" s="926" t="str">
        <f t="shared" si="102"/>
        <v/>
      </c>
      <c r="DR665" s="926" t="str">
        <f t="shared" si="103"/>
        <v/>
      </c>
      <c r="DS665" s="926" t="str">
        <f t="shared" si="104"/>
        <v/>
      </c>
      <c r="DT665" s="926" t="str">
        <f t="shared" si="105"/>
        <v/>
      </c>
      <c r="DU665" s="926" t="str">
        <f t="shared" si="106"/>
        <v/>
      </c>
      <c r="DV665" s="926" t="str">
        <f t="shared" si="107"/>
        <v/>
      </c>
      <c r="DW665" s="926" t="str">
        <f t="shared" si="108"/>
        <v/>
      </c>
      <c r="DX665" s="926" t="str">
        <f t="shared" si="109"/>
        <v/>
      </c>
      <c r="DY665" s="926" t="str">
        <f t="shared" si="110"/>
        <v/>
      </c>
      <c r="DZ665" s="926" t="str">
        <f t="shared" si="111"/>
        <v/>
      </c>
      <c r="EA665" s="926" t="str">
        <f t="shared" si="112"/>
        <v/>
      </c>
      <c r="EB665" s="926" t="str">
        <f t="shared" si="113"/>
        <v/>
      </c>
      <c r="EC665" s="926" t="str">
        <f t="shared" si="114"/>
        <v/>
      </c>
      <c r="ED665" s="926" t="str">
        <f t="shared" si="115"/>
        <v/>
      </c>
      <c r="EE665" s="926" t="str">
        <f t="shared" si="116"/>
        <v/>
      </c>
      <c r="EF665" s="926" t="str">
        <f t="shared" si="117"/>
        <v/>
      </c>
      <c r="EG665" s="926" t="str">
        <f t="shared" si="118"/>
        <v/>
      </c>
      <c r="EH665" s="926" t="str">
        <f t="shared" si="119"/>
        <v/>
      </c>
      <c r="EI665" s="926" t="str">
        <f t="shared" si="120"/>
        <v/>
      </c>
      <c r="EJ665" s="926" t="str">
        <f t="shared" si="121"/>
        <v/>
      </c>
      <c r="EK665" s="926" t="str">
        <f t="shared" si="122"/>
        <v/>
      </c>
      <c r="EL665" s="926" t="str">
        <f t="shared" si="123"/>
        <v/>
      </c>
      <c r="EM665" s="926" t="str">
        <f t="shared" si="124"/>
        <v/>
      </c>
      <c r="EN665" s="926" t="str">
        <f t="shared" si="125"/>
        <v/>
      </c>
      <c r="EO665" s="926" t="str">
        <f t="shared" si="126"/>
        <v/>
      </c>
      <c r="EP665" s="926" t="str">
        <f t="shared" si="127"/>
        <v/>
      </c>
      <c r="EQ665" s="926" t="str">
        <f t="shared" si="128"/>
        <v/>
      </c>
      <c r="ER665" s="926" t="str">
        <f t="shared" si="129"/>
        <v/>
      </c>
      <c r="ES665" s="926" t="str">
        <f t="shared" si="130"/>
        <v/>
      </c>
      <c r="ET665" s="926" t="str">
        <f t="shared" si="131"/>
        <v/>
      </c>
      <c r="EU665" s="926" t="str">
        <f t="shared" si="132"/>
        <v/>
      </c>
      <c r="EV665" s="2945" t="str">
        <f t="shared" si="133"/>
        <v/>
      </c>
      <c r="EW665" s="2945" t="str">
        <f t="shared" si="134"/>
        <v/>
      </c>
      <c r="EX665" s="2945" t="str">
        <f t="shared" si="135"/>
        <v/>
      </c>
      <c r="EY665" s="2945" t="str">
        <f t="shared" si="136"/>
        <v/>
      </c>
      <c r="EZ665" s="2945" t="str">
        <f t="shared" si="137"/>
        <v/>
      </c>
      <c r="FA665" s="2945" t="str">
        <f t="shared" si="138"/>
        <v/>
      </c>
      <c r="FB665" s="2945" t="str">
        <f t="shared" si="139"/>
        <v/>
      </c>
      <c r="FC665" s="2945" t="str">
        <f t="shared" si="140"/>
        <v/>
      </c>
      <c r="FD665" s="2945" t="str">
        <f t="shared" si="141"/>
        <v/>
      </c>
      <c r="FE665" s="2945" t="str">
        <f t="shared" si="142"/>
        <v/>
      </c>
      <c r="FF665" s="2945" t="str">
        <f t="shared" si="143"/>
        <v/>
      </c>
      <c r="FG665" s="2945" t="str">
        <f t="shared" si="144"/>
        <v/>
      </c>
      <c r="FH665" s="2945" t="str">
        <f t="shared" si="145"/>
        <v/>
      </c>
      <c r="FI665" s="2945" t="str">
        <f t="shared" si="146"/>
        <v/>
      </c>
      <c r="FJ665" s="2945" t="str">
        <f t="shared" si="147"/>
        <v/>
      </c>
      <c r="FK665" s="2945" t="str">
        <f t="shared" si="148"/>
        <v/>
      </c>
      <c r="FL665" s="2945" t="str">
        <f t="shared" si="149"/>
        <v/>
      </c>
      <c r="FM665" s="2945" t="str">
        <f t="shared" si="150"/>
        <v/>
      </c>
      <c r="FN665" s="2945" t="str">
        <f t="shared" si="151"/>
        <v/>
      </c>
      <c r="FO665" s="2945" t="str">
        <f t="shared" si="152"/>
        <v/>
      </c>
      <c r="FP665" s="2945" t="str">
        <f t="shared" si="153"/>
        <v/>
      </c>
      <c r="FQ665" s="2945" t="str">
        <f t="shared" si="154"/>
        <v/>
      </c>
      <c r="FR665" s="2945" t="str">
        <f t="shared" si="155"/>
        <v/>
      </c>
      <c r="FS665" s="2945" t="str">
        <f t="shared" si="156"/>
        <v/>
      </c>
      <c r="FT665" s="2945" t="str">
        <f t="shared" si="157"/>
        <v/>
      </c>
      <c r="FU665" s="2945" t="str">
        <f t="shared" si="158"/>
        <v/>
      </c>
      <c r="FV665" s="2945" t="str">
        <f t="shared" si="159"/>
        <v/>
      </c>
      <c r="FW665" s="2945" t="str">
        <f t="shared" si="160"/>
        <v/>
      </c>
      <c r="FX665" s="2945" t="str">
        <f t="shared" si="161"/>
        <v/>
      </c>
      <c r="FY665" s="2945" t="str">
        <f t="shared" si="162"/>
        <v/>
      </c>
      <c r="FZ665" s="2945" t="str">
        <f t="shared" si="163"/>
        <v/>
      </c>
      <c r="GA665" s="2945" t="str">
        <f t="shared" si="164"/>
        <v/>
      </c>
      <c r="GB665" s="2945" t="str">
        <f t="shared" si="165"/>
        <v/>
      </c>
      <c r="GC665" s="2945" t="str">
        <f t="shared" si="166"/>
        <v/>
      </c>
      <c r="GD665" s="2945" t="str">
        <f t="shared" si="167"/>
        <v/>
      </c>
      <c r="GE665" s="2945" t="str">
        <f t="shared" si="168"/>
        <v/>
      </c>
      <c r="GF665" s="2945" t="str">
        <f t="shared" si="169"/>
        <v/>
      </c>
      <c r="GG665" s="2945" t="str">
        <f t="shared" si="170"/>
        <v/>
      </c>
      <c r="GH665" s="2945" t="str">
        <f t="shared" si="171"/>
        <v/>
      </c>
      <c r="GI665" s="2945" t="str">
        <f t="shared" si="172"/>
        <v/>
      </c>
      <c r="GJ665" s="2945" t="str">
        <f t="shared" si="173"/>
        <v/>
      </c>
      <c r="GK665" s="2945" t="str">
        <f t="shared" si="174"/>
        <v/>
      </c>
      <c r="GL665" s="2945" t="str">
        <f t="shared" si="175"/>
        <v/>
      </c>
      <c r="GM665" s="2945" t="str">
        <f t="shared" si="176"/>
        <v/>
      </c>
      <c r="GN665" s="2945" t="str">
        <f t="shared" si="177"/>
        <v/>
      </c>
      <c r="GO665" s="2945" t="str">
        <f t="shared" si="178"/>
        <v/>
      </c>
      <c r="GP665" s="2945" t="str">
        <f t="shared" si="179"/>
        <v/>
      </c>
      <c r="GQ665" s="2945" t="str">
        <f t="shared" si="180"/>
        <v/>
      </c>
      <c r="GR665" s="2945" t="str">
        <f t="shared" si="181"/>
        <v/>
      </c>
      <c r="GS665" s="2945" t="str">
        <f t="shared" si="182"/>
        <v/>
      </c>
      <c r="GT665" s="2945" t="str">
        <f t="shared" si="183"/>
        <v/>
      </c>
      <c r="GU665" s="2945" t="str">
        <f t="shared" si="184"/>
        <v/>
      </c>
      <c r="GV665" s="2945" t="str">
        <f t="shared" si="185"/>
        <v/>
      </c>
      <c r="GW665" s="2945" t="str">
        <f t="shared" si="186"/>
        <v/>
      </c>
      <c r="GX665" s="2945" t="str">
        <f t="shared" si="187"/>
        <v/>
      </c>
      <c r="GY665" s="2945" t="str">
        <f t="shared" si="188"/>
        <v/>
      </c>
      <c r="GZ665" s="2945" t="str">
        <f t="shared" si="189"/>
        <v/>
      </c>
      <c r="HA665" s="2945" t="str">
        <f t="shared" si="190"/>
        <v/>
      </c>
      <c r="HB665" s="2945" t="str">
        <f t="shared" si="191"/>
        <v/>
      </c>
      <c r="HC665" s="2945" t="str">
        <f t="shared" si="192"/>
        <v/>
      </c>
      <c r="HD665" s="2945" t="str">
        <f t="shared" si="193"/>
        <v/>
      </c>
      <c r="HE665" s="2945" t="str">
        <f t="shared" si="194"/>
        <v/>
      </c>
      <c r="HF665" s="2945" t="str">
        <f t="shared" si="195"/>
        <v/>
      </c>
      <c r="HG665" s="2945" t="str">
        <f t="shared" si="196"/>
        <v/>
      </c>
      <c r="HH665" s="2945" t="str">
        <f t="shared" si="197"/>
        <v/>
      </c>
      <c r="HI665" s="2945" t="str">
        <f t="shared" si="198"/>
        <v/>
      </c>
      <c r="HJ665" s="2945" t="str">
        <f t="shared" si="199"/>
        <v/>
      </c>
      <c r="HK665" s="2945" t="str">
        <f t="shared" si="200"/>
        <v/>
      </c>
      <c r="HL665" s="2945" t="str">
        <f t="shared" si="201"/>
        <v/>
      </c>
      <c r="HM665" s="2945" t="str">
        <f t="shared" si="202"/>
        <v/>
      </c>
      <c r="HN665" s="2945" t="str">
        <f t="shared" si="203"/>
        <v/>
      </c>
      <c r="HO665" s="2945" t="str">
        <f t="shared" si="204"/>
        <v/>
      </c>
      <c r="HP665" s="2945" t="str">
        <f t="shared" si="205"/>
        <v/>
      </c>
      <c r="HQ665" s="2945" t="str">
        <f t="shared" si="206"/>
        <v/>
      </c>
      <c r="HR665" s="2945" t="str">
        <f t="shared" si="207"/>
        <v/>
      </c>
      <c r="HS665" s="2945" t="str">
        <f t="shared" si="208"/>
        <v/>
      </c>
      <c r="HT665" s="2945" t="str">
        <f t="shared" si="209"/>
        <v/>
      </c>
      <c r="HU665" s="2945" t="str">
        <f t="shared" si="210"/>
        <v/>
      </c>
      <c r="HV665" s="2945" t="str">
        <f t="shared" si="211"/>
        <v/>
      </c>
      <c r="HW665" s="2945" t="str">
        <f t="shared" si="212"/>
        <v/>
      </c>
      <c r="HX665" s="2945" t="str">
        <f t="shared" si="213"/>
        <v/>
      </c>
      <c r="HY665" s="2945" t="str">
        <f t="shared" si="214"/>
        <v/>
      </c>
      <c r="HZ665" s="2945" t="str">
        <f t="shared" si="215"/>
        <v/>
      </c>
      <c r="IA665" s="2945" t="str">
        <f t="shared" si="216"/>
        <v/>
      </c>
      <c r="IB665" s="2945" t="str">
        <f t="shared" si="217"/>
        <v/>
      </c>
      <c r="IC665" s="2911" t="str">
        <f t="shared" si="218"/>
        <v/>
      </c>
      <c r="ID665" s="2911" t="str">
        <f t="shared" si="219"/>
        <v/>
      </c>
      <c r="IE665" s="2911" t="str">
        <f t="shared" si="220"/>
        <v/>
      </c>
      <c r="IF665" s="2911" t="str">
        <f t="shared" si="221"/>
        <v/>
      </c>
      <c r="IG665" s="2911" t="str">
        <f t="shared" si="222"/>
        <v/>
      </c>
      <c r="IH665" s="926" t="str">
        <f t="shared" si="223"/>
        <v/>
      </c>
      <c r="II665" s="926" t="str">
        <f t="shared" si="224"/>
        <v/>
      </c>
      <c r="IJ665" s="926" t="str">
        <f t="shared" si="225"/>
        <v/>
      </c>
      <c r="IK665" s="926" t="str">
        <f t="shared" si="226"/>
        <v/>
      </c>
      <c r="IL665" s="926" t="str">
        <f t="shared" si="227"/>
        <v/>
      </c>
      <c r="IM665" s="926" t="str">
        <f t="shared" si="228"/>
        <v/>
      </c>
      <c r="IN665" s="926" t="str">
        <f t="shared" si="229"/>
        <v/>
      </c>
      <c r="IO665" s="926" t="str">
        <f t="shared" si="230"/>
        <v/>
      </c>
      <c r="IP665" s="926" t="str">
        <f t="shared" si="231"/>
        <v/>
      </c>
      <c r="IQ665" s="926" t="str">
        <f t="shared" si="232"/>
        <v/>
      </c>
      <c r="IR665" s="926" t="str">
        <f t="shared" si="233"/>
        <v/>
      </c>
      <c r="IS665" s="926" t="str">
        <f t="shared" si="234"/>
        <v/>
      </c>
      <c r="IT665" s="926" t="str">
        <f t="shared" si="235"/>
        <v/>
      </c>
      <c r="IU665" s="926" t="str">
        <f t="shared" si="236"/>
        <v/>
      </c>
      <c r="IV665" s="926" t="str">
        <f t="shared" si="237"/>
        <v/>
      </c>
      <c r="IW665" s="926" t="str">
        <f t="shared" si="238"/>
        <v/>
      </c>
      <c r="IX665" s="926" t="str">
        <f t="shared" si="239"/>
        <v/>
      </c>
      <c r="IY665" s="926" t="str">
        <f t="shared" si="240"/>
        <v/>
      </c>
      <c r="IZ665" s="926" t="str">
        <f t="shared" si="241"/>
        <v/>
      </c>
      <c r="JA665" s="926" t="str">
        <f t="shared" si="242"/>
        <v/>
      </c>
      <c r="JB665" s="2909">
        <f t="shared" si="243"/>
        <v>0</v>
      </c>
      <c r="JC665" s="2909">
        <f t="shared" si="244"/>
        <v>0</v>
      </c>
      <c r="JD665" s="2909">
        <f t="shared" si="245"/>
        <v>0</v>
      </c>
      <c r="JE665" s="2909">
        <f t="shared" si="246"/>
        <v>0</v>
      </c>
      <c r="JF665" s="2909">
        <f t="shared" si="247"/>
        <v>0</v>
      </c>
      <c r="JG665" s="2909">
        <f t="shared" si="248"/>
        <v>0</v>
      </c>
      <c r="JH665" s="2909">
        <f t="shared" si="249"/>
        <v>0</v>
      </c>
      <c r="JI665" s="2909">
        <f t="shared" si="250"/>
        <v>0</v>
      </c>
      <c r="JJ665" s="2909">
        <f t="shared" si="251"/>
        <v>0</v>
      </c>
      <c r="JK665" s="2909">
        <f t="shared" si="252"/>
        <v>0</v>
      </c>
      <c r="JL665" s="2909">
        <f t="shared" si="253"/>
        <v>0</v>
      </c>
      <c r="JM665" s="2909">
        <f t="shared" si="254"/>
        <v>0</v>
      </c>
      <c r="JN665" s="2909">
        <f t="shared" si="255"/>
        <v>0</v>
      </c>
      <c r="JO665" s="2909">
        <f t="shared" si="256"/>
        <v>0</v>
      </c>
      <c r="JP665" s="2909">
        <f t="shared" si="257"/>
        <v>0</v>
      </c>
    </row>
    <row r="666" spans="1:277" ht="12" customHeight="1">
      <c r="A666" s="2924" t="str">
        <f t="shared" si="0"/>
        <v/>
      </c>
      <c r="B666" s="2936" t="str">
        <f>'Part VI-Revenues &amp; Expenses'!B46</f>
        <v>&lt;&lt;Select&gt;&gt;</v>
      </c>
      <c r="C666" s="2937">
        <f>'Part VI-Revenues &amp; Expenses'!C46</f>
        <v>0</v>
      </c>
      <c r="D666" s="2938">
        <f>'Part VI-Revenues &amp; Expenses'!D46</f>
        <v>0</v>
      </c>
      <c r="E666" s="2939">
        <f>'Part VI-Revenues &amp; Expenses'!E46</f>
        <v>0</v>
      </c>
      <c r="F666" s="2939">
        <f>'Part VI-Revenues &amp; Expenses'!F46</f>
        <v>0</v>
      </c>
      <c r="G666" s="2939">
        <f>'Part VI-Revenues &amp; Expenses'!G46</f>
        <v>0</v>
      </c>
      <c r="H666" s="2939">
        <f>'Part VI-Revenues &amp; Expenses'!H46</f>
        <v>0</v>
      </c>
      <c r="I666" s="2939">
        <f>'Part VI-Revenues &amp; Expenses'!I46</f>
        <v>0</v>
      </c>
      <c r="J666" s="2940">
        <f>'Part VI-Revenues &amp; Expenses'!J46</f>
        <v>0</v>
      </c>
      <c r="K666" s="2941">
        <f t="shared" si="1"/>
        <v>0</v>
      </c>
      <c r="L666" s="2941">
        <f t="shared" si="2"/>
        <v>0</v>
      </c>
      <c r="M666" s="2918">
        <f>'Part VI-Revenues &amp; Expenses'!M46</f>
        <v>0</v>
      </c>
      <c r="N666" s="2918">
        <f>'Part VI-Revenues &amp; Expenses'!N46</f>
        <v>0</v>
      </c>
      <c r="O666" s="2918">
        <f>'Part VI-Revenues &amp; Expenses'!O46</f>
        <v>0</v>
      </c>
      <c r="P666" s="2918">
        <f>'Part VI-Revenues &amp; Expenses'!P46</f>
        <v>0</v>
      </c>
      <c r="Q666" s="2942">
        <f>IF(H666="","",P666/($O$626*VLOOKUP(C666,'DCA Underwriting Assumptions'!$J$118:$K$123,2,FALSE)))</f>
        <v>0</v>
      </c>
      <c r="R666" s="2943"/>
      <c r="S666" s="2942"/>
      <c r="T666" s="2944"/>
      <c r="U666" s="2944"/>
      <c r="V666" s="926" t="str">
        <f t="shared" si="3"/>
        <v/>
      </c>
      <c r="W666" s="926" t="str">
        <f t="shared" si="4"/>
        <v/>
      </c>
      <c r="X666" s="926" t="str">
        <f t="shared" si="5"/>
        <v/>
      </c>
      <c r="Y666" s="926" t="str">
        <f t="shared" si="6"/>
        <v/>
      </c>
      <c r="Z666" s="926" t="str">
        <f t="shared" si="7"/>
        <v/>
      </c>
      <c r="AA666" s="926" t="str">
        <f t="shared" si="8"/>
        <v/>
      </c>
      <c r="AB666" s="926" t="str">
        <f t="shared" si="9"/>
        <v/>
      </c>
      <c r="AC666" s="926" t="str">
        <f t="shared" si="10"/>
        <v/>
      </c>
      <c r="AD666" s="926" t="str">
        <f t="shared" si="11"/>
        <v/>
      </c>
      <c r="AE666" s="926" t="str">
        <f t="shared" si="12"/>
        <v/>
      </c>
      <c r="AF666" s="926" t="str">
        <f t="shared" si="13"/>
        <v/>
      </c>
      <c r="AG666" s="926" t="str">
        <f t="shared" si="14"/>
        <v/>
      </c>
      <c r="AH666" s="926" t="str">
        <f t="shared" si="15"/>
        <v/>
      </c>
      <c r="AI666" s="926" t="str">
        <f t="shared" si="16"/>
        <v/>
      </c>
      <c r="AJ666" s="926" t="str">
        <f t="shared" si="17"/>
        <v/>
      </c>
      <c r="AK666" s="926" t="str">
        <f t="shared" si="18"/>
        <v/>
      </c>
      <c r="AL666" s="926" t="str">
        <f t="shared" si="19"/>
        <v/>
      </c>
      <c r="AM666" s="926" t="str">
        <f t="shared" si="20"/>
        <v/>
      </c>
      <c r="AN666" s="926" t="str">
        <f t="shared" si="21"/>
        <v/>
      </c>
      <c r="AO666" s="926" t="str">
        <f t="shared" si="22"/>
        <v/>
      </c>
      <c r="AP666" s="926" t="str">
        <f t="shared" si="23"/>
        <v/>
      </c>
      <c r="AQ666" s="926" t="str">
        <f t="shared" si="24"/>
        <v/>
      </c>
      <c r="AR666" s="926" t="str">
        <f t="shared" si="25"/>
        <v/>
      </c>
      <c r="AS666" s="926" t="str">
        <f t="shared" si="26"/>
        <v/>
      </c>
      <c r="AT666" s="926" t="str">
        <f t="shared" si="27"/>
        <v/>
      </c>
      <c r="AU666" s="926" t="str">
        <f t="shared" si="28"/>
        <v/>
      </c>
      <c r="AV666" s="926" t="str">
        <f t="shared" si="29"/>
        <v/>
      </c>
      <c r="AW666" s="926" t="str">
        <f t="shared" si="30"/>
        <v/>
      </c>
      <c r="AX666" s="926" t="str">
        <f t="shared" si="31"/>
        <v/>
      </c>
      <c r="AY666" s="926" t="str">
        <f t="shared" si="32"/>
        <v/>
      </c>
      <c r="AZ666" s="926" t="str">
        <f t="shared" si="33"/>
        <v/>
      </c>
      <c r="BA666" s="926" t="str">
        <f t="shared" si="34"/>
        <v/>
      </c>
      <c r="BB666" s="926" t="str">
        <f t="shared" si="35"/>
        <v/>
      </c>
      <c r="BC666" s="926" t="str">
        <f t="shared" si="36"/>
        <v/>
      </c>
      <c r="BD666" s="926" t="str">
        <f t="shared" si="37"/>
        <v/>
      </c>
      <c r="BE666" s="926" t="str">
        <f t="shared" si="38"/>
        <v/>
      </c>
      <c r="BF666" s="926" t="str">
        <f t="shared" si="39"/>
        <v/>
      </c>
      <c r="BG666" s="926" t="str">
        <f t="shared" si="40"/>
        <v/>
      </c>
      <c r="BH666" s="926" t="str">
        <f t="shared" si="41"/>
        <v/>
      </c>
      <c r="BI666" s="926" t="str">
        <f t="shared" si="42"/>
        <v/>
      </c>
      <c r="BJ666" s="926" t="str">
        <f t="shared" si="43"/>
        <v/>
      </c>
      <c r="BK666" s="926" t="str">
        <f t="shared" si="44"/>
        <v/>
      </c>
      <c r="BL666" s="926" t="str">
        <f t="shared" si="45"/>
        <v/>
      </c>
      <c r="BM666" s="926" t="str">
        <f t="shared" si="46"/>
        <v/>
      </c>
      <c r="BN666" s="926" t="str">
        <f t="shared" si="47"/>
        <v/>
      </c>
      <c r="BO666" s="926" t="str">
        <f t="shared" si="48"/>
        <v/>
      </c>
      <c r="BP666" s="926" t="str">
        <f t="shared" si="49"/>
        <v/>
      </c>
      <c r="BQ666" s="926" t="str">
        <f t="shared" si="50"/>
        <v/>
      </c>
      <c r="BR666" s="926" t="str">
        <f t="shared" si="51"/>
        <v/>
      </c>
      <c r="BS666" s="926" t="str">
        <f t="shared" si="52"/>
        <v/>
      </c>
      <c r="BT666" s="926" t="str">
        <f t="shared" si="53"/>
        <v/>
      </c>
      <c r="BU666" s="926" t="str">
        <f t="shared" si="54"/>
        <v/>
      </c>
      <c r="BV666" s="926" t="str">
        <f t="shared" si="55"/>
        <v/>
      </c>
      <c r="BW666" s="926" t="str">
        <f t="shared" si="56"/>
        <v/>
      </c>
      <c r="BX666" s="926" t="str">
        <f t="shared" si="57"/>
        <v/>
      </c>
      <c r="BY666" s="926" t="str">
        <f t="shared" si="58"/>
        <v/>
      </c>
      <c r="BZ666" s="926" t="str">
        <f t="shared" si="59"/>
        <v/>
      </c>
      <c r="CA666" s="926" t="str">
        <f t="shared" si="60"/>
        <v/>
      </c>
      <c r="CB666" s="926" t="str">
        <f t="shared" si="61"/>
        <v/>
      </c>
      <c r="CC666" s="926" t="str">
        <f t="shared" si="62"/>
        <v/>
      </c>
      <c r="CD666" s="926" t="str">
        <f t="shared" si="63"/>
        <v/>
      </c>
      <c r="CE666" s="926" t="str">
        <f t="shared" si="64"/>
        <v/>
      </c>
      <c r="CF666" s="926" t="str">
        <f t="shared" si="65"/>
        <v/>
      </c>
      <c r="CG666" s="926" t="str">
        <f t="shared" si="66"/>
        <v/>
      </c>
      <c r="CH666" s="926" t="str">
        <f t="shared" si="67"/>
        <v/>
      </c>
      <c r="CI666" s="926" t="str">
        <f t="shared" si="68"/>
        <v/>
      </c>
      <c r="CJ666" s="926" t="str">
        <f t="shared" si="69"/>
        <v/>
      </c>
      <c r="CK666" s="926" t="str">
        <f t="shared" si="70"/>
        <v/>
      </c>
      <c r="CL666" s="926" t="str">
        <f t="shared" si="71"/>
        <v/>
      </c>
      <c r="CM666" s="926" t="str">
        <f t="shared" si="72"/>
        <v/>
      </c>
      <c r="CN666" s="926" t="str">
        <f t="shared" si="73"/>
        <v/>
      </c>
      <c r="CO666" s="926" t="str">
        <f t="shared" si="74"/>
        <v/>
      </c>
      <c r="CP666" s="926" t="str">
        <f t="shared" si="75"/>
        <v/>
      </c>
      <c r="CQ666" s="926" t="str">
        <f t="shared" si="76"/>
        <v/>
      </c>
      <c r="CR666" s="926" t="str">
        <f t="shared" si="77"/>
        <v/>
      </c>
      <c r="CS666" s="926" t="str">
        <f t="shared" si="78"/>
        <v/>
      </c>
      <c r="CT666" s="926" t="str">
        <f t="shared" si="79"/>
        <v/>
      </c>
      <c r="CU666" s="926" t="str">
        <f t="shared" si="80"/>
        <v/>
      </c>
      <c r="CV666" s="926" t="str">
        <f t="shared" si="81"/>
        <v/>
      </c>
      <c r="CW666" s="926" t="str">
        <f t="shared" si="82"/>
        <v/>
      </c>
      <c r="CX666" s="926" t="str">
        <f t="shared" si="83"/>
        <v/>
      </c>
      <c r="CY666" s="926" t="str">
        <f t="shared" si="84"/>
        <v/>
      </c>
      <c r="CZ666" s="926" t="str">
        <f t="shared" si="85"/>
        <v/>
      </c>
      <c r="DA666" s="926" t="str">
        <f t="shared" si="86"/>
        <v/>
      </c>
      <c r="DB666" s="926" t="str">
        <f t="shared" si="87"/>
        <v/>
      </c>
      <c r="DC666" s="926" t="str">
        <f t="shared" si="88"/>
        <v/>
      </c>
      <c r="DD666" s="926" t="str">
        <f t="shared" si="89"/>
        <v/>
      </c>
      <c r="DE666" s="926" t="str">
        <f t="shared" si="90"/>
        <v/>
      </c>
      <c r="DF666" s="926" t="str">
        <f t="shared" si="91"/>
        <v/>
      </c>
      <c r="DG666" s="926" t="str">
        <f t="shared" si="92"/>
        <v/>
      </c>
      <c r="DH666" s="926" t="str">
        <f t="shared" si="93"/>
        <v/>
      </c>
      <c r="DI666" s="926" t="str">
        <f t="shared" si="94"/>
        <v/>
      </c>
      <c r="DJ666" s="926" t="str">
        <f t="shared" si="95"/>
        <v/>
      </c>
      <c r="DK666" s="926" t="str">
        <f t="shared" si="96"/>
        <v/>
      </c>
      <c r="DL666" s="926" t="str">
        <f t="shared" si="97"/>
        <v/>
      </c>
      <c r="DM666" s="926" t="str">
        <f t="shared" si="98"/>
        <v/>
      </c>
      <c r="DN666" s="926" t="str">
        <f t="shared" si="99"/>
        <v/>
      </c>
      <c r="DO666" s="926" t="str">
        <f t="shared" si="100"/>
        <v/>
      </c>
      <c r="DP666" s="926" t="str">
        <f t="shared" si="101"/>
        <v/>
      </c>
      <c r="DQ666" s="926" t="str">
        <f t="shared" si="102"/>
        <v/>
      </c>
      <c r="DR666" s="926" t="str">
        <f t="shared" si="103"/>
        <v/>
      </c>
      <c r="DS666" s="926" t="str">
        <f t="shared" si="104"/>
        <v/>
      </c>
      <c r="DT666" s="926" t="str">
        <f t="shared" si="105"/>
        <v/>
      </c>
      <c r="DU666" s="926" t="str">
        <f t="shared" si="106"/>
        <v/>
      </c>
      <c r="DV666" s="926" t="str">
        <f t="shared" si="107"/>
        <v/>
      </c>
      <c r="DW666" s="926" t="str">
        <f t="shared" si="108"/>
        <v/>
      </c>
      <c r="DX666" s="926" t="str">
        <f t="shared" si="109"/>
        <v/>
      </c>
      <c r="DY666" s="926" t="str">
        <f t="shared" si="110"/>
        <v/>
      </c>
      <c r="DZ666" s="926" t="str">
        <f t="shared" si="111"/>
        <v/>
      </c>
      <c r="EA666" s="926" t="str">
        <f t="shared" si="112"/>
        <v/>
      </c>
      <c r="EB666" s="926" t="str">
        <f t="shared" si="113"/>
        <v/>
      </c>
      <c r="EC666" s="926" t="str">
        <f t="shared" si="114"/>
        <v/>
      </c>
      <c r="ED666" s="926" t="str">
        <f t="shared" si="115"/>
        <v/>
      </c>
      <c r="EE666" s="926" t="str">
        <f t="shared" si="116"/>
        <v/>
      </c>
      <c r="EF666" s="926" t="str">
        <f t="shared" si="117"/>
        <v/>
      </c>
      <c r="EG666" s="926" t="str">
        <f t="shared" si="118"/>
        <v/>
      </c>
      <c r="EH666" s="926" t="str">
        <f t="shared" si="119"/>
        <v/>
      </c>
      <c r="EI666" s="926" t="str">
        <f t="shared" si="120"/>
        <v/>
      </c>
      <c r="EJ666" s="926" t="str">
        <f t="shared" si="121"/>
        <v/>
      </c>
      <c r="EK666" s="926" t="str">
        <f t="shared" si="122"/>
        <v/>
      </c>
      <c r="EL666" s="926" t="str">
        <f t="shared" si="123"/>
        <v/>
      </c>
      <c r="EM666" s="926" t="str">
        <f t="shared" si="124"/>
        <v/>
      </c>
      <c r="EN666" s="926" t="str">
        <f t="shared" si="125"/>
        <v/>
      </c>
      <c r="EO666" s="926" t="str">
        <f t="shared" si="126"/>
        <v/>
      </c>
      <c r="EP666" s="926" t="str">
        <f t="shared" si="127"/>
        <v/>
      </c>
      <c r="EQ666" s="926" t="str">
        <f t="shared" si="128"/>
        <v/>
      </c>
      <c r="ER666" s="926" t="str">
        <f t="shared" si="129"/>
        <v/>
      </c>
      <c r="ES666" s="926" t="str">
        <f t="shared" si="130"/>
        <v/>
      </c>
      <c r="ET666" s="926" t="str">
        <f t="shared" si="131"/>
        <v/>
      </c>
      <c r="EU666" s="926" t="str">
        <f t="shared" si="132"/>
        <v/>
      </c>
      <c r="EV666" s="2945" t="str">
        <f t="shared" si="133"/>
        <v/>
      </c>
      <c r="EW666" s="2945" t="str">
        <f t="shared" si="134"/>
        <v/>
      </c>
      <c r="EX666" s="2945" t="str">
        <f t="shared" si="135"/>
        <v/>
      </c>
      <c r="EY666" s="2945" t="str">
        <f t="shared" si="136"/>
        <v/>
      </c>
      <c r="EZ666" s="2945" t="str">
        <f t="shared" si="137"/>
        <v/>
      </c>
      <c r="FA666" s="2945" t="str">
        <f t="shared" si="138"/>
        <v/>
      </c>
      <c r="FB666" s="2945" t="str">
        <f t="shared" si="139"/>
        <v/>
      </c>
      <c r="FC666" s="2945" t="str">
        <f t="shared" si="140"/>
        <v/>
      </c>
      <c r="FD666" s="2945" t="str">
        <f t="shared" si="141"/>
        <v/>
      </c>
      <c r="FE666" s="2945" t="str">
        <f t="shared" si="142"/>
        <v/>
      </c>
      <c r="FF666" s="2945" t="str">
        <f t="shared" si="143"/>
        <v/>
      </c>
      <c r="FG666" s="2945" t="str">
        <f t="shared" si="144"/>
        <v/>
      </c>
      <c r="FH666" s="2945" t="str">
        <f t="shared" si="145"/>
        <v/>
      </c>
      <c r="FI666" s="2945" t="str">
        <f t="shared" si="146"/>
        <v/>
      </c>
      <c r="FJ666" s="2945" t="str">
        <f t="shared" si="147"/>
        <v/>
      </c>
      <c r="FK666" s="2945" t="str">
        <f t="shared" si="148"/>
        <v/>
      </c>
      <c r="FL666" s="2945" t="str">
        <f t="shared" si="149"/>
        <v/>
      </c>
      <c r="FM666" s="2945" t="str">
        <f t="shared" si="150"/>
        <v/>
      </c>
      <c r="FN666" s="2945" t="str">
        <f t="shared" si="151"/>
        <v/>
      </c>
      <c r="FO666" s="2945" t="str">
        <f t="shared" si="152"/>
        <v/>
      </c>
      <c r="FP666" s="2945" t="str">
        <f t="shared" si="153"/>
        <v/>
      </c>
      <c r="FQ666" s="2945" t="str">
        <f t="shared" si="154"/>
        <v/>
      </c>
      <c r="FR666" s="2945" t="str">
        <f t="shared" si="155"/>
        <v/>
      </c>
      <c r="FS666" s="2945" t="str">
        <f t="shared" si="156"/>
        <v/>
      </c>
      <c r="FT666" s="2945" t="str">
        <f t="shared" si="157"/>
        <v/>
      </c>
      <c r="FU666" s="2945" t="str">
        <f t="shared" si="158"/>
        <v/>
      </c>
      <c r="FV666" s="2945" t="str">
        <f t="shared" si="159"/>
        <v/>
      </c>
      <c r="FW666" s="2945" t="str">
        <f t="shared" si="160"/>
        <v/>
      </c>
      <c r="FX666" s="2945" t="str">
        <f t="shared" si="161"/>
        <v/>
      </c>
      <c r="FY666" s="2945" t="str">
        <f t="shared" si="162"/>
        <v/>
      </c>
      <c r="FZ666" s="2945" t="str">
        <f t="shared" si="163"/>
        <v/>
      </c>
      <c r="GA666" s="2945" t="str">
        <f t="shared" si="164"/>
        <v/>
      </c>
      <c r="GB666" s="2945" t="str">
        <f t="shared" si="165"/>
        <v/>
      </c>
      <c r="GC666" s="2945" t="str">
        <f t="shared" si="166"/>
        <v/>
      </c>
      <c r="GD666" s="2945" t="str">
        <f t="shared" si="167"/>
        <v/>
      </c>
      <c r="GE666" s="2945" t="str">
        <f t="shared" si="168"/>
        <v/>
      </c>
      <c r="GF666" s="2945" t="str">
        <f t="shared" si="169"/>
        <v/>
      </c>
      <c r="GG666" s="2945" t="str">
        <f t="shared" si="170"/>
        <v/>
      </c>
      <c r="GH666" s="2945" t="str">
        <f t="shared" si="171"/>
        <v/>
      </c>
      <c r="GI666" s="2945" t="str">
        <f t="shared" si="172"/>
        <v/>
      </c>
      <c r="GJ666" s="2945" t="str">
        <f t="shared" si="173"/>
        <v/>
      </c>
      <c r="GK666" s="2945" t="str">
        <f t="shared" si="174"/>
        <v/>
      </c>
      <c r="GL666" s="2945" t="str">
        <f t="shared" si="175"/>
        <v/>
      </c>
      <c r="GM666" s="2945" t="str">
        <f t="shared" si="176"/>
        <v/>
      </c>
      <c r="GN666" s="2945" t="str">
        <f t="shared" si="177"/>
        <v/>
      </c>
      <c r="GO666" s="2945" t="str">
        <f t="shared" si="178"/>
        <v/>
      </c>
      <c r="GP666" s="2945" t="str">
        <f t="shared" si="179"/>
        <v/>
      </c>
      <c r="GQ666" s="2945" t="str">
        <f t="shared" si="180"/>
        <v/>
      </c>
      <c r="GR666" s="2945" t="str">
        <f t="shared" si="181"/>
        <v/>
      </c>
      <c r="GS666" s="2945" t="str">
        <f t="shared" si="182"/>
        <v/>
      </c>
      <c r="GT666" s="2945" t="str">
        <f t="shared" si="183"/>
        <v/>
      </c>
      <c r="GU666" s="2945" t="str">
        <f t="shared" si="184"/>
        <v/>
      </c>
      <c r="GV666" s="2945" t="str">
        <f t="shared" si="185"/>
        <v/>
      </c>
      <c r="GW666" s="2945" t="str">
        <f t="shared" si="186"/>
        <v/>
      </c>
      <c r="GX666" s="2945" t="str">
        <f t="shared" si="187"/>
        <v/>
      </c>
      <c r="GY666" s="2945" t="str">
        <f t="shared" si="188"/>
        <v/>
      </c>
      <c r="GZ666" s="2945" t="str">
        <f t="shared" si="189"/>
        <v/>
      </c>
      <c r="HA666" s="2945" t="str">
        <f t="shared" si="190"/>
        <v/>
      </c>
      <c r="HB666" s="2945" t="str">
        <f t="shared" si="191"/>
        <v/>
      </c>
      <c r="HC666" s="2945" t="str">
        <f t="shared" si="192"/>
        <v/>
      </c>
      <c r="HD666" s="2945" t="str">
        <f t="shared" si="193"/>
        <v/>
      </c>
      <c r="HE666" s="2945" t="str">
        <f t="shared" si="194"/>
        <v/>
      </c>
      <c r="HF666" s="2945" t="str">
        <f t="shared" si="195"/>
        <v/>
      </c>
      <c r="HG666" s="2945" t="str">
        <f t="shared" si="196"/>
        <v/>
      </c>
      <c r="HH666" s="2945" t="str">
        <f t="shared" si="197"/>
        <v/>
      </c>
      <c r="HI666" s="2945" t="str">
        <f t="shared" si="198"/>
        <v/>
      </c>
      <c r="HJ666" s="2945" t="str">
        <f t="shared" si="199"/>
        <v/>
      </c>
      <c r="HK666" s="2945" t="str">
        <f t="shared" si="200"/>
        <v/>
      </c>
      <c r="HL666" s="2945" t="str">
        <f t="shared" si="201"/>
        <v/>
      </c>
      <c r="HM666" s="2945" t="str">
        <f t="shared" si="202"/>
        <v/>
      </c>
      <c r="HN666" s="2945" t="str">
        <f t="shared" si="203"/>
        <v/>
      </c>
      <c r="HO666" s="2945" t="str">
        <f t="shared" si="204"/>
        <v/>
      </c>
      <c r="HP666" s="2945" t="str">
        <f t="shared" si="205"/>
        <v/>
      </c>
      <c r="HQ666" s="2945" t="str">
        <f t="shared" si="206"/>
        <v/>
      </c>
      <c r="HR666" s="2945" t="str">
        <f t="shared" si="207"/>
        <v/>
      </c>
      <c r="HS666" s="2945" t="str">
        <f t="shared" si="208"/>
        <v/>
      </c>
      <c r="HT666" s="2945" t="str">
        <f t="shared" si="209"/>
        <v/>
      </c>
      <c r="HU666" s="2945" t="str">
        <f t="shared" si="210"/>
        <v/>
      </c>
      <c r="HV666" s="2945" t="str">
        <f t="shared" si="211"/>
        <v/>
      </c>
      <c r="HW666" s="2945" t="str">
        <f t="shared" si="212"/>
        <v/>
      </c>
      <c r="HX666" s="2945" t="str">
        <f t="shared" si="213"/>
        <v/>
      </c>
      <c r="HY666" s="2945" t="str">
        <f t="shared" si="214"/>
        <v/>
      </c>
      <c r="HZ666" s="2945" t="str">
        <f t="shared" si="215"/>
        <v/>
      </c>
      <c r="IA666" s="2945" t="str">
        <f t="shared" si="216"/>
        <v/>
      </c>
      <c r="IB666" s="2945" t="str">
        <f t="shared" si="217"/>
        <v/>
      </c>
      <c r="IC666" s="2911" t="str">
        <f t="shared" si="218"/>
        <v/>
      </c>
      <c r="ID666" s="2911" t="str">
        <f t="shared" si="219"/>
        <v/>
      </c>
      <c r="IE666" s="2911" t="str">
        <f t="shared" si="220"/>
        <v/>
      </c>
      <c r="IF666" s="2911" t="str">
        <f t="shared" si="221"/>
        <v/>
      </c>
      <c r="IG666" s="2911" t="str">
        <f t="shared" si="222"/>
        <v/>
      </c>
      <c r="IH666" s="926" t="str">
        <f t="shared" si="223"/>
        <v/>
      </c>
      <c r="II666" s="926" t="str">
        <f t="shared" si="224"/>
        <v/>
      </c>
      <c r="IJ666" s="926" t="str">
        <f t="shared" si="225"/>
        <v/>
      </c>
      <c r="IK666" s="926" t="str">
        <f t="shared" si="226"/>
        <v/>
      </c>
      <c r="IL666" s="926" t="str">
        <f t="shared" si="227"/>
        <v/>
      </c>
      <c r="IM666" s="926" t="str">
        <f t="shared" si="228"/>
        <v/>
      </c>
      <c r="IN666" s="926" t="str">
        <f t="shared" si="229"/>
        <v/>
      </c>
      <c r="IO666" s="926" t="str">
        <f t="shared" si="230"/>
        <v/>
      </c>
      <c r="IP666" s="926" t="str">
        <f t="shared" si="231"/>
        <v/>
      </c>
      <c r="IQ666" s="926" t="str">
        <f t="shared" si="232"/>
        <v/>
      </c>
      <c r="IR666" s="926" t="str">
        <f t="shared" si="233"/>
        <v/>
      </c>
      <c r="IS666" s="926" t="str">
        <f t="shared" si="234"/>
        <v/>
      </c>
      <c r="IT666" s="926" t="str">
        <f t="shared" si="235"/>
        <v/>
      </c>
      <c r="IU666" s="926" t="str">
        <f t="shared" si="236"/>
        <v/>
      </c>
      <c r="IV666" s="926" t="str">
        <f t="shared" si="237"/>
        <v/>
      </c>
      <c r="IW666" s="926" t="str">
        <f t="shared" si="238"/>
        <v/>
      </c>
      <c r="IX666" s="926" t="str">
        <f t="shared" si="239"/>
        <v/>
      </c>
      <c r="IY666" s="926" t="str">
        <f t="shared" si="240"/>
        <v/>
      </c>
      <c r="IZ666" s="926" t="str">
        <f t="shared" si="241"/>
        <v/>
      </c>
      <c r="JA666" s="926" t="str">
        <f t="shared" si="242"/>
        <v/>
      </c>
      <c r="JB666" s="2909">
        <f t="shared" si="243"/>
        <v>0</v>
      </c>
      <c r="JC666" s="2909">
        <f t="shared" si="244"/>
        <v>0</v>
      </c>
      <c r="JD666" s="2909">
        <f t="shared" si="245"/>
        <v>0</v>
      </c>
      <c r="JE666" s="2909">
        <f t="shared" si="246"/>
        <v>0</v>
      </c>
      <c r="JF666" s="2909">
        <f t="shared" si="247"/>
        <v>0</v>
      </c>
      <c r="JG666" s="2909">
        <f t="shared" si="248"/>
        <v>0</v>
      </c>
      <c r="JH666" s="2909">
        <f t="shared" si="249"/>
        <v>0</v>
      </c>
      <c r="JI666" s="2909">
        <f t="shared" si="250"/>
        <v>0</v>
      </c>
      <c r="JJ666" s="2909">
        <f t="shared" si="251"/>
        <v>0</v>
      </c>
      <c r="JK666" s="2909">
        <f t="shared" si="252"/>
        <v>0</v>
      </c>
      <c r="JL666" s="2909">
        <f t="shared" si="253"/>
        <v>0</v>
      </c>
      <c r="JM666" s="2909">
        <f t="shared" si="254"/>
        <v>0</v>
      </c>
      <c r="JN666" s="2909">
        <f t="shared" si="255"/>
        <v>0</v>
      </c>
      <c r="JO666" s="2909">
        <f t="shared" si="256"/>
        <v>0</v>
      </c>
      <c r="JP666" s="2909">
        <f t="shared" si="257"/>
        <v>0</v>
      </c>
    </row>
    <row r="667" spans="1:277" ht="12" customHeight="1">
      <c r="A667" s="2924" t="str">
        <f t="shared" si="0"/>
        <v/>
      </c>
      <c r="B667" s="2936" t="str">
        <f>'Part VI-Revenues &amp; Expenses'!B47</f>
        <v>&lt;&lt;Select&gt;&gt;</v>
      </c>
      <c r="C667" s="2937">
        <f>'Part VI-Revenues &amp; Expenses'!C47</f>
        <v>0</v>
      </c>
      <c r="D667" s="2938">
        <f>'Part VI-Revenues &amp; Expenses'!D47</f>
        <v>0</v>
      </c>
      <c r="E667" s="2939">
        <f>'Part VI-Revenues &amp; Expenses'!E47</f>
        <v>0</v>
      </c>
      <c r="F667" s="2939">
        <f>'Part VI-Revenues &amp; Expenses'!F47</f>
        <v>0</v>
      </c>
      <c r="G667" s="2939">
        <f>'Part VI-Revenues &amp; Expenses'!G47</f>
        <v>0</v>
      </c>
      <c r="H667" s="2939">
        <f>'Part VI-Revenues &amp; Expenses'!H47</f>
        <v>0</v>
      </c>
      <c r="I667" s="2939">
        <f>'Part VI-Revenues &amp; Expenses'!I47</f>
        <v>0</v>
      </c>
      <c r="J667" s="2940">
        <f>'Part VI-Revenues &amp; Expenses'!J47</f>
        <v>0</v>
      </c>
      <c r="K667" s="2941">
        <f t="shared" si="1"/>
        <v>0</v>
      </c>
      <c r="L667" s="2941">
        <f t="shared" si="2"/>
        <v>0</v>
      </c>
      <c r="M667" s="2918">
        <f>'Part VI-Revenues &amp; Expenses'!M47</f>
        <v>0</v>
      </c>
      <c r="N667" s="2918">
        <f>'Part VI-Revenues &amp; Expenses'!N47</f>
        <v>0</v>
      </c>
      <c r="O667" s="2918">
        <f>'Part VI-Revenues &amp; Expenses'!O47</f>
        <v>0</v>
      </c>
      <c r="P667" s="2918">
        <f>'Part VI-Revenues &amp; Expenses'!P47</f>
        <v>0</v>
      </c>
      <c r="Q667" s="2942">
        <f>IF(H667="","",P667/($O$626*VLOOKUP(C667,'DCA Underwriting Assumptions'!$J$118:$K$123,2,FALSE)))</f>
        <v>0</v>
      </c>
      <c r="R667" s="2943"/>
      <c r="S667" s="2942"/>
      <c r="T667" s="2944"/>
      <c r="U667" s="2944"/>
      <c r="V667" s="926" t="str">
        <f t="shared" si="3"/>
        <v/>
      </c>
      <c r="W667" s="926" t="str">
        <f t="shared" si="4"/>
        <v/>
      </c>
      <c r="X667" s="926" t="str">
        <f t="shared" si="5"/>
        <v/>
      </c>
      <c r="Y667" s="926" t="str">
        <f t="shared" si="6"/>
        <v/>
      </c>
      <c r="Z667" s="926" t="str">
        <f t="shared" si="7"/>
        <v/>
      </c>
      <c r="AA667" s="926" t="str">
        <f t="shared" si="8"/>
        <v/>
      </c>
      <c r="AB667" s="926" t="str">
        <f t="shared" si="9"/>
        <v/>
      </c>
      <c r="AC667" s="926" t="str">
        <f t="shared" si="10"/>
        <v/>
      </c>
      <c r="AD667" s="926" t="str">
        <f t="shared" si="11"/>
        <v/>
      </c>
      <c r="AE667" s="926" t="str">
        <f t="shared" si="12"/>
        <v/>
      </c>
      <c r="AF667" s="926" t="str">
        <f t="shared" si="13"/>
        <v/>
      </c>
      <c r="AG667" s="926" t="str">
        <f t="shared" si="14"/>
        <v/>
      </c>
      <c r="AH667" s="926" t="str">
        <f t="shared" si="15"/>
        <v/>
      </c>
      <c r="AI667" s="926" t="str">
        <f t="shared" si="16"/>
        <v/>
      </c>
      <c r="AJ667" s="926" t="str">
        <f t="shared" si="17"/>
        <v/>
      </c>
      <c r="AK667" s="926" t="str">
        <f t="shared" si="18"/>
        <v/>
      </c>
      <c r="AL667" s="926" t="str">
        <f t="shared" si="19"/>
        <v/>
      </c>
      <c r="AM667" s="926" t="str">
        <f t="shared" si="20"/>
        <v/>
      </c>
      <c r="AN667" s="926" t="str">
        <f t="shared" si="21"/>
        <v/>
      </c>
      <c r="AO667" s="926" t="str">
        <f t="shared" si="22"/>
        <v/>
      </c>
      <c r="AP667" s="926" t="str">
        <f t="shared" si="23"/>
        <v/>
      </c>
      <c r="AQ667" s="926" t="str">
        <f t="shared" si="24"/>
        <v/>
      </c>
      <c r="AR667" s="926" t="str">
        <f t="shared" si="25"/>
        <v/>
      </c>
      <c r="AS667" s="926" t="str">
        <f t="shared" si="26"/>
        <v/>
      </c>
      <c r="AT667" s="926" t="str">
        <f t="shared" si="27"/>
        <v/>
      </c>
      <c r="AU667" s="926" t="str">
        <f t="shared" si="28"/>
        <v/>
      </c>
      <c r="AV667" s="926" t="str">
        <f t="shared" si="29"/>
        <v/>
      </c>
      <c r="AW667" s="926" t="str">
        <f t="shared" si="30"/>
        <v/>
      </c>
      <c r="AX667" s="926" t="str">
        <f t="shared" si="31"/>
        <v/>
      </c>
      <c r="AY667" s="926" t="str">
        <f t="shared" si="32"/>
        <v/>
      </c>
      <c r="AZ667" s="926" t="str">
        <f t="shared" si="33"/>
        <v/>
      </c>
      <c r="BA667" s="926" t="str">
        <f t="shared" si="34"/>
        <v/>
      </c>
      <c r="BB667" s="926" t="str">
        <f t="shared" si="35"/>
        <v/>
      </c>
      <c r="BC667" s="926" t="str">
        <f t="shared" si="36"/>
        <v/>
      </c>
      <c r="BD667" s="926" t="str">
        <f t="shared" si="37"/>
        <v/>
      </c>
      <c r="BE667" s="926" t="str">
        <f t="shared" si="38"/>
        <v/>
      </c>
      <c r="BF667" s="926" t="str">
        <f t="shared" si="39"/>
        <v/>
      </c>
      <c r="BG667" s="926" t="str">
        <f t="shared" si="40"/>
        <v/>
      </c>
      <c r="BH667" s="926" t="str">
        <f t="shared" si="41"/>
        <v/>
      </c>
      <c r="BI667" s="926" t="str">
        <f t="shared" si="42"/>
        <v/>
      </c>
      <c r="BJ667" s="926" t="str">
        <f t="shared" si="43"/>
        <v/>
      </c>
      <c r="BK667" s="926" t="str">
        <f t="shared" si="44"/>
        <v/>
      </c>
      <c r="BL667" s="926" t="str">
        <f t="shared" si="45"/>
        <v/>
      </c>
      <c r="BM667" s="926" t="str">
        <f t="shared" si="46"/>
        <v/>
      </c>
      <c r="BN667" s="926" t="str">
        <f t="shared" si="47"/>
        <v/>
      </c>
      <c r="BO667" s="926" t="str">
        <f t="shared" si="48"/>
        <v/>
      </c>
      <c r="BP667" s="926" t="str">
        <f t="shared" si="49"/>
        <v/>
      </c>
      <c r="BQ667" s="926" t="str">
        <f t="shared" si="50"/>
        <v/>
      </c>
      <c r="BR667" s="926" t="str">
        <f t="shared" si="51"/>
        <v/>
      </c>
      <c r="BS667" s="926" t="str">
        <f t="shared" si="52"/>
        <v/>
      </c>
      <c r="BT667" s="926" t="str">
        <f t="shared" si="53"/>
        <v/>
      </c>
      <c r="BU667" s="926" t="str">
        <f t="shared" si="54"/>
        <v/>
      </c>
      <c r="BV667" s="926" t="str">
        <f t="shared" si="55"/>
        <v/>
      </c>
      <c r="BW667" s="926" t="str">
        <f t="shared" si="56"/>
        <v/>
      </c>
      <c r="BX667" s="926" t="str">
        <f t="shared" si="57"/>
        <v/>
      </c>
      <c r="BY667" s="926" t="str">
        <f t="shared" si="58"/>
        <v/>
      </c>
      <c r="BZ667" s="926" t="str">
        <f t="shared" si="59"/>
        <v/>
      </c>
      <c r="CA667" s="926" t="str">
        <f t="shared" si="60"/>
        <v/>
      </c>
      <c r="CB667" s="926" t="str">
        <f t="shared" si="61"/>
        <v/>
      </c>
      <c r="CC667" s="926" t="str">
        <f t="shared" si="62"/>
        <v/>
      </c>
      <c r="CD667" s="926" t="str">
        <f t="shared" si="63"/>
        <v/>
      </c>
      <c r="CE667" s="926" t="str">
        <f t="shared" si="64"/>
        <v/>
      </c>
      <c r="CF667" s="926" t="str">
        <f t="shared" si="65"/>
        <v/>
      </c>
      <c r="CG667" s="926" t="str">
        <f t="shared" si="66"/>
        <v/>
      </c>
      <c r="CH667" s="926" t="str">
        <f t="shared" si="67"/>
        <v/>
      </c>
      <c r="CI667" s="926" t="str">
        <f t="shared" si="68"/>
        <v/>
      </c>
      <c r="CJ667" s="926" t="str">
        <f t="shared" si="69"/>
        <v/>
      </c>
      <c r="CK667" s="926" t="str">
        <f t="shared" si="70"/>
        <v/>
      </c>
      <c r="CL667" s="926" t="str">
        <f t="shared" si="71"/>
        <v/>
      </c>
      <c r="CM667" s="926" t="str">
        <f t="shared" si="72"/>
        <v/>
      </c>
      <c r="CN667" s="926" t="str">
        <f t="shared" si="73"/>
        <v/>
      </c>
      <c r="CO667" s="926" t="str">
        <f t="shared" si="74"/>
        <v/>
      </c>
      <c r="CP667" s="926" t="str">
        <f t="shared" si="75"/>
        <v/>
      </c>
      <c r="CQ667" s="926" t="str">
        <f t="shared" si="76"/>
        <v/>
      </c>
      <c r="CR667" s="926" t="str">
        <f t="shared" si="77"/>
        <v/>
      </c>
      <c r="CS667" s="926" t="str">
        <f t="shared" si="78"/>
        <v/>
      </c>
      <c r="CT667" s="926" t="str">
        <f t="shared" si="79"/>
        <v/>
      </c>
      <c r="CU667" s="926" t="str">
        <f t="shared" si="80"/>
        <v/>
      </c>
      <c r="CV667" s="926" t="str">
        <f t="shared" si="81"/>
        <v/>
      </c>
      <c r="CW667" s="926" t="str">
        <f t="shared" si="82"/>
        <v/>
      </c>
      <c r="CX667" s="926" t="str">
        <f t="shared" si="83"/>
        <v/>
      </c>
      <c r="CY667" s="926" t="str">
        <f t="shared" si="84"/>
        <v/>
      </c>
      <c r="CZ667" s="926" t="str">
        <f t="shared" si="85"/>
        <v/>
      </c>
      <c r="DA667" s="926" t="str">
        <f t="shared" si="86"/>
        <v/>
      </c>
      <c r="DB667" s="926" t="str">
        <f t="shared" si="87"/>
        <v/>
      </c>
      <c r="DC667" s="926" t="str">
        <f t="shared" si="88"/>
        <v/>
      </c>
      <c r="DD667" s="926" t="str">
        <f t="shared" si="89"/>
        <v/>
      </c>
      <c r="DE667" s="926" t="str">
        <f t="shared" si="90"/>
        <v/>
      </c>
      <c r="DF667" s="926" t="str">
        <f t="shared" si="91"/>
        <v/>
      </c>
      <c r="DG667" s="926" t="str">
        <f t="shared" si="92"/>
        <v/>
      </c>
      <c r="DH667" s="926" t="str">
        <f t="shared" si="93"/>
        <v/>
      </c>
      <c r="DI667" s="926" t="str">
        <f t="shared" si="94"/>
        <v/>
      </c>
      <c r="DJ667" s="926" t="str">
        <f t="shared" si="95"/>
        <v/>
      </c>
      <c r="DK667" s="926" t="str">
        <f t="shared" si="96"/>
        <v/>
      </c>
      <c r="DL667" s="926" t="str">
        <f t="shared" si="97"/>
        <v/>
      </c>
      <c r="DM667" s="926" t="str">
        <f t="shared" si="98"/>
        <v/>
      </c>
      <c r="DN667" s="926" t="str">
        <f t="shared" si="99"/>
        <v/>
      </c>
      <c r="DO667" s="926" t="str">
        <f t="shared" si="100"/>
        <v/>
      </c>
      <c r="DP667" s="926" t="str">
        <f t="shared" si="101"/>
        <v/>
      </c>
      <c r="DQ667" s="926" t="str">
        <f t="shared" si="102"/>
        <v/>
      </c>
      <c r="DR667" s="926" t="str">
        <f t="shared" si="103"/>
        <v/>
      </c>
      <c r="DS667" s="926" t="str">
        <f t="shared" si="104"/>
        <v/>
      </c>
      <c r="DT667" s="926" t="str">
        <f t="shared" si="105"/>
        <v/>
      </c>
      <c r="DU667" s="926" t="str">
        <f t="shared" si="106"/>
        <v/>
      </c>
      <c r="DV667" s="926" t="str">
        <f t="shared" si="107"/>
        <v/>
      </c>
      <c r="DW667" s="926" t="str">
        <f t="shared" si="108"/>
        <v/>
      </c>
      <c r="DX667" s="926" t="str">
        <f t="shared" si="109"/>
        <v/>
      </c>
      <c r="DY667" s="926" t="str">
        <f t="shared" si="110"/>
        <v/>
      </c>
      <c r="DZ667" s="926" t="str">
        <f t="shared" si="111"/>
        <v/>
      </c>
      <c r="EA667" s="926" t="str">
        <f t="shared" si="112"/>
        <v/>
      </c>
      <c r="EB667" s="926" t="str">
        <f t="shared" si="113"/>
        <v/>
      </c>
      <c r="EC667" s="926" t="str">
        <f t="shared" si="114"/>
        <v/>
      </c>
      <c r="ED667" s="926" t="str">
        <f t="shared" si="115"/>
        <v/>
      </c>
      <c r="EE667" s="926" t="str">
        <f t="shared" si="116"/>
        <v/>
      </c>
      <c r="EF667" s="926" t="str">
        <f t="shared" si="117"/>
        <v/>
      </c>
      <c r="EG667" s="926" t="str">
        <f t="shared" si="118"/>
        <v/>
      </c>
      <c r="EH667" s="926" t="str">
        <f t="shared" si="119"/>
        <v/>
      </c>
      <c r="EI667" s="926" t="str">
        <f t="shared" si="120"/>
        <v/>
      </c>
      <c r="EJ667" s="926" t="str">
        <f t="shared" si="121"/>
        <v/>
      </c>
      <c r="EK667" s="926" t="str">
        <f t="shared" si="122"/>
        <v/>
      </c>
      <c r="EL667" s="926" t="str">
        <f t="shared" si="123"/>
        <v/>
      </c>
      <c r="EM667" s="926" t="str">
        <f t="shared" si="124"/>
        <v/>
      </c>
      <c r="EN667" s="926" t="str">
        <f t="shared" si="125"/>
        <v/>
      </c>
      <c r="EO667" s="926" t="str">
        <f t="shared" si="126"/>
        <v/>
      </c>
      <c r="EP667" s="926" t="str">
        <f t="shared" si="127"/>
        <v/>
      </c>
      <c r="EQ667" s="926" t="str">
        <f t="shared" si="128"/>
        <v/>
      </c>
      <c r="ER667" s="926" t="str">
        <f t="shared" si="129"/>
        <v/>
      </c>
      <c r="ES667" s="926" t="str">
        <f t="shared" si="130"/>
        <v/>
      </c>
      <c r="ET667" s="926" t="str">
        <f t="shared" si="131"/>
        <v/>
      </c>
      <c r="EU667" s="926" t="str">
        <f t="shared" si="132"/>
        <v/>
      </c>
      <c r="EV667" s="2945" t="str">
        <f t="shared" si="133"/>
        <v/>
      </c>
      <c r="EW667" s="2945" t="str">
        <f t="shared" si="134"/>
        <v/>
      </c>
      <c r="EX667" s="2945" t="str">
        <f t="shared" si="135"/>
        <v/>
      </c>
      <c r="EY667" s="2945" t="str">
        <f t="shared" si="136"/>
        <v/>
      </c>
      <c r="EZ667" s="2945" t="str">
        <f t="shared" si="137"/>
        <v/>
      </c>
      <c r="FA667" s="2945" t="str">
        <f t="shared" si="138"/>
        <v/>
      </c>
      <c r="FB667" s="2945" t="str">
        <f t="shared" si="139"/>
        <v/>
      </c>
      <c r="FC667" s="2945" t="str">
        <f t="shared" si="140"/>
        <v/>
      </c>
      <c r="FD667" s="2945" t="str">
        <f t="shared" si="141"/>
        <v/>
      </c>
      <c r="FE667" s="2945" t="str">
        <f t="shared" si="142"/>
        <v/>
      </c>
      <c r="FF667" s="2945" t="str">
        <f t="shared" si="143"/>
        <v/>
      </c>
      <c r="FG667" s="2945" t="str">
        <f t="shared" si="144"/>
        <v/>
      </c>
      <c r="FH667" s="2945" t="str">
        <f t="shared" si="145"/>
        <v/>
      </c>
      <c r="FI667" s="2945" t="str">
        <f t="shared" si="146"/>
        <v/>
      </c>
      <c r="FJ667" s="2945" t="str">
        <f t="shared" si="147"/>
        <v/>
      </c>
      <c r="FK667" s="2945" t="str">
        <f t="shared" si="148"/>
        <v/>
      </c>
      <c r="FL667" s="2945" t="str">
        <f t="shared" si="149"/>
        <v/>
      </c>
      <c r="FM667" s="2945" t="str">
        <f t="shared" si="150"/>
        <v/>
      </c>
      <c r="FN667" s="2945" t="str">
        <f t="shared" si="151"/>
        <v/>
      </c>
      <c r="FO667" s="2945" t="str">
        <f t="shared" si="152"/>
        <v/>
      </c>
      <c r="FP667" s="2945" t="str">
        <f t="shared" si="153"/>
        <v/>
      </c>
      <c r="FQ667" s="2945" t="str">
        <f t="shared" si="154"/>
        <v/>
      </c>
      <c r="FR667" s="2945" t="str">
        <f t="shared" si="155"/>
        <v/>
      </c>
      <c r="FS667" s="2945" t="str">
        <f t="shared" si="156"/>
        <v/>
      </c>
      <c r="FT667" s="2945" t="str">
        <f t="shared" si="157"/>
        <v/>
      </c>
      <c r="FU667" s="2945" t="str">
        <f t="shared" si="158"/>
        <v/>
      </c>
      <c r="FV667" s="2945" t="str">
        <f t="shared" si="159"/>
        <v/>
      </c>
      <c r="FW667" s="2945" t="str">
        <f t="shared" si="160"/>
        <v/>
      </c>
      <c r="FX667" s="2945" t="str">
        <f t="shared" si="161"/>
        <v/>
      </c>
      <c r="FY667" s="2945" t="str">
        <f t="shared" si="162"/>
        <v/>
      </c>
      <c r="FZ667" s="2945" t="str">
        <f t="shared" si="163"/>
        <v/>
      </c>
      <c r="GA667" s="2945" t="str">
        <f t="shared" si="164"/>
        <v/>
      </c>
      <c r="GB667" s="2945" t="str">
        <f t="shared" si="165"/>
        <v/>
      </c>
      <c r="GC667" s="2945" t="str">
        <f t="shared" si="166"/>
        <v/>
      </c>
      <c r="GD667" s="2945" t="str">
        <f t="shared" si="167"/>
        <v/>
      </c>
      <c r="GE667" s="2945" t="str">
        <f t="shared" si="168"/>
        <v/>
      </c>
      <c r="GF667" s="2945" t="str">
        <f t="shared" si="169"/>
        <v/>
      </c>
      <c r="GG667" s="2945" t="str">
        <f t="shared" si="170"/>
        <v/>
      </c>
      <c r="GH667" s="2945" t="str">
        <f t="shared" si="171"/>
        <v/>
      </c>
      <c r="GI667" s="2945" t="str">
        <f t="shared" si="172"/>
        <v/>
      </c>
      <c r="GJ667" s="2945" t="str">
        <f t="shared" si="173"/>
        <v/>
      </c>
      <c r="GK667" s="2945" t="str">
        <f t="shared" si="174"/>
        <v/>
      </c>
      <c r="GL667" s="2945" t="str">
        <f t="shared" si="175"/>
        <v/>
      </c>
      <c r="GM667" s="2945" t="str">
        <f t="shared" si="176"/>
        <v/>
      </c>
      <c r="GN667" s="2945" t="str">
        <f t="shared" si="177"/>
        <v/>
      </c>
      <c r="GO667" s="2945" t="str">
        <f t="shared" si="178"/>
        <v/>
      </c>
      <c r="GP667" s="2945" t="str">
        <f t="shared" si="179"/>
        <v/>
      </c>
      <c r="GQ667" s="2945" t="str">
        <f t="shared" si="180"/>
        <v/>
      </c>
      <c r="GR667" s="2945" t="str">
        <f t="shared" si="181"/>
        <v/>
      </c>
      <c r="GS667" s="2945" t="str">
        <f t="shared" si="182"/>
        <v/>
      </c>
      <c r="GT667" s="2945" t="str">
        <f t="shared" si="183"/>
        <v/>
      </c>
      <c r="GU667" s="2945" t="str">
        <f t="shared" si="184"/>
        <v/>
      </c>
      <c r="GV667" s="2945" t="str">
        <f t="shared" si="185"/>
        <v/>
      </c>
      <c r="GW667" s="2945" t="str">
        <f t="shared" si="186"/>
        <v/>
      </c>
      <c r="GX667" s="2945" t="str">
        <f t="shared" si="187"/>
        <v/>
      </c>
      <c r="GY667" s="2945" t="str">
        <f t="shared" si="188"/>
        <v/>
      </c>
      <c r="GZ667" s="2945" t="str">
        <f t="shared" si="189"/>
        <v/>
      </c>
      <c r="HA667" s="2945" t="str">
        <f t="shared" si="190"/>
        <v/>
      </c>
      <c r="HB667" s="2945" t="str">
        <f t="shared" si="191"/>
        <v/>
      </c>
      <c r="HC667" s="2945" t="str">
        <f t="shared" si="192"/>
        <v/>
      </c>
      <c r="HD667" s="2945" t="str">
        <f t="shared" si="193"/>
        <v/>
      </c>
      <c r="HE667" s="2945" t="str">
        <f t="shared" si="194"/>
        <v/>
      </c>
      <c r="HF667" s="2945" t="str">
        <f t="shared" si="195"/>
        <v/>
      </c>
      <c r="HG667" s="2945" t="str">
        <f t="shared" si="196"/>
        <v/>
      </c>
      <c r="HH667" s="2945" t="str">
        <f t="shared" si="197"/>
        <v/>
      </c>
      <c r="HI667" s="2945" t="str">
        <f t="shared" si="198"/>
        <v/>
      </c>
      <c r="HJ667" s="2945" t="str">
        <f t="shared" si="199"/>
        <v/>
      </c>
      <c r="HK667" s="2945" t="str">
        <f t="shared" si="200"/>
        <v/>
      </c>
      <c r="HL667" s="2945" t="str">
        <f t="shared" si="201"/>
        <v/>
      </c>
      <c r="HM667" s="2945" t="str">
        <f t="shared" si="202"/>
        <v/>
      </c>
      <c r="HN667" s="2945" t="str">
        <f t="shared" si="203"/>
        <v/>
      </c>
      <c r="HO667" s="2945" t="str">
        <f t="shared" si="204"/>
        <v/>
      </c>
      <c r="HP667" s="2945" t="str">
        <f t="shared" si="205"/>
        <v/>
      </c>
      <c r="HQ667" s="2945" t="str">
        <f t="shared" si="206"/>
        <v/>
      </c>
      <c r="HR667" s="2945" t="str">
        <f t="shared" si="207"/>
        <v/>
      </c>
      <c r="HS667" s="2945" t="str">
        <f t="shared" si="208"/>
        <v/>
      </c>
      <c r="HT667" s="2945" t="str">
        <f t="shared" si="209"/>
        <v/>
      </c>
      <c r="HU667" s="2945" t="str">
        <f t="shared" si="210"/>
        <v/>
      </c>
      <c r="HV667" s="2945" t="str">
        <f t="shared" si="211"/>
        <v/>
      </c>
      <c r="HW667" s="2945" t="str">
        <f t="shared" si="212"/>
        <v/>
      </c>
      <c r="HX667" s="2945" t="str">
        <f t="shared" si="213"/>
        <v/>
      </c>
      <c r="HY667" s="2945" t="str">
        <f t="shared" si="214"/>
        <v/>
      </c>
      <c r="HZ667" s="2945" t="str">
        <f t="shared" si="215"/>
        <v/>
      </c>
      <c r="IA667" s="2945" t="str">
        <f t="shared" si="216"/>
        <v/>
      </c>
      <c r="IB667" s="2945" t="str">
        <f t="shared" si="217"/>
        <v/>
      </c>
      <c r="IC667" s="2911" t="str">
        <f t="shared" si="218"/>
        <v/>
      </c>
      <c r="ID667" s="2911" t="str">
        <f t="shared" si="219"/>
        <v/>
      </c>
      <c r="IE667" s="2911" t="str">
        <f t="shared" si="220"/>
        <v/>
      </c>
      <c r="IF667" s="2911" t="str">
        <f t="shared" si="221"/>
        <v/>
      </c>
      <c r="IG667" s="2911" t="str">
        <f t="shared" si="222"/>
        <v/>
      </c>
      <c r="IH667" s="926" t="str">
        <f t="shared" si="223"/>
        <v/>
      </c>
      <c r="II667" s="926" t="str">
        <f t="shared" si="224"/>
        <v/>
      </c>
      <c r="IJ667" s="926" t="str">
        <f t="shared" si="225"/>
        <v/>
      </c>
      <c r="IK667" s="926" t="str">
        <f t="shared" si="226"/>
        <v/>
      </c>
      <c r="IL667" s="926" t="str">
        <f t="shared" si="227"/>
        <v/>
      </c>
      <c r="IM667" s="926" t="str">
        <f t="shared" si="228"/>
        <v/>
      </c>
      <c r="IN667" s="926" t="str">
        <f t="shared" si="229"/>
        <v/>
      </c>
      <c r="IO667" s="926" t="str">
        <f t="shared" si="230"/>
        <v/>
      </c>
      <c r="IP667" s="926" t="str">
        <f t="shared" si="231"/>
        <v/>
      </c>
      <c r="IQ667" s="926" t="str">
        <f t="shared" si="232"/>
        <v/>
      </c>
      <c r="IR667" s="926" t="str">
        <f t="shared" si="233"/>
        <v/>
      </c>
      <c r="IS667" s="926" t="str">
        <f t="shared" si="234"/>
        <v/>
      </c>
      <c r="IT667" s="926" t="str">
        <f t="shared" si="235"/>
        <v/>
      </c>
      <c r="IU667" s="926" t="str">
        <f t="shared" si="236"/>
        <v/>
      </c>
      <c r="IV667" s="926" t="str">
        <f t="shared" si="237"/>
        <v/>
      </c>
      <c r="IW667" s="926" t="str">
        <f t="shared" si="238"/>
        <v/>
      </c>
      <c r="IX667" s="926" t="str">
        <f t="shared" si="239"/>
        <v/>
      </c>
      <c r="IY667" s="926" t="str">
        <f t="shared" si="240"/>
        <v/>
      </c>
      <c r="IZ667" s="926" t="str">
        <f t="shared" si="241"/>
        <v/>
      </c>
      <c r="JA667" s="926" t="str">
        <f t="shared" si="242"/>
        <v/>
      </c>
      <c r="JB667" s="2909">
        <f t="shared" si="243"/>
        <v>0</v>
      </c>
      <c r="JC667" s="2909">
        <f t="shared" si="244"/>
        <v>0</v>
      </c>
      <c r="JD667" s="2909">
        <f t="shared" si="245"/>
        <v>0</v>
      </c>
      <c r="JE667" s="2909">
        <f t="shared" si="246"/>
        <v>0</v>
      </c>
      <c r="JF667" s="2909">
        <f t="shared" si="247"/>
        <v>0</v>
      </c>
      <c r="JG667" s="2909">
        <f t="shared" si="248"/>
        <v>0</v>
      </c>
      <c r="JH667" s="2909">
        <f t="shared" si="249"/>
        <v>0</v>
      </c>
      <c r="JI667" s="2909">
        <f t="shared" si="250"/>
        <v>0</v>
      </c>
      <c r="JJ667" s="2909">
        <f t="shared" si="251"/>
        <v>0</v>
      </c>
      <c r="JK667" s="2909">
        <f t="shared" si="252"/>
        <v>0</v>
      </c>
      <c r="JL667" s="2909">
        <f t="shared" si="253"/>
        <v>0</v>
      </c>
      <c r="JM667" s="2909">
        <f t="shared" si="254"/>
        <v>0</v>
      </c>
      <c r="JN667" s="2909">
        <f t="shared" si="255"/>
        <v>0</v>
      </c>
      <c r="JO667" s="2909">
        <f t="shared" si="256"/>
        <v>0</v>
      </c>
      <c r="JP667" s="2909">
        <f t="shared" si="257"/>
        <v>0</v>
      </c>
    </row>
    <row r="668" spans="1:277" ht="14.45" customHeight="1">
      <c r="A668" s="2924">
        <f>COUNT(A630,A631,A632,A633,A634,A635,A636,A637,A638,A639,A640,A641,A642,A643,A644,A645,A646,A647,A648,A649,A650,A651,A652,A653,A654,A655,A656,A657,A658,A659)</f>
        <v>0</v>
      </c>
      <c r="B668" s="521"/>
      <c r="C668" s="521"/>
      <c r="D668" s="2946" t="s">
        <v>1067</v>
      </c>
      <c r="E668" s="2947">
        <f>SUM(E630:E667)</f>
        <v>42</v>
      </c>
      <c r="F668" s="2947">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36371</v>
      </c>
      <c r="G668" s="523"/>
      <c r="H668" s="523"/>
      <c r="I668" s="523"/>
      <c r="J668" s="523"/>
      <c r="K668" s="2948" t="s">
        <v>1366</v>
      </c>
      <c r="L668" s="2947">
        <f>SUM(L630:L667)</f>
        <v>16900</v>
      </c>
      <c r="M668" s="521"/>
      <c r="N668" s="521"/>
      <c r="O668" s="521"/>
      <c r="P668" s="521"/>
      <c r="Q668" s="521"/>
      <c r="R668" s="521"/>
      <c r="S668" s="521"/>
      <c r="T668" s="2927"/>
      <c r="U668" s="2949"/>
      <c r="V668" s="2949">
        <f t="shared" ref="V668:CG668" si="258">SUM(V630:V667)</f>
        <v>0</v>
      </c>
      <c r="W668" s="2949">
        <f t="shared" si="258"/>
        <v>3</v>
      </c>
      <c r="X668" s="2949">
        <f t="shared" si="258"/>
        <v>24</v>
      </c>
      <c r="Y668" s="2949">
        <f t="shared" si="258"/>
        <v>6</v>
      </c>
      <c r="Z668" s="2949">
        <f t="shared" si="258"/>
        <v>0</v>
      </c>
      <c r="AA668" s="2949">
        <f t="shared" si="258"/>
        <v>0</v>
      </c>
      <c r="AB668" s="2949">
        <f t="shared" si="258"/>
        <v>1</v>
      </c>
      <c r="AC668" s="2949">
        <f t="shared" si="258"/>
        <v>6</v>
      </c>
      <c r="AD668" s="2949">
        <f t="shared" si="258"/>
        <v>2</v>
      </c>
      <c r="AE668" s="2949">
        <f t="shared" si="258"/>
        <v>0</v>
      </c>
      <c r="AF668" s="2949">
        <f t="shared" si="258"/>
        <v>0</v>
      </c>
      <c r="AG668" s="2949">
        <f t="shared" si="258"/>
        <v>0</v>
      </c>
      <c r="AH668" s="2949">
        <f t="shared" si="258"/>
        <v>0</v>
      </c>
      <c r="AI668" s="2949">
        <f t="shared" si="258"/>
        <v>0</v>
      </c>
      <c r="AJ668" s="2949">
        <f t="shared" si="258"/>
        <v>0</v>
      </c>
      <c r="AK668" s="2949">
        <f t="shared" si="258"/>
        <v>0</v>
      </c>
      <c r="AL668" s="2949">
        <f t="shared" si="258"/>
        <v>0</v>
      </c>
      <c r="AM668" s="2949">
        <f t="shared" si="258"/>
        <v>0</v>
      </c>
      <c r="AN668" s="2949">
        <f t="shared" si="258"/>
        <v>0</v>
      </c>
      <c r="AO668" s="2949">
        <f t="shared" si="258"/>
        <v>0</v>
      </c>
      <c r="AP668" s="2949">
        <f t="shared" si="258"/>
        <v>0</v>
      </c>
      <c r="AQ668" s="2949">
        <f t="shared" si="258"/>
        <v>0</v>
      </c>
      <c r="AR668" s="2949">
        <f t="shared" si="258"/>
        <v>0</v>
      </c>
      <c r="AS668" s="2949">
        <f t="shared" si="258"/>
        <v>0</v>
      </c>
      <c r="AT668" s="2949">
        <f t="shared" si="258"/>
        <v>0</v>
      </c>
      <c r="AU668" s="2949">
        <f t="shared" si="258"/>
        <v>0</v>
      </c>
      <c r="AV668" s="2949">
        <f t="shared" si="258"/>
        <v>1</v>
      </c>
      <c r="AW668" s="2949">
        <f t="shared" si="258"/>
        <v>6</v>
      </c>
      <c r="AX668" s="2949">
        <f t="shared" si="258"/>
        <v>0</v>
      </c>
      <c r="AY668" s="2949">
        <f t="shared" si="258"/>
        <v>0</v>
      </c>
      <c r="AZ668" s="2949">
        <f t="shared" si="258"/>
        <v>0</v>
      </c>
      <c r="BA668" s="2949">
        <f t="shared" si="258"/>
        <v>0</v>
      </c>
      <c r="BB668" s="2949">
        <f t="shared" si="258"/>
        <v>0</v>
      </c>
      <c r="BC668" s="2949">
        <f t="shared" si="258"/>
        <v>0</v>
      </c>
      <c r="BD668" s="2949">
        <f t="shared" si="258"/>
        <v>0</v>
      </c>
      <c r="BE668" s="2949">
        <f t="shared" si="258"/>
        <v>0</v>
      </c>
      <c r="BF668" s="2949">
        <f t="shared" si="258"/>
        <v>0</v>
      </c>
      <c r="BG668" s="2949">
        <f t="shared" si="258"/>
        <v>0</v>
      </c>
      <c r="BH668" s="2949">
        <f t="shared" si="258"/>
        <v>0</v>
      </c>
      <c r="BI668" s="2949">
        <f t="shared" si="258"/>
        <v>0</v>
      </c>
      <c r="BJ668" s="2949">
        <f t="shared" si="258"/>
        <v>0</v>
      </c>
      <c r="BK668" s="2949">
        <f t="shared" si="258"/>
        <v>0</v>
      </c>
      <c r="BL668" s="2949">
        <f t="shared" si="258"/>
        <v>0</v>
      </c>
      <c r="BM668" s="2949">
        <f t="shared" si="258"/>
        <v>0</v>
      </c>
      <c r="BN668" s="2949">
        <f t="shared" si="258"/>
        <v>0</v>
      </c>
      <c r="BO668" s="2949">
        <f t="shared" si="258"/>
        <v>0</v>
      </c>
      <c r="BP668" s="2949">
        <f t="shared" si="258"/>
        <v>0</v>
      </c>
      <c r="BQ668" s="2949">
        <f t="shared" si="258"/>
        <v>0</v>
      </c>
      <c r="BR668" s="2949">
        <f t="shared" si="258"/>
        <v>0</v>
      </c>
      <c r="BS668" s="2949">
        <f t="shared" si="258"/>
        <v>0</v>
      </c>
      <c r="BT668" s="2949">
        <f t="shared" si="258"/>
        <v>0</v>
      </c>
      <c r="BU668" s="2949">
        <f t="shared" si="258"/>
        <v>0</v>
      </c>
      <c r="BV668" s="2949">
        <f t="shared" si="258"/>
        <v>0</v>
      </c>
      <c r="BW668" s="2949">
        <f t="shared" si="258"/>
        <v>0</v>
      </c>
      <c r="BX668" s="2949">
        <f t="shared" si="258"/>
        <v>0</v>
      </c>
      <c r="BY668" s="2949">
        <f t="shared" si="258"/>
        <v>0</v>
      </c>
      <c r="BZ668" s="2949">
        <f t="shared" si="258"/>
        <v>1824</v>
      </c>
      <c r="CA668" s="2949">
        <f t="shared" si="258"/>
        <v>20088</v>
      </c>
      <c r="CB668" s="2949">
        <f t="shared" si="258"/>
        <v>6600</v>
      </c>
      <c r="CC668" s="2949">
        <f t="shared" si="258"/>
        <v>0</v>
      </c>
      <c r="CD668" s="2949">
        <f t="shared" si="258"/>
        <v>0</v>
      </c>
      <c r="CE668" s="2949">
        <f t="shared" si="258"/>
        <v>637</v>
      </c>
      <c r="CF668" s="2949">
        <f t="shared" si="258"/>
        <v>5022</v>
      </c>
      <c r="CG668" s="2949">
        <f t="shared" si="258"/>
        <v>2200</v>
      </c>
      <c r="CH668" s="2949">
        <f t="shared" ref="CH668:ES668" si="259">SUM(CH630:CH667)</f>
        <v>0</v>
      </c>
      <c r="CI668" s="2949">
        <f t="shared" si="259"/>
        <v>0</v>
      </c>
      <c r="CJ668" s="2949">
        <f t="shared" si="259"/>
        <v>0</v>
      </c>
      <c r="CK668" s="2949">
        <f t="shared" si="259"/>
        <v>0</v>
      </c>
      <c r="CL668" s="2949">
        <f t="shared" si="259"/>
        <v>0</v>
      </c>
      <c r="CM668" s="2949">
        <f t="shared" si="259"/>
        <v>0</v>
      </c>
      <c r="CN668" s="2949">
        <f t="shared" si="259"/>
        <v>0</v>
      </c>
      <c r="CO668" s="2949">
        <f t="shared" si="259"/>
        <v>0</v>
      </c>
      <c r="CP668" s="2949">
        <f t="shared" si="259"/>
        <v>0</v>
      </c>
      <c r="CQ668" s="2949">
        <f t="shared" si="259"/>
        <v>0</v>
      </c>
      <c r="CR668" s="2949">
        <f t="shared" si="259"/>
        <v>0</v>
      </c>
      <c r="CS668" s="2949">
        <f t="shared" si="259"/>
        <v>0</v>
      </c>
      <c r="CT668" s="2949">
        <f t="shared" si="259"/>
        <v>637</v>
      </c>
      <c r="CU668" s="2949">
        <f t="shared" si="259"/>
        <v>5022</v>
      </c>
      <c r="CV668" s="2949">
        <f t="shared" si="259"/>
        <v>0</v>
      </c>
      <c r="CW668" s="2949">
        <f t="shared" si="259"/>
        <v>0</v>
      </c>
      <c r="CX668" s="2949">
        <f t="shared" si="259"/>
        <v>0</v>
      </c>
      <c r="CY668" s="2949">
        <f t="shared" si="259"/>
        <v>0</v>
      </c>
      <c r="CZ668" s="2949">
        <f t="shared" si="259"/>
        <v>0</v>
      </c>
      <c r="DA668" s="2949">
        <f t="shared" si="259"/>
        <v>0</v>
      </c>
      <c r="DB668" s="2949">
        <f t="shared" si="259"/>
        <v>0</v>
      </c>
      <c r="DC668" s="2949">
        <f t="shared" si="259"/>
        <v>0</v>
      </c>
      <c r="DD668" s="2949">
        <f t="shared" si="259"/>
        <v>0</v>
      </c>
      <c r="DE668" s="2949">
        <f t="shared" si="259"/>
        <v>0</v>
      </c>
      <c r="DF668" s="2949">
        <f t="shared" si="259"/>
        <v>0</v>
      </c>
      <c r="DG668" s="2949">
        <f t="shared" si="259"/>
        <v>0</v>
      </c>
      <c r="DH668" s="2949">
        <f t="shared" si="259"/>
        <v>0</v>
      </c>
      <c r="DI668" s="2949">
        <f t="shared" si="259"/>
        <v>0</v>
      </c>
      <c r="DJ668" s="2949">
        <f t="shared" si="259"/>
        <v>0</v>
      </c>
      <c r="DK668" s="2949">
        <f t="shared" si="259"/>
        <v>0</v>
      </c>
      <c r="DL668" s="2949">
        <f t="shared" si="259"/>
        <v>0</v>
      </c>
      <c r="DM668" s="2949">
        <f t="shared" si="259"/>
        <v>0</v>
      </c>
      <c r="DN668" s="2949">
        <f t="shared" si="259"/>
        <v>0</v>
      </c>
      <c r="DO668" s="2949">
        <f t="shared" si="259"/>
        <v>0</v>
      </c>
      <c r="DP668" s="2949">
        <f t="shared" si="259"/>
        <v>0</v>
      </c>
      <c r="DQ668" s="2949">
        <f t="shared" si="259"/>
        <v>0</v>
      </c>
      <c r="DR668" s="2949">
        <f t="shared" si="259"/>
        <v>0</v>
      </c>
      <c r="DS668" s="2949">
        <f t="shared" si="259"/>
        <v>4</v>
      </c>
      <c r="DT668" s="2949">
        <f t="shared" si="259"/>
        <v>30</v>
      </c>
      <c r="DU668" s="2949">
        <f t="shared" si="259"/>
        <v>8</v>
      </c>
      <c r="DV668" s="2949">
        <f t="shared" si="259"/>
        <v>0</v>
      </c>
      <c r="DW668" s="2949">
        <f t="shared" si="259"/>
        <v>0</v>
      </c>
      <c r="DX668" s="2949">
        <f t="shared" si="259"/>
        <v>0</v>
      </c>
      <c r="DY668" s="2949">
        <f t="shared" si="259"/>
        <v>0</v>
      </c>
      <c r="DZ668" s="2949">
        <f t="shared" si="259"/>
        <v>0</v>
      </c>
      <c r="EA668" s="2949">
        <f t="shared" si="259"/>
        <v>0</v>
      </c>
      <c r="EB668" s="2949">
        <f t="shared" si="259"/>
        <v>0</v>
      </c>
      <c r="EC668" s="2949">
        <f t="shared" si="259"/>
        <v>0</v>
      </c>
      <c r="ED668" s="2949">
        <f t="shared" si="259"/>
        <v>0</v>
      </c>
      <c r="EE668" s="2949">
        <f t="shared" si="259"/>
        <v>0</v>
      </c>
      <c r="EF668" s="2949">
        <f t="shared" si="259"/>
        <v>0</v>
      </c>
      <c r="EG668" s="2949">
        <f t="shared" si="259"/>
        <v>0</v>
      </c>
      <c r="EH668" s="2949">
        <f t="shared" si="259"/>
        <v>0</v>
      </c>
      <c r="EI668" s="2949">
        <f t="shared" si="259"/>
        <v>0</v>
      </c>
      <c r="EJ668" s="2949">
        <f t="shared" si="259"/>
        <v>0</v>
      </c>
      <c r="EK668" s="2949">
        <f t="shared" si="259"/>
        <v>0</v>
      </c>
      <c r="EL668" s="2949">
        <f t="shared" si="259"/>
        <v>0</v>
      </c>
      <c r="EM668" s="2949">
        <f t="shared" si="259"/>
        <v>0</v>
      </c>
      <c r="EN668" s="2949">
        <f t="shared" si="259"/>
        <v>0</v>
      </c>
      <c r="EO668" s="2949">
        <f t="shared" si="259"/>
        <v>0</v>
      </c>
      <c r="EP668" s="2949">
        <f t="shared" si="259"/>
        <v>0</v>
      </c>
      <c r="EQ668" s="2949">
        <f t="shared" si="259"/>
        <v>0</v>
      </c>
      <c r="ER668" s="2949">
        <f t="shared" si="259"/>
        <v>0</v>
      </c>
      <c r="ES668" s="2949">
        <f t="shared" si="259"/>
        <v>0</v>
      </c>
      <c r="ET668" s="2949">
        <f t="shared" ref="ET668:HE668" si="260">SUM(ET630:ET667)</f>
        <v>0</v>
      </c>
      <c r="EU668" s="2949">
        <f t="shared" si="260"/>
        <v>0</v>
      </c>
      <c r="EV668" s="2949">
        <f t="shared" si="260"/>
        <v>0</v>
      </c>
      <c r="EW668" s="2949">
        <f t="shared" si="260"/>
        <v>4</v>
      </c>
      <c r="EX668" s="2949">
        <f t="shared" si="260"/>
        <v>0</v>
      </c>
      <c r="EY668" s="2949">
        <f t="shared" si="260"/>
        <v>8</v>
      </c>
      <c r="EZ668" s="2949">
        <f t="shared" si="260"/>
        <v>0</v>
      </c>
      <c r="FA668" s="2949">
        <f t="shared" si="260"/>
        <v>0</v>
      </c>
      <c r="FB668" s="2949">
        <f t="shared" si="260"/>
        <v>0</v>
      </c>
      <c r="FC668" s="2949">
        <f t="shared" si="260"/>
        <v>0</v>
      </c>
      <c r="FD668" s="2949">
        <f t="shared" si="260"/>
        <v>0</v>
      </c>
      <c r="FE668" s="2949">
        <f t="shared" si="260"/>
        <v>0</v>
      </c>
      <c r="FF668" s="2949">
        <f t="shared" si="260"/>
        <v>0</v>
      </c>
      <c r="FG668" s="2949">
        <f t="shared" si="260"/>
        <v>0</v>
      </c>
      <c r="FH668" s="2949">
        <f t="shared" si="260"/>
        <v>0</v>
      </c>
      <c r="FI668" s="2949">
        <f t="shared" si="260"/>
        <v>0</v>
      </c>
      <c r="FJ668" s="2949">
        <f t="shared" si="260"/>
        <v>0</v>
      </c>
      <c r="FK668" s="2949">
        <f t="shared" si="260"/>
        <v>0</v>
      </c>
      <c r="FL668" s="2949">
        <f t="shared" si="260"/>
        <v>0</v>
      </c>
      <c r="FM668" s="2949">
        <f t="shared" si="260"/>
        <v>0</v>
      </c>
      <c r="FN668" s="2949">
        <f t="shared" si="260"/>
        <v>0</v>
      </c>
      <c r="FO668" s="2949">
        <f t="shared" si="260"/>
        <v>0</v>
      </c>
      <c r="FP668" s="2949">
        <f t="shared" si="260"/>
        <v>0</v>
      </c>
      <c r="FQ668" s="2949">
        <f t="shared" si="260"/>
        <v>0</v>
      </c>
      <c r="FR668" s="2949">
        <f t="shared" si="260"/>
        <v>0</v>
      </c>
      <c r="FS668" s="2949">
        <f t="shared" si="260"/>
        <v>0</v>
      </c>
      <c r="FT668" s="2949">
        <f t="shared" si="260"/>
        <v>0</v>
      </c>
      <c r="FU668" s="2949">
        <f t="shared" si="260"/>
        <v>0</v>
      </c>
      <c r="FV668" s="2949">
        <f t="shared" si="260"/>
        <v>0</v>
      </c>
      <c r="FW668" s="2949">
        <f t="shared" si="260"/>
        <v>0</v>
      </c>
      <c r="FX668" s="2949">
        <f t="shared" si="260"/>
        <v>0</v>
      </c>
      <c r="FY668" s="2949">
        <f t="shared" si="260"/>
        <v>0</v>
      </c>
      <c r="FZ668" s="2949">
        <f t="shared" si="260"/>
        <v>0</v>
      </c>
      <c r="GA668" s="2949">
        <f t="shared" si="260"/>
        <v>0</v>
      </c>
      <c r="GB668" s="2949">
        <f t="shared" si="260"/>
        <v>0</v>
      </c>
      <c r="GC668" s="2949">
        <f t="shared" si="260"/>
        <v>0</v>
      </c>
      <c r="GD668" s="2949">
        <f t="shared" si="260"/>
        <v>0</v>
      </c>
      <c r="GE668" s="2949">
        <f t="shared" si="260"/>
        <v>0</v>
      </c>
      <c r="GF668" s="2949">
        <f t="shared" si="260"/>
        <v>0</v>
      </c>
      <c r="GG668" s="2949">
        <f t="shared" si="260"/>
        <v>30</v>
      </c>
      <c r="GH668" s="2949">
        <f t="shared" si="260"/>
        <v>0</v>
      </c>
      <c r="GI668" s="2949">
        <f t="shared" si="260"/>
        <v>0</v>
      </c>
      <c r="GJ668" s="2949">
        <f t="shared" si="260"/>
        <v>0</v>
      </c>
      <c r="GK668" s="2949">
        <f t="shared" si="260"/>
        <v>0</v>
      </c>
      <c r="GL668" s="2949">
        <f t="shared" si="260"/>
        <v>0</v>
      </c>
      <c r="GM668" s="2949">
        <f t="shared" si="260"/>
        <v>0</v>
      </c>
      <c r="GN668" s="2949">
        <f t="shared" si="260"/>
        <v>0</v>
      </c>
      <c r="GO668" s="2949">
        <f t="shared" si="260"/>
        <v>0</v>
      </c>
      <c r="GP668" s="2949">
        <f t="shared" si="260"/>
        <v>4</v>
      </c>
      <c r="GQ668" s="2949">
        <f t="shared" si="260"/>
        <v>0</v>
      </c>
      <c r="GR668" s="2949">
        <f t="shared" si="260"/>
        <v>8</v>
      </c>
      <c r="GS668" s="2949">
        <f t="shared" si="260"/>
        <v>0</v>
      </c>
      <c r="GT668" s="2949">
        <f t="shared" si="260"/>
        <v>0</v>
      </c>
      <c r="GU668" s="2949">
        <f t="shared" si="260"/>
        <v>0</v>
      </c>
      <c r="GV668" s="2949">
        <f t="shared" si="260"/>
        <v>0</v>
      </c>
      <c r="GW668" s="2949">
        <f t="shared" si="260"/>
        <v>0</v>
      </c>
      <c r="GX668" s="2949">
        <f t="shared" si="260"/>
        <v>0</v>
      </c>
      <c r="GY668" s="2949">
        <f t="shared" si="260"/>
        <v>0</v>
      </c>
      <c r="GZ668" s="2949">
        <f t="shared" si="260"/>
        <v>0</v>
      </c>
      <c r="HA668" s="2949">
        <f t="shared" si="260"/>
        <v>0</v>
      </c>
      <c r="HB668" s="2949">
        <f t="shared" si="260"/>
        <v>0</v>
      </c>
      <c r="HC668" s="2949">
        <f t="shared" si="260"/>
        <v>0</v>
      </c>
      <c r="HD668" s="2949">
        <f t="shared" si="260"/>
        <v>0</v>
      </c>
      <c r="HE668" s="2949">
        <f t="shared" si="260"/>
        <v>0</v>
      </c>
      <c r="HF668" s="2949">
        <f t="shared" ref="HF668:JQ668" si="261">SUM(HF630:HF667)</f>
        <v>0</v>
      </c>
      <c r="HG668" s="2949">
        <f t="shared" si="261"/>
        <v>0</v>
      </c>
      <c r="HH668" s="2949">
        <f t="shared" si="261"/>
        <v>0</v>
      </c>
      <c r="HI668" s="2949">
        <f t="shared" si="261"/>
        <v>0</v>
      </c>
      <c r="HJ668" s="2949">
        <f t="shared" si="261"/>
        <v>0</v>
      </c>
      <c r="HK668" s="2949">
        <f t="shared" si="261"/>
        <v>0</v>
      </c>
      <c r="HL668" s="2949">
        <f t="shared" si="261"/>
        <v>0</v>
      </c>
      <c r="HM668" s="2949">
        <f t="shared" si="261"/>
        <v>0</v>
      </c>
      <c r="HN668" s="2949">
        <f t="shared" si="261"/>
        <v>0</v>
      </c>
      <c r="HO668" s="2949">
        <f t="shared" si="261"/>
        <v>0</v>
      </c>
      <c r="HP668" s="2949">
        <f t="shared" si="261"/>
        <v>0</v>
      </c>
      <c r="HQ668" s="2949">
        <f t="shared" si="261"/>
        <v>0</v>
      </c>
      <c r="HR668" s="2949">
        <f t="shared" si="261"/>
        <v>0</v>
      </c>
      <c r="HS668" s="2949">
        <f t="shared" si="261"/>
        <v>0</v>
      </c>
      <c r="HT668" s="2949">
        <f t="shared" si="261"/>
        <v>0</v>
      </c>
      <c r="HU668" s="2949">
        <f t="shared" si="261"/>
        <v>0</v>
      </c>
      <c r="HV668" s="2949">
        <f t="shared" si="261"/>
        <v>0</v>
      </c>
      <c r="HW668" s="2949">
        <f t="shared" si="261"/>
        <v>0</v>
      </c>
      <c r="HX668" s="2949">
        <f t="shared" si="261"/>
        <v>0</v>
      </c>
      <c r="HY668" s="2949">
        <f t="shared" si="261"/>
        <v>0</v>
      </c>
      <c r="HZ668" s="2949">
        <f t="shared" si="261"/>
        <v>0</v>
      </c>
      <c r="IA668" s="2949">
        <f t="shared" si="261"/>
        <v>0</v>
      </c>
      <c r="IB668" s="2949">
        <f t="shared" si="261"/>
        <v>0</v>
      </c>
      <c r="IC668" s="2949">
        <f t="shared" si="261"/>
        <v>0</v>
      </c>
      <c r="ID668" s="2949">
        <f t="shared" si="261"/>
        <v>0</v>
      </c>
      <c r="IE668" s="2949">
        <f t="shared" si="261"/>
        <v>0</v>
      </c>
      <c r="IF668" s="2949">
        <f t="shared" si="261"/>
        <v>0</v>
      </c>
      <c r="IG668" s="2949">
        <f t="shared" si="261"/>
        <v>0</v>
      </c>
      <c r="IH668" s="2949">
        <f t="shared" si="261"/>
        <v>0</v>
      </c>
      <c r="II668" s="2949">
        <f t="shared" si="261"/>
        <v>0</v>
      </c>
      <c r="IJ668" s="2949">
        <f t="shared" si="261"/>
        <v>0</v>
      </c>
      <c r="IK668" s="2949">
        <f t="shared" si="261"/>
        <v>0</v>
      </c>
      <c r="IL668" s="2949">
        <f t="shared" si="261"/>
        <v>0</v>
      </c>
      <c r="IM668" s="2949">
        <f t="shared" si="261"/>
        <v>0</v>
      </c>
      <c r="IN668" s="2949">
        <f t="shared" si="261"/>
        <v>0</v>
      </c>
      <c r="IO668" s="2949">
        <f t="shared" si="261"/>
        <v>0</v>
      </c>
      <c r="IP668" s="2949">
        <f t="shared" si="261"/>
        <v>0</v>
      </c>
      <c r="IQ668" s="2949">
        <f t="shared" si="261"/>
        <v>0</v>
      </c>
      <c r="IR668" s="2949">
        <f t="shared" si="261"/>
        <v>0</v>
      </c>
      <c r="IS668" s="2949">
        <f t="shared" si="261"/>
        <v>0</v>
      </c>
      <c r="IT668" s="2949">
        <f t="shared" si="261"/>
        <v>0</v>
      </c>
      <c r="IU668" s="2949">
        <f t="shared" si="261"/>
        <v>0</v>
      </c>
      <c r="IV668" s="2949">
        <f t="shared" si="261"/>
        <v>0</v>
      </c>
      <c r="IW668" s="2949">
        <f t="shared" si="261"/>
        <v>0</v>
      </c>
      <c r="IX668" s="2949">
        <f t="shared" si="261"/>
        <v>0</v>
      </c>
      <c r="IY668" s="2949">
        <f t="shared" si="261"/>
        <v>0</v>
      </c>
      <c r="IZ668" s="2949">
        <f t="shared" si="261"/>
        <v>0</v>
      </c>
      <c r="JA668" s="2949">
        <f t="shared" si="261"/>
        <v>0</v>
      </c>
      <c r="JB668" s="2949">
        <f t="shared" si="261"/>
        <v>0</v>
      </c>
      <c r="JC668" s="2949">
        <f t="shared" si="261"/>
        <v>4</v>
      </c>
      <c r="JD668" s="2949">
        <f t="shared" si="261"/>
        <v>30</v>
      </c>
      <c r="JE668" s="2949">
        <f t="shared" si="261"/>
        <v>8</v>
      </c>
      <c r="JF668" s="2949">
        <f t="shared" si="261"/>
        <v>0</v>
      </c>
      <c r="JG668" s="2949">
        <f t="shared" si="261"/>
        <v>0</v>
      </c>
      <c r="JH668" s="2949">
        <f t="shared" si="261"/>
        <v>0</v>
      </c>
      <c r="JI668" s="2949">
        <f t="shared" si="261"/>
        <v>0</v>
      </c>
      <c r="JJ668" s="2949">
        <f t="shared" si="261"/>
        <v>0</v>
      </c>
      <c r="JK668" s="2949">
        <f t="shared" si="261"/>
        <v>0</v>
      </c>
      <c r="JL668" s="2949">
        <f t="shared" si="261"/>
        <v>0</v>
      </c>
      <c r="JM668" s="2949">
        <f t="shared" si="261"/>
        <v>0</v>
      </c>
      <c r="JN668" s="2949">
        <f t="shared" si="261"/>
        <v>0</v>
      </c>
      <c r="JO668" s="2949">
        <f t="shared" si="261"/>
        <v>0</v>
      </c>
      <c r="JP668" s="2949">
        <f t="shared" si="261"/>
        <v>0</v>
      </c>
      <c r="JQ668" s="2949">
        <f t="shared" si="261"/>
        <v>0</v>
      </c>
    </row>
    <row r="669" spans="1:277" ht="14.45" customHeight="1">
      <c r="B669" s="521"/>
      <c r="D669" s="2946"/>
      <c r="E669" s="2947"/>
      <c r="F669" s="2947"/>
      <c r="G669" s="523"/>
      <c r="H669" s="523"/>
      <c r="I669" s="523"/>
      <c r="J669" s="523"/>
      <c r="K669" s="2946" t="s">
        <v>855</v>
      </c>
      <c r="L669" s="2947">
        <f>L668*12</f>
        <v>202800</v>
      </c>
      <c r="M669" s="521"/>
      <c r="N669" s="521"/>
      <c r="O669" s="521"/>
      <c r="P669" s="521"/>
      <c r="Q669" s="521"/>
      <c r="R669" s="521"/>
      <c r="S669" s="521"/>
      <c r="T669" s="521"/>
      <c r="U669" s="2949"/>
      <c r="V669" s="2949"/>
      <c r="W669" s="2949"/>
      <c r="X669" s="2949"/>
      <c r="Y669" s="2949"/>
      <c r="Z669" s="2949"/>
      <c r="AA669" s="2949"/>
      <c r="AB669" s="2949"/>
      <c r="AC669" s="2949"/>
      <c r="AD669" s="2949"/>
      <c r="AE669" s="2949"/>
      <c r="AF669" s="2949"/>
      <c r="AG669" s="2949"/>
      <c r="AH669" s="2949"/>
      <c r="AI669" s="2949"/>
      <c r="AJ669" s="2949"/>
      <c r="AK669" s="2949"/>
      <c r="AL669" s="2949"/>
      <c r="AM669" s="2949"/>
      <c r="AN669" s="2949"/>
      <c r="AO669" s="2949"/>
      <c r="AP669" s="2949"/>
      <c r="AQ669" s="2949"/>
      <c r="AR669" s="2949"/>
      <c r="AS669" s="2949"/>
      <c r="AT669" s="2949"/>
      <c r="AU669" s="2949"/>
      <c r="AV669" s="2949"/>
      <c r="AW669" s="2949"/>
      <c r="AX669" s="2949"/>
      <c r="AY669" s="2949"/>
      <c r="AZ669" s="2949"/>
      <c r="BA669" s="2949"/>
      <c r="BB669" s="2949"/>
      <c r="BC669" s="2949"/>
      <c r="BD669" s="2949"/>
      <c r="BE669" s="2949"/>
      <c r="BF669" s="2949"/>
      <c r="BG669" s="2949"/>
      <c r="BH669" s="2949"/>
      <c r="BI669" s="2949"/>
      <c r="BJ669" s="2949"/>
      <c r="BK669" s="2949"/>
      <c r="BL669" s="2949"/>
      <c r="BM669" s="2949"/>
      <c r="BN669" s="2949"/>
      <c r="BO669" s="2949"/>
      <c r="BP669" s="2949"/>
      <c r="BQ669" s="2949"/>
      <c r="BR669" s="2949"/>
      <c r="BS669" s="2949"/>
      <c r="BT669" s="2949"/>
      <c r="BU669" s="2949"/>
      <c r="BV669" s="2949"/>
      <c r="BW669" s="2949"/>
      <c r="BX669" s="2949"/>
      <c r="BY669" s="2949"/>
      <c r="BZ669" s="2949"/>
      <c r="CA669" s="2949"/>
      <c r="CB669" s="2949"/>
      <c r="CC669" s="2949"/>
      <c r="CD669" s="2949"/>
      <c r="CE669" s="2949"/>
      <c r="CF669" s="2949"/>
      <c r="CG669" s="2949"/>
      <c r="CH669" s="2949"/>
      <c r="CI669" s="2949"/>
      <c r="CJ669" s="2949"/>
      <c r="CK669" s="2949"/>
      <c r="CL669" s="2949"/>
      <c r="CM669" s="2949"/>
      <c r="CN669" s="2949"/>
      <c r="CO669" s="2949"/>
      <c r="CP669" s="2949"/>
      <c r="CQ669" s="2949"/>
      <c r="CR669" s="2949"/>
      <c r="CS669" s="2949"/>
      <c r="CT669" s="2949"/>
      <c r="CU669" s="2949"/>
      <c r="CV669" s="2949"/>
      <c r="CW669" s="2949"/>
      <c r="CX669" s="2949"/>
      <c r="CY669" s="2949"/>
      <c r="CZ669" s="2949"/>
      <c r="DA669" s="2949"/>
      <c r="DB669" s="2949"/>
      <c r="DC669" s="2949"/>
      <c r="DD669" s="2949"/>
      <c r="DE669" s="2949"/>
      <c r="DF669" s="2949"/>
      <c r="DG669" s="2949"/>
      <c r="DH669" s="2949"/>
      <c r="DI669" s="2949"/>
      <c r="DJ669" s="2949"/>
      <c r="DK669" s="2949"/>
      <c r="DL669" s="2949"/>
      <c r="DM669" s="2949"/>
      <c r="DN669" s="2949"/>
      <c r="DO669" s="2949"/>
      <c r="DP669" s="2949"/>
      <c r="DQ669" s="2949"/>
      <c r="DR669" s="2949"/>
      <c r="DS669" s="2949"/>
      <c r="DT669" s="2949"/>
      <c r="DU669" s="2949"/>
      <c r="DV669" s="2949"/>
      <c r="DW669" s="2949"/>
      <c r="DX669" s="2949"/>
      <c r="DY669" s="2949"/>
      <c r="DZ669" s="2949"/>
      <c r="EA669" s="2949"/>
      <c r="EB669" s="2949"/>
      <c r="EC669" s="2949"/>
      <c r="ED669" s="2949"/>
      <c r="EE669" s="2949"/>
      <c r="EF669" s="2949"/>
      <c r="EG669" s="2949"/>
      <c r="EH669" s="2949"/>
      <c r="EI669" s="2949"/>
      <c r="EJ669" s="2949"/>
      <c r="EK669" s="2949"/>
      <c r="EL669" s="2949"/>
      <c r="EM669" s="2949"/>
      <c r="EN669" s="2949"/>
      <c r="EO669" s="2949"/>
      <c r="EP669" s="2949"/>
      <c r="EQ669" s="2949"/>
      <c r="ER669" s="2949"/>
      <c r="ES669" s="2949"/>
      <c r="ET669" s="2949"/>
      <c r="EU669" s="2949"/>
      <c r="EV669" s="2949"/>
      <c r="EW669" s="2949"/>
      <c r="EX669" s="2949"/>
      <c r="EY669" s="2949"/>
      <c r="EZ669" s="2949"/>
      <c r="FA669" s="2949"/>
      <c r="FB669" s="2949"/>
      <c r="FC669" s="2949"/>
      <c r="FD669" s="2949"/>
      <c r="FE669" s="2949"/>
      <c r="FF669" s="2949"/>
      <c r="FG669" s="2949"/>
      <c r="FH669" s="2949"/>
      <c r="FI669" s="2949"/>
      <c r="FJ669" s="2949"/>
      <c r="FK669" s="2949"/>
      <c r="FL669" s="2949"/>
      <c r="FM669" s="2949"/>
      <c r="FN669" s="2949"/>
      <c r="FO669" s="2949"/>
      <c r="FP669" s="2949"/>
      <c r="FQ669" s="2949"/>
      <c r="FR669" s="2949"/>
      <c r="FS669" s="2949"/>
      <c r="FT669" s="2949"/>
      <c r="FU669" s="2949"/>
      <c r="FV669" s="2949"/>
      <c r="FW669" s="2949"/>
      <c r="FX669" s="2949"/>
      <c r="FY669" s="2949"/>
      <c r="FZ669" s="2949"/>
      <c r="GA669" s="2949"/>
      <c r="GB669" s="2949"/>
      <c r="GC669" s="2949"/>
      <c r="GD669" s="2949"/>
      <c r="GE669" s="2949"/>
      <c r="GF669" s="2949"/>
      <c r="GG669" s="2949"/>
      <c r="GH669" s="2949"/>
      <c r="GI669" s="2949"/>
      <c r="GJ669" s="2949"/>
      <c r="GK669" s="2949"/>
      <c r="GL669" s="2949"/>
      <c r="GM669" s="2949"/>
      <c r="GN669" s="2949"/>
      <c r="GO669" s="2949"/>
      <c r="GP669" s="2949"/>
      <c r="GQ669" s="2949"/>
      <c r="GR669" s="2949"/>
      <c r="GS669" s="2949"/>
      <c r="GT669" s="2949"/>
      <c r="GU669" s="2949"/>
      <c r="GV669" s="2949"/>
      <c r="GW669" s="2949"/>
      <c r="GX669" s="2949"/>
      <c r="GY669" s="2949"/>
      <c r="GZ669" s="2949"/>
      <c r="HA669" s="2949"/>
      <c r="HB669" s="2949"/>
      <c r="HC669" s="2949"/>
      <c r="HD669" s="2949"/>
      <c r="HE669" s="2949"/>
      <c r="HF669" s="2949"/>
      <c r="HG669" s="2949"/>
      <c r="HH669" s="2949"/>
      <c r="HI669" s="2949"/>
      <c r="HJ669" s="2949"/>
      <c r="HK669" s="2949"/>
      <c r="HL669" s="2949"/>
      <c r="HM669" s="2949"/>
      <c r="HN669" s="2949"/>
      <c r="HO669" s="2949"/>
      <c r="HP669" s="2949"/>
      <c r="HQ669" s="2949"/>
      <c r="HR669" s="2949"/>
      <c r="HS669" s="2949"/>
      <c r="HT669" s="2949"/>
      <c r="HU669" s="2949"/>
      <c r="HV669" s="2949"/>
      <c r="HW669" s="2949"/>
      <c r="HX669" s="2949"/>
      <c r="HY669" s="2949"/>
      <c r="HZ669" s="2949"/>
      <c r="IA669" s="2949"/>
      <c r="IB669" s="2949"/>
      <c r="IC669" s="2949"/>
      <c r="ID669" s="2949"/>
      <c r="IE669" s="2949"/>
      <c r="IF669" s="2949"/>
      <c r="IG669" s="2949"/>
      <c r="IH669" s="2949"/>
      <c r="II669" s="2949"/>
      <c r="IJ669" s="2949"/>
      <c r="IK669" s="2949"/>
      <c r="IL669" s="2949"/>
      <c r="IM669" s="2949"/>
      <c r="IN669" s="2949"/>
      <c r="IO669" s="2949"/>
      <c r="IP669" s="2949"/>
      <c r="IQ669" s="2949"/>
      <c r="IR669" s="2949"/>
      <c r="IS669" s="2949"/>
      <c r="IT669" s="2949"/>
      <c r="IU669" s="2949"/>
      <c r="IV669" s="2949"/>
      <c r="IW669" s="2949"/>
      <c r="IX669" s="2949"/>
      <c r="IY669" s="2949"/>
      <c r="IZ669" s="2949"/>
      <c r="JA669" s="2949"/>
    </row>
    <row r="670" spans="1:277" ht="3" customHeight="1">
      <c r="A670" s="522"/>
      <c r="B670" s="521"/>
      <c r="D670" s="2946"/>
      <c r="E670" s="2947"/>
      <c r="F670" s="2947"/>
      <c r="G670" s="523"/>
      <c r="H670" s="523"/>
      <c r="I670" s="523"/>
      <c r="J670" s="523"/>
      <c r="K670" s="2946"/>
      <c r="L670" s="2947"/>
      <c r="M670" s="521"/>
      <c r="N670" s="521"/>
      <c r="O670" s="521"/>
      <c r="P670" s="521"/>
      <c r="Q670" s="521"/>
      <c r="R670" s="521"/>
      <c r="S670" s="521"/>
      <c r="T670" s="521"/>
      <c r="U670" s="2949"/>
      <c r="V670" s="2949"/>
      <c r="W670" s="2949"/>
      <c r="X670" s="2949"/>
      <c r="Y670" s="2949"/>
      <c r="Z670" s="2949"/>
      <c r="AA670" s="2949"/>
      <c r="AB670" s="2949"/>
      <c r="AC670" s="2949"/>
      <c r="AD670" s="2949"/>
      <c r="AE670" s="2949"/>
      <c r="AF670" s="2949"/>
      <c r="AG670" s="2949"/>
      <c r="AH670" s="2949"/>
      <c r="AI670" s="2949"/>
      <c r="AJ670" s="2949"/>
      <c r="AK670" s="2949"/>
      <c r="AL670" s="2949"/>
      <c r="AM670" s="2949"/>
      <c r="AN670" s="2949"/>
      <c r="AO670" s="2949"/>
      <c r="AP670" s="2949"/>
      <c r="AQ670" s="2949"/>
      <c r="AR670" s="2949"/>
      <c r="AS670" s="2949"/>
      <c r="AT670" s="2949"/>
      <c r="AU670" s="2949"/>
      <c r="AV670" s="2949"/>
      <c r="AW670" s="2949"/>
      <c r="AX670" s="2949"/>
      <c r="AY670" s="2949"/>
      <c r="AZ670" s="2949"/>
      <c r="BA670" s="2949"/>
      <c r="BB670" s="2949"/>
      <c r="BC670" s="2949"/>
      <c r="BD670" s="2949"/>
      <c r="BE670" s="2949"/>
      <c r="BF670" s="2949"/>
      <c r="BG670" s="2949"/>
      <c r="BH670" s="2949"/>
      <c r="BI670" s="2949"/>
      <c r="BJ670" s="2949"/>
      <c r="BK670" s="2949"/>
      <c r="BL670" s="2949"/>
      <c r="BM670" s="2949"/>
      <c r="BN670" s="2949"/>
      <c r="BO670" s="2949"/>
      <c r="BP670" s="2949"/>
      <c r="BQ670" s="2949"/>
      <c r="BR670" s="2949"/>
      <c r="BS670" s="2949"/>
      <c r="BT670" s="2949"/>
      <c r="BU670" s="2949"/>
      <c r="BV670" s="2949"/>
      <c r="BW670" s="2949"/>
      <c r="BX670" s="2949"/>
      <c r="BY670" s="2949"/>
      <c r="BZ670" s="2949"/>
      <c r="CA670" s="2949"/>
      <c r="CB670" s="2949"/>
      <c r="CC670" s="2949"/>
      <c r="CD670" s="2949"/>
      <c r="CE670" s="2949"/>
      <c r="CF670" s="2949"/>
      <c r="CG670" s="2949"/>
      <c r="CH670" s="2949"/>
      <c r="CI670" s="2949"/>
      <c r="CJ670" s="2949"/>
      <c r="CK670" s="2949"/>
      <c r="CL670" s="2949"/>
      <c r="CM670" s="2949"/>
      <c r="CN670" s="2949"/>
      <c r="CO670" s="2949"/>
      <c r="CP670" s="2949"/>
      <c r="CQ670" s="2949"/>
      <c r="CR670" s="2949"/>
      <c r="CS670" s="2949"/>
      <c r="CT670" s="2949"/>
      <c r="CU670" s="2949"/>
      <c r="CV670" s="2949"/>
      <c r="CW670" s="2949"/>
      <c r="CX670" s="2949"/>
      <c r="CY670" s="2949"/>
      <c r="CZ670" s="2949"/>
      <c r="DA670" s="2949"/>
      <c r="DB670" s="2949"/>
      <c r="DC670" s="2949"/>
      <c r="DD670" s="2949"/>
      <c r="DE670" s="2949"/>
      <c r="DF670" s="2949"/>
      <c r="DG670" s="2949"/>
      <c r="DH670" s="2949"/>
      <c r="DI670" s="2949"/>
      <c r="DJ670" s="2949"/>
      <c r="DK670" s="2949"/>
      <c r="DL670" s="2949"/>
      <c r="DM670" s="2949"/>
      <c r="DN670" s="2949"/>
      <c r="DO670" s="2949"/>
      <c r="DP670" s="2949"/>
      <c r="DQ670" s="2949"/>
      <c r="DR670" s="2949"/>
      <c r="DS670" s="2949"/>
      <c r="DT670" s="2949"/>
      <c r="DU670" s="2949"/>
      <c r="DV670" s="2949"/>
      <c r="DW670" s="2949"/>
      <c r="DX670" s="2949"/>
      <c r="DY670" s="2949"/>
      <c r="DZ670" s="2949"/>
      <c r="EA670" s="2949"/>
      <c r="EB670" s="2949"/>
      <c r="EC670" s="2949"/>
      <c r="ED670" s="2949"/>
      <c r="EE670" s="2949"/>
      <c r="EF670" s="2949"/>
      <c r="EG670" s="2949"/>
      <c r="EH670" s="2949"/>
      <c r="EI670" s="2949"/>
      <c r="EJ670" s="2949"/>
      <c r="EK670" s="2949"/>
      <c r="EL670" s="2949"/>
      <c r="EM670" s="2949"/>
      <c r="EN670" s="2949"/>
      <c r="EO670" s="2949"/>
      <c r="EP670" s="2949"/>
      <c r="EQ670" s="2949"/>
      <c r="ER670" s="2949"/>
      <c r="ES670" s="2949"/>
      <c r="ET670" s="2949"/>
      <c r="EU670" s="2949"/>
      <c r="EV670" s="2949"/>
      <c r="EW670" s="2949"/>
      <c r="EX670" s="2949"/>
      <c r="EY670" s="2949"/>
      <c r="EZ670" s="2949"/>
      <c r="FA670" s="2949"/>
      <c r="FB670" s="2949"/>
      <c r="FC670" s="2949"/>
      <c r="FD670" s="2949"/>
      <c r="FE670" s="2949"/>
      <c r="FF670" s="2949"/>
      <c r="FG670" s="2949"/>
      <c r="FH670" s="2949"/>
      <c r="FI670" s="2949"/>
      <c r="FJ670" s="2949"/>
      <c r="FK670" s="2949"/>
      <c r="FL670" s="2949"/>
      <c r="FM670" s="2949"/>
      <c r="FN670" s="2949"/>
      <c r="FO670" s="2949"/>
      <c r="FP670" s="2949"/>
      <c r="FQ670" s="2949"/>
      <c r="FR670" s="2949"/>
      <c r="FS670" s="2949"/>
      <c r="FT670" s="2949"/>
      <c r="FU670" s="2949"/>
      <c r="FV670" s="2949"/>
      <c r="FW670" s="2949"/>
      <c r="FX670" s="2949"/>
      <c r="FY670" s="2949"/>
      <c r="FZ670" s="2949"/>
      <c r="GA670" s="2949"/>
      <c r="GB670" s="2949"/>
      <c r="GC670" s="2949"/>
      <c r="GD670" s="2949"/>
      <c r="GE670" s="2949"/>
      <c r="GF670" s="2949"/>
      <c r="GG670" s="2949"/>
      <c r="GH670" s="2949"/>
      <c r="GI670" s="2949"/>
      <c r="GJ670" s="2949"/>
      <c r="GK670" s="2949"/>
      <c r="GL670" s="2949"/>
      <c r="GM670" s="2949"/>
      <c r="GN670" s="2949"/>
      <c r="GO670" s="2949"/>
      <c r="GP670" s="2949"/>
      <c r="GQ670" s="2949"/>
      <c r="GR670" s="2949"/>
      <c r="GS670" s="2949"/>
      <c r="GT670" s="2949"/>
      <c r="GU670" s="2949"/>
      <c r="GV670" s="2949"/>
      <c r="GW670" s="2949"/>
      <c r="GX670" s="2949"/>
      <c r="GY670" s="2949"/>
      <c r="GZ670" s="2949"/>
      <c r="HA670" s="2949"/>
      <c r="HB670" s="2949"/>
      <c r="HC670" s="2949"/>
      <c r="HD670" s="2949"/>
      <c r="HE670" s="2949"/>
      <c r="HF670" s="2949"/>
      <c r="HG670" s="2949"/>
      <c r="HH670" s="2949"/>
      <c r="HI670" s="2949"/>
      <c r="HJ670" s="2949"/>
      <c r="HK670" s="2949"/>
      <c r="HL670" s="2949"/>
      <c r="HM670" s="2949"/>
      <c r="HN670" s="2949"/>
      <c r="HO670" s="2949"/>
      <c r="HP670" s="2949"/>
      <c r="HQ670" s="2949"/>
      <c r="HR670" s="2949"/>
      <c r="HS670" s="2949"/>
      <c r="HT670" s="2949"/>
      <c r="HU670" s="2949"/>
      <c r="HV670" s="2949"/>
      <c r="HW670" s="2949"/>
      <c r="HX670" s="2949"/>
      <c r="HY670" s="2949"/>
      <c r="HZ670" s="2949"/>
      <c r="IA670" s="2949"/>
      <c r="IB670" s="2949"/>
      <c r="IC670" s="2949"/>
      <c r="ID670" s="2949"/>
      <c r="IE670" s="2949"/>
      <c r="IF670" s="2949"/>
      <c r="IG670" s="2949"/>
      <c r="IH670" s="2949"/>
      <c r="II670" s="2949"/>
      <c r="IJ670" s="2949"/>
      <c r="IK670" s="2949"/>
      <c r="IL670" s="2949"/>
      <c r="IM670" s="2949"/>
      <c r="IN670" s="2949"/>
      <c r="IO670" s="2949"/>
      <c r="IP670" s="2949"/>
      <c r="IQ670" s="2949"/>
      <c r="IR670" s="2949"/>
      <c r="IS670" s="2949"/>
      <c r="IT670" s="2949"/>
      <c r="IU670" s="2949"/>
      <c r="IV670" s="2949"/>
      <c r="IW670" s="2949"/>
      <c r="IX670" s="2949"/>
      <c r="IY670" s="2949"/>
      <c r="IZ670" s="2949"/>
      <c r="JA670" s="2949"/>
    </row>
    <row r="671" spans="1:277" ht="12" customHeight="1">
      <c r="A671" s="2950" t="s">
        <v>4602</v>
      </c>
      <c r="B671" s="2951"/>
      <c r="C671" s="2951"/>
      <c r="D671" s="2951"/>
      <c r="E671" s="2951"/>
      <c r="F671" s="2951"/>
      <c r="G671" s="2951"/>
      <c r="H671" s="2951"/>
      <c r="I671" s="2951"/>
      <c r="J671" s="2951"/>
      <c r="K671" s="2951"/>
      <c r="L671" s="2951"/>
      <c r="M671" s="2951"/>
      <c r="N671" s="2951"/>
      <c r="O671" s="2951"/>
      <c r="P671" s="2951"/>
      <c r="Q671" s="521"/>
      <c r="R671" s="521"/>
      <c r="S671" s="521"/>
      <c r="T671" s="521"/>
      <c r="U671" s="2949"/>
      <c r="V671" s="2949"/>
      <c r="W671" s="2949"/>
      <c r="X671" s="2949"/>
      <c r="Y671" s="2949"/>
      <c r="Z671" s="2949"/>
      <c r="AA671" s="2949"/>
      <c r="AB671" s="2949"/>
      <c r="AC671" s="2949"/>
      <c r="AD671" s="2949"/>
      <c r="AE671" s="2949"/>
      <c r="AF671" s="2949"/>
      <c r="AG671" s="2949"/>
      <c r="AH671" s="2949"/>
      <c r="AI671" s="2949"/>
      <c r="AJ671" s="2949"/>
      <c r="AK671" s="2949"/>
      <c r="AL671" s="2949"/>
      <c r="AM671" s="2949"/>
      <c r="AN671" s="2949"/>
      <c r="AO671" s="2949"/>
      <c r="AP671" s="2949"/>
      <c r="AQ671" s="2949"/>
      <c r="AR671" s="2949"/>
      <c r="AS671" s="2949"/>
      <c r="AT671" s="2949"/>
      <c r="AU671" s="2949"/>
      <c r="AV671" s="2949"/>
      <c r="AW671" s="2949"/>
      <c r="AX671" s="2949"/>
      <c r="AY671" s="2949"/>
      <c r="AZ671" s="2949"/>
      <c r="BA671" s="2949"/>
      <c r="BB671" s="2949"/>
      <c r="BC671" s="2949"/>
      <c r="BD671" s="2949"/>
      <c r="BE671" s="2949"/>
      <c r="BF671" s="2949"/>
      <c r="BG671" s="2949"/>
      <c r="BH671" s="2949"/>
      <c r="BI671" s="2949"/>
      <c r="BJ671" s="2949"/>
      <c r="BK671" s="2949"/>
      <c r="BL671" s="2949"/>
      <c r="BM671" s="2949"/>
      <c r="BN671" s="2949"/>
      <c r="BO671" s="2949"/>
      <c r="BP671" s="2949"/>
      <c r="BQ671" s="2949"/>
      <c r="BR671" s="2949"/>
      <c r="BS671" s="2949"/>
      <c r="BT671" s="2949"/>
      <c r="BU671" s="2949"/>
      <c r="BV671" s="2949"/>
      <c r="BW671" s="2949"/>
      <c r="BX671" s="2949"/>
      <c r="BY671" s="2949"/>
      <c r="BZ671" s="2949"/>
      <c r="CA671" s="2949"/>
      <c r="CB671" s="2949"/>
      <c r="CC671" s="2949"/>
      <c r="CD671" s="2949"/>
      <c r="CE671" s="2949"/>
      <c r="CF671" s="2949"/>
      <c r="CG671" s="2949"/>
      <c r="CH671" s="2949"/>
      <c r="CI671" s="2949"/>
      <c r="CJ671" s="2949"/>
      <c r="CK671" s="2949"/>
      <c r="CL671" s="2949"/>
      <c r="CM671" s="2949"/>
      <c r="CN671" s="2949"/>
      <c r="CO671" s="2949"/>
      <c r="CP671" s="2949"/>
      <c r="CQ671" s="2949"/>
      <c r="CR671" s="2949"/>
      <c r="CS671" s="2949"/>
      <c r="CT671" s="2949"/>
      <c r="CU671" s="2949"/>
      <c r="CV671" s="2949"/>
      <c r="CW671" s="2949"/>
      <c r="CX671" s="2949"/>
      <c r="CY671" s="2949"/>
      <c r="CZ671" s="2949"/>
      <c r="DA671" s="2949"/>
      <c r="DB671" s="2949"/>
      <c r="DC671" s="2949"/>
      <c r="DD671" s="2949"/>
      <c r="DE671" s="2949"/>
      <c r="DF671" s="2949"/>
      <c r="DG671" s="2949"/>
      <c r="DH671" s="2949"/>
      <c r="DI671" s="2949"/>
      <c r="DJ671" s="2949"/>
      <c r="DK671" s="2949"/>
      <c r="DL671" s="2949"/>
      <c r="DM671" s="2949"/>
      <c r="DN671" s="2949"/>
      <c r="DO671" s="2949"/>
      <c r="DP671" s="2949"/>
      <c r="DQ671" s="2949"/>
      <c r="DR671" s="2949"/>
      <c r="DS671" s="2949"/>
      <c r="DT671" s="2949"/>
      <c r="DU671" s="2949"/>
      <c r="DV671" s="2949"/>
      <c r="DW671" s="2949"/>
      <c r="DX671" s="2949"/>
      <c r="DY671" s="2949"/>
      <c r="DZ671" s="2949"/>
      <c r="EA671" s="2949"/>
      <c r="EB671" s="2949"/>
      <c r="EC671" s="2949"/>
      <c r="ED671" s="2949"/>
      <c r="EE671" s="2949"/>
      <c r="EF671" s="2949"/>
      <c r="EG671" s="2949"/>
      <c r="EH671" s="2949"/>
      <c r="EI671" s="2949"/>
      <c r="EJ671" s="2949"/>
      <c r="EK671" s="2949"/>
      <c r="EL671" s="2949"/>
      <c r="EM671" s="2949"/>
      <c r="EN671" s="2949"/>
      <c r="EO671" s="2949"/>
      <c r="EP671" s="2949"/>
      <c r="EQ671" s="2949"/>
      <c r="ER671" s="2949"/>
      <c r="ES671" s="2949"/>
      <c r="ET671" s="2949"/>
      <c r="EU671" s="2949"/>
      <c r="EV671" s="2949"/>
      <c r="EW671" s="2949"/>
      <c r="EX671" s="2949"/>
      <c r="EY671" s="2949"/>
      <c r="EZ671" s="2949"/>
      <c r="FA671" s="2949"/>
      <c r="FB671" s="2949"/>
      <c r="FC671" s="2949"/>
      <c r="FD671" s="2949"/>
      <c r="FE671" s="2949"/>
      <c r="FF671" s="2949"/>
      <c r="FG671" s="2949"/>
      <c r="FH671" s="2949"/>
      <c r="FI671" s="2949"/>
      <c r="FJ671" s="2949"/>
      <c r="FK671" s="2949"/>
      <c r="FL671" s="2949"/>
      <c r="FM671" s="2949"/>
      <c r="FN671" s="2949"/>
      <c r="FO671" s="2949"/>
      <c r="FP671" s="2949"/>
      <c r="FQ671" s="2949"/>
      <c r="FR671" s="2949"/>
      <c r="FS671" s="2949"/>
      <c r="FT671" s="2949"/>
      <c r="FU671" s="2949"/>
      <c r="FV671" s="2949"/>
      <c r="FW671" s="2949"/>
      <c r="FX671" s="2949"/>
      <c r="FY671" s="2949"/>
      <c r="FZ671" s="2949"/>
      <c r="GA671" s="2949"/>
      <c r="GB671" s="2949"/>
      <c r="GC671" s="2949"/>
      <c r="GD671" s="2949"/>
      <c r="GE671" s="2949"/>
      <c r="GF671" s="2949"/>
      <c r="GG671" s="2949"/>
      <c r="GH671" s="2949"/>
      <c r="GI671" s="2949"/>
      <c r="GJ671" s="2949"/>
      <c r="GK671" s="2949"/>
      <c r="GL671" s="2949"/>
      <c r="GM671" s="2949"/>
      <c r="GN671" s="2949"/>
      <c r="GO671" s="2949"/>
      <c r="GP671" s="2949"/>
      <c r="GQ671" s="2949"/>
      <c r="GR671" s="2949"/>
      <c r="GS671" s="2949"/>
      <c r="GT671" s="2949"/>
      <c r="GU671" s="2949"/>
      <c r="GV671" s="2949"/>
      <c r="GW671" s="2949"/>
      <c r="GX671" s="2949"/>
      <c r="GY671" s="2949"/>
      <c r="GZ671" s="2949"/>
      <c r="HA671" s="2949"/>
      <c r="HB671" s="2949"/>
      <c r="HC671" s="2949"/>
      <c r="HD671" s="2949"/>
      <c r="HE671" s="2949"/>
      <c r="HF671" s="2949"/>
      <c r="HG671" s="2949"/>
      <c r="HH671" s="2949"/>
      <c r="HI671" s="2949"/>
      <c r="HJ671" s="2949"/>
      <c r="HK671" s="2949"/>
      <c r="HL671" s="2949"/>
      <c r="HM671" s="2949"/>
      <c r="HN671" s="2949"/>
      <c r="HO671" s="2949"/>
      <c r="HP671" s="2949"/>
      <c r="HQ671" s="2949"/>
      <c r="HR671" s="2949"/>
      <c r="HS671" s="2949"/>
      <c r="HT671" s="2949"/>
      <c r="HU671" s="2949"/>
      <c r="HV671" s="2949"/>
      <c r="HW671" s="2949"/>
      <c r="HX671" s="2949"/>
      <c r="HY671" s="2949"/>
      <c r="HZ671" s="2949"/>
      <c r="IA671" s="2949"/>
      <c r="IB671" s="2949"/>
      <c r="IC671" s="2949"/>
      <c r="ID671" s="2949"/>
      <c r="IE671" s="2949"/>
      <c r="IF671" s="2949"/>
      <c r="IG671" s="2949"/>
      <c r="IH671" s="2949"/>
      <c r="II671" s="2949"/>
      <c r="IJ671" s="2949"/>
      <c r="IK671" s="2949"/>
      <c r="IL671" s="2949"/>
      <c r="IM671" s="2949"/>
      <c r="IN671" s="2949"/>
      <c r="IO671" s="2949"/>
      <c r="IP671" s="2949"/>
      <c r="IQ671" s="2949"/>
      <c r="IR671" s="2949"/>
      <c r="IS671" s="2949"/>
      <c r="IT671" s="2949"/>
      <c r="IU671" s="2949"/>
      <c r="IV671" s="2949"/>
      <c r="IW671" s="2949"/>
      <c r="IX671" s="2949"/>
      <c r="IY671" s="2949"/>
      <c r="IZ671" s="2949"/>
      <c r="JA671" s="2949"/>
    </row>
    <row r="672" spans="1:277" ht="12" customHeight="1">
      <c r="A672" s="2951"/>
      <c r="B672" s="2951"/>
      <c r="C672" s="2951"/>
      <c r="D672" s="2951"/>
      <c r="E672" s="2951"/>
      <c r="F672" s="2951"/>
      <c r="G672" s="2951"/>
      <c r="H672" s="2951"/>
      <c r="I672" s="2951"/>
      <c r="J672" s="2951"/>
      <c r="K672" s="2951"/>
      <c r="L672" s="2951"/>
      <c r="M672" s="2951"/>
      <c r="N672" s="2951"/>
      <c r="O672" s="2951"/>
      <c r="P672" s="2951"/>
      <c r="Q672" s="521"/>
      <c r="R672" s="521"/>
      <c r="S672" s="521"/>
      <c r="T672" s="521"/>
      <c r="U672" s="2949"/>
      <c r="V672" s="2949"/>
      <c r="W672" s="2949"/>
      <c r="X672" s="2949"/>
      <c r="Y672" s="2949"/>
      <c r="Z672" s="2949"/>
      <c r="AA672" s="2949"/>
      <c r="AB672" s="2949"/>
      <c r="AC672" s="2949"/>
      <c r="AD672" s="2949"/>
      <c r="AE672" s="2949"/>
      <c r="AF672" s="2949"/>
      <c r="AG672" s="2949"/>
      <c r="AH672" s="2949"/>
      <c r="AI672" s="2949"/>
      <c r="AJ672" s="2949"/>
      <c r="AK672" s="2949"/>
      <c r="AL672" s="2949"/>
      <c r="AM672" s="2949"/>
      <c r="AN672" s="2949"/>
      <c r="AO672" s="2949"/>
      <c r="AP672" s="2949"/>
      <c r="AQ672" s="2949"/>
      <c r="AR672" s="2949"/>
      <c r="AS672" s="2949"/>
      <c r="AT672" s="2949"/>
      <c r="AU672" s="2949"/>
      <c r="AV672" s="2949"/>
      <c r="AW672" s="2949"/>
      <c r="AX672" s="2949"/>
      <c r="AY672" s="2949"/>
      <c r="AZ672" s="2949"/>
      <c r="BA672" s="2949"/>
      <c r="BB672" s="2949"/>
      <c r="BC672" s="2949"/>
      <c r="BD672" s="2949"/>
      <c r="BE672" s="2949"/>
      <c r="BF672" s="2949"/>
      <c r="BG672" s="2949"/>
      <c r="BH672" s="2949"/>
      <c r="BI672" s="2949"/>
      <c r="BJ672" s="2949"/>
      <c r="BK672" s="2949"/>
      <c r="BL672" s="2949"/>
      <c r="BM672" s="2949"/>
      <c r="BN672" s="2949"/>
      <c r="BO672" s="2949"/>
      <c r="BP672" s="2949"/>
      <c r="BQ672" s="2949"/>
      <c r="BR672" s="2949"/>
      <c r="BS672" s="2949"/>
      <c r="BT672" s="2949"/>
      <c r="BU672" s="2949"/>
      <c r="BV672" s="2949"/>
      <c r="BW672" s="2949"/>
      <c r="BX672" s="2949"/>
      <c r="BY672" s="2949"/>
      <c r="BZ672" s="2949"/>
      <c r="CA672" s="2949"/>
      <c r="CB672" s="2949"/>
      <c r="CC672" s="2949"/>
      <c r="CD672" s="2949"/>
      <c r="CE672" s="2949"/>
      <c r="CF672" s="2949"/>
      <c r="CG672" s="2949"/>
      <c r="CH672" s="2949"/>
      <c r="CI672" s="2949"/>
      <c r="CJ672" s="2949"/>
      <c r="CK672" s="2949"/>
      <c r="CL672" s="2949"/>
      <c r="CM672" s="2949"/>
      <c r="CN672" s="2949"/>
      <c r="CO672" s="2949"/>
      <c r="CP672" s="2949"/>
      <c r="CQ672" s="2949"/>
      <c r="CR672" s="2949"/>
      <c r="CS672" s="2949"/>
      <c r="CT672" s="2949"/>
      <c r="CU672" s="2949"/>
      <c r="CV672" s="2949"/>
      <c r="CW672" s="2949"/>
      <c r="CX672" s="2949"/>
      <c r="CY672" s="2949"/>
      <c r="CZ672" s="2949"/>
      <c r="DA672" s="2949"/>
      <c r="DB672" s="2949"/>
      <c r="DC672" s="2949"/>
      <c r="DD672" s="2949"/>
      <c r="DE672" s="2949"/>
      <c r="DF672" s="2949"/>
      <c r="DG672" s="2949"/>
      <c r="DH672" s="2949"/>
      <c r="DI672" s="2949"/>
      <c r="DJ672" s="2949"/>
      <c r="DK672" s="2949"/>
      <c r="DL672" s="2949"/>
      <c r="DM672" s="2949"/>
      <c r="DN672" s="2949"/>
      <c r="DO672" s="2949"/>
      <c r="DP672" s="2949"/>
      <c r="DQ672" s="2949"/>
      <c r="DR672" s="2949"/>
      <c r="DS672" s="2949"/>
      <c r="DT672" s="2949"/>
      <c r="DU672" s="2949"/>
      <c r="DV672" s="2949"/>
      <c r="DW672" s="2949"/>
      <c r="DX672" s="2949"/>
      <c r="DY672" s="2949"/>
      <c r="DZ672" s="2949"/>
      <c r="EA672" s="2949"/>
      <c r="EB672" s="2949"/>
      <c r="EC672" s="2949"/>
      <c r="ED672" s="2949"/>
      <c r="EE672" s="2949"/>
      <c r="EF672" s="2949"/>
      <c r="EG672" s="2949"/>
      <c r="EH672" s="2949"/>
      <c r="EI672" s="2949"/>
      <c r="EJ672" s="2949"/>
      <c r="EK672" s="2949"/>
      <c r="EL672" s="2949"/>
      <c r="EM672" s="2949"/>
      <c r="EN672" s="2949"/>
      <c r="EO672" s="2949"/>
      <c r="EP672" s="2949"/>
      <c r="EQ672" s="2949"/>
      <c r="ER672" s="2949"/>
      <c r="ES672" s="2949"/>
      <c r="ET672" s="2949"/>
      <c r="EU672" s="2949"/>
      <c r="EV672" s="2949"/>
      <c r="EW672" s="2949"/>
      <c r="EX672" s="2949"/>
      <c r="EY672" s="2949"/>
      <c r="EZ672" s="2949"/>
      <c r="FA672" s="2949"/>
      <c r="FB672" s="2949"/>
      <c r="FC672" s="2949"/>
      <c r="FD672" s="2949"/>
      <c r="FE672" s="2949"/>
      <c r="FF672" s="2949"/>
      <c r="FG672" s="2949"/>
      <c r="FH672" s="2949"/>
      <c r="FI672" s="2949"/>
      <c r="FJ672" s="2949"/>
      <c r="FK672" s="2949"/>
      <c r="FL672" s="2949"/>
      <c r="FM672" s="2949"/>
      <c r="FN672" s="2949"/>
      <c r="FO672" s="2949"/>
      <c r="FP672" s="2949"/>
      <c r="FQ672" s="2949"/>
      <c r="FR672" s="2949"/>
      <c r="FS672" s="2949"/>
      <c r="FT672" s="2949"/>
      <c r="FU672" s="2949"/>
      <c r="FV672" s="2949"/>
      <c r="FW672" s="2949"/>
      <c r="FX672" s="2949"/>
      <c r="FY672" s="2949"/>
      <c r="FZ672" s="2949"/>
      <c r="GA672" s="2949"/>
      <c r="GB672" s="2949"/>
      <c r="GC672" s="2949"/>
      <c r="GD672" s="2949"/>
      <c r="GE672" s="2949"/>
      <c r="GF672" s="2949"/>
      <c r="GG672" s="2949"/>
      <c r="GH672" s="2949"/>
      <c r="GI672" s="2949"/>
      <c r="GJ672" s="2949"/>
      <c r="GK672" s="2949"/>
      <c r="GL672" s="2949"/>
      <c r="GM672" s="2949"/>
      <c r="GN672" s="2949"/>
      <c r="GO672" s="2949"/>
      <c r="GP672" s="2949"/>
      <c r="GQ672" s="2949"/>
      <c r="GR672" s="2949"/>
      <c r="GS672" s="2949"/>
      <c r="GT672" s="2949"/>
      <c r="GU672" s="2949"/>
      <c r="GV672" s="2949"/>
      <c r="GW672" s="2949"/>
      <c r="GX672" s="2949"/>
      <c r="GY672" s="2949"/>
      <c r="GZ672" s="2949"/>
      <c r="HA672" s="2949"/>
      <c r="HB672" s="2949"/>
      <c r="HC672" s="2949"/>
      <c r="HD672" s="2949"/>
      <c r="HE672" s="2949"/>
      <c r="HF672" s="2949"/>
      <c r="HG672" s="2949"/>
      <c r="HH672" s="2949"/>
      <c r="HI672" s="2949"/>
      <c r="HJ672" s="2949"/>
      <c r="HK672" s="2949"/>
      <c r="HL672" s="2949"/>
      <c r="HM672" s="2949"/>
      <c r="HN672" s="2949"/>
      <c r="HO672" s="2949"/>
      <c r="HP672" s="2949"/>
      <c r="HQ672" s="2949"/>
      <c r="HR672" s="2949"/>
      <c r="HS672" s="2949"/>
      <c r="HT672" s="2949"/>
      <c r="HU672" s="2949"/>
      <c r="HV672" s="2949"/>
      <c r="HW672" s="2949"/>
      <c r="HX672" s="2949"/>
      <c r="HY672" s="2949"/>
      <c r="HZ672" s="2949"/>
      <c r="IA672" s="2949"/>
      <c r="IB672" s="2949"/>
      <c r="IC672" s="2949"/>
      <c r="ID672" s="2949"/>
      <c r="IE672" s="2949"/>
      <c r="IF672" s="2949"/>
      <c r="IG672" s="2949"/>
      <c r="IH672" s="2949"/>
      <c r="II672" s="2949"/>
      <c r="IJ672" s="2949"/>
      <c r="IK672" s="2949"/>
      <c r="IL672" s="2949"/>
      <c r="IM672" s="2949"/>
      <c r="IN672" s="2949"/>
      <c r="IO672" s="2949"/>
      <c r="IP672" s="2949"/>
      <c r="IQ672" s="2949"/>
      <c r="IR672" s="2949"/>
      <c r="IS672" s="2949"/>
      <c r="IT672" s="2949"/>
      <c r="IU672" s="2949"/>
      <c r="IV672" s="2949"/>
      <c r="IW672" s="2949"/>
      <c r="IX672" s="2949"/>
      <c r="IY672" s="2949"/>
      <c r="IZ672" s="2949"/>
      <c r="JA672" s="2949"/>
    </row>
    <row r="673" spans="1:261" ht="14.45" customHeight="1">
      <c r="A673" s="2907" t="s">
        <v>779</v>
      </c>
      <c r="B673" s="2907" t="s">
        <v>557</v>
      </c>
      <c r="Q673" s="2952" t="str">
        <f>IF(SUM(Q676:Q740)&gt;0,"ERROR Between Rent Schedule &amp; Unit Summary:", "")</f>
        <v>ERROR Between Rent Schedule &amp; Unit Summary:</v>
      </c>
      <c r="R673" s="2953"/>
      <c r="S673" s="2953"/>
      <c r="T673" s="524" t="str">
        <f>B673</f>
        <v>UNIT SUMMARY</v>
      </c>
      <c r="U673" s="2907" t="s">
        <v>557</v>
      </c>
      <c r="AH673" s="521"/>
      <c r="GS673" s="2909"/>
      <c r="GX673" s="2909"/>
      <c r="GY673" s="2909"/>
      <c r="GZ673" s="2909"/>
      <c r="HA673" s="2909"/>
      <c r="HB673" s="2909"/>
      <c r="HC673" s="2909"/>
      <c r="HD673" s="2909"/>
      <c r="HE673" s="2909"/>
      <c r="HF673" s="2909"/>
      <c r="HG673" s="2909"/>
      <c r="HH673" s="2909"/>
      <c r="HI673" s="2909"/>
      <c r="HJ673" s="2909"/>
      <c r="HK673" s="2909"/>
      <c r="HL673" s="2909"/>
      <c r="HM673" s="2909"/>
      <c r="HN673" s="2909"/>
      <c r="HO673" s="2909"/>
      <c r="HP673" s="2909"/>
      <c r="HQ673" s="2909"/>
      <c r="HR673" s="2909"/>
      <c r="HS673" s="2909"/>
      <c r="HT673" s="2909"/>
      <c r="HU673" s="2909"/>
      <c r="HV673" s="2909"/>
      <c r="HW673" s="2909"/>
      <c r="HX673" s="2909"/>
      <c r="HY673" s="2909"/>
      <c r="HZ673" s="2909"/>
      <c r="IA673" s="2909"/>
      <c r="IB673" s="2909"/>
      <c r="IC673" s="2909"/>
      <c r="IJ673" s="2907"/>
      <c r="IK673" s="2907"/>
      <c r="JA673" s="2907"/>
    </row>
    <row r="674" spans="1:261" ht="3" customHeight="1">
      <c r="A674" s="2907"/>
      <c r="B674" s="2907"/>
      <c r="Q674" s="2954"/>
      <c r="R674" s="2955"/>
      <c r="S674" s="2955"/>
      <c r="T674" s="2907"/>
      <c r="U674" s="2907"/>
      <c r="AH674" s="521"/>
      <c r="GS674" s="2909"/>
      <c r="GX674" s="2909"/>
      <c r="GY674" s="2909"/>
      <c r="GZ674" s="2909"/>
      <c r="HA674" s="2909"/>
      <c r="HB674" s="2909"/>
      <c r="HC674" s="2909"/>
      <c r="HD674" s="2909"/>
      <c r="HE674" s="2909"/>
      <c r="HF674" s="2909"/>
      <c r="HG674" s="2909"/>
      <c r="HH674" s="2909"/>
      <c r="HI674" s="2909"/>
      <c r="HJ674" s="2909"/>
      <c r="HK674" s="2909"/>
      <c r="HL674" s="2909"/>
      <c r="HM674" s="2909"/>
      <c r="HN674" s="2909"/>
      <c r="HO674" s="2909"/>
      <c r="HP674" s="2909"/>
      <c r="HQ674" s="2909"/>
      <c r="HR674" s="2909"/>
      <c r="HS674" s="2909"/>
      <c r="HT674" s="2909"/>
      <c r="HU674" s="2909"/>
      <c r="HV674" s="2909"/>
      <c r="HW674" s="2909"/>
      <c r="HX674" s="2909"/>
      <c r="HY674" s="2909"/>
      <c r="HZ674" s="2909"/>
      <c r="IA674" s="2909"/>
      <c r="IB674" s="2909"/>
      <c r="IC674" s="2909"/>
      <c r="IJ674" s="2907"/>
      <c r="IK674" s="2907"/>
      <c r="JA674" s="2907"/>
    </row>
    <row r="675" spans="1:261" ht="14.45" customHeight="1">
      <c r="A675" s="2907"/>
      <c r="B675" s="2907" t="s">
        <v>1189</v>
      </c>
      <c r="H675" s="520" t="s">
        <v>591</v>
      </c>
      <c r="I675" s="520" t="s">
        <v>558</v>
      </c>
      <c r="J675" s="520" t="s">
        <v>559</v>
      </c>
      <c r="K675" s="520" t="s">
        <v>560</v>
      </c>
      <c r="L675" s="520" t="s">
        <v>561</v>
      </c>
      <c r="M675" s="520" t="s">
        <v>562</v>
      </c>
      <c r="Q675" s="2954"/>
      <c r="R675" s="2955"/>
      <c r="S675" s="2955"/>
      <c r="T675" s="2814" t="s">
        <v>1937</v>
      </c>
      <c r="U675" s="2814"/>
      <c r="AA675" s="520"/>
      <c r="AB675" s="520"/>
      <c r="AC675" s="520"/>
      <c r="AD675" s="520"/>
      <c r="AE675" s="520"/>
      <c r="AF675" s="520"/>
      <c r="AH675" s="521"/>
      <c r="GS675" s="2909"/>
      <c r="GX675" s="2909"/>
      <c r="GY675" s="2909"/>
      <c r="GZ675" s="2909"/>
      <c r="HA675" s="2909"/>
      <c r="HB675" s="2909"/>
      <c r="HC675" s="2909"/>
      <c r="HD675" s="2909"/>
      <c r="HE675" s="2909"/>
      <c r="HF675" s="2909"/>
      <c r="HG675" s="2909"/>
      <c r="HH675" s="2909"/>
      <c r="HI675" s="2909"/>
      <c r="HJ675" s="2909"/>
      <c r="HK675" s="2909"/>
      <c r="HL675" s="2909"/>
      <c r="HM675" s="2909"/>
      <c r="HN675" s="2909"/>
      <c r="HO675" s="2909"/>
      <c r="HP675" s="2909"/>
      <c r="HQ675" s="2909"/>
      <c r="HR675" s="2909"/>
      <c r="HS675" s="2909"/>
      <c r="HT675" s="2909"/>
      <c r="HU675" s="2909"/>
      <c r="HV675" s="2909"/>
      <c r="HW675" s="2909"/>
      <c r="HX675" s="2909"/>
      <c r="HY675" s="2909"/>
      <c r="HZ675" s="2909"/>
      <c r="IA675" s="2909"/>
      <c r="IB675" s="2909"/>
      <c r="IC675" s="2909"/>
      <c r="IJ675" s="2907"/>
      <c r="IK675" s="2907"/>
      <c r="JA675" s="2907"/>
    </row>
    <row r="676" spans="1:261" ht="12" customHeight="1">
      <c r="C676" s="521" t="s">
        <v>1191</v>
      </c>
      <c r="D676" s="521"/>
      <c r="E676" s="521"/>
      <c r="F676" s="521"/>
      <c r="G676" s="522" t="s">
        <v>1203</v>
      </c>
      <c r="H676" s="2956">
        <f>V668</f>
        <v>0</v>
      </c>
      <c r="I676" s="2956">
        <f>W668</f>
        <v>3</v>
      </c>
      <c r="J676" s="2956">
        <f>X668</f>
        <v>24</v>
      </c>
      <c r="K676" s="2956">
        <f>Y668</f>
        <v>6</v>
      </c>
      <c r="L676" s="2956">
        <f>Z668</f>
        <v>0</v>
      </c>
      <c r="M676" s="2956">
        <f t="shared" ref="M676:M682" si="262">SUM(H676:L676)</f>
        <v>33</v>
      </c>
      <c r="N676" s="2957" t="s">
        <v>933</v>
      </c>
      <c r="O676" s="2957"/>
      <c r="P676" s="2958"/>
      <c r="Q676" s="2959">
        <f t="shared" ref="Q676:Q682" si="263">ABS(M676-AF676)</f>
        <v>33</v>
      </c>
      <c r="R676" s="2959"/>
      <c r="S676" s="2959"/>
      <c r="T676" s="2869">
        <f>'Part VI-Revenues &amp; Expenses'!U56</f>
        <v>0</v>
      </c>
      <c r="U676" s="2944"/>
      <c r="V676" s="521"/>
      <c r="W676" s="521"/>
      <c r="X676" s="521"/>
      <c r="Y676" s="521"/>
      <c r="Z676" s="522"/>
      <c r="AA676" s="523"/>
      <c r="AB676" s="523"/>
      <c r="AC676" s="523"/>
      <c r="AD676" s="523"/>
      <c r="AE676" s="523"/>
      <c r="AF676" s="523"/>
      <c r="AG676" s="522"/>
      <c r="AH676" s="521"/>
      <c r="GS676" s="2909"/>
      <c r="GX676" s="2909"/>
      <c r="GY676" s="2909"/>
      <c r="GZ676" s="2909"/>
      <c r="HA676" s="2909"/>
      <c r="HB676" s="2909"/>
      <c r="HC676" s="2909"/>
      <c r="HD676" s="2909"/>
      <c r="HE676" s="2909"/>
      <c r="HF676" s="2909"/>
      <c r="HG676" s="2909"/>
      <c r="HH676" s="2909"/>
      <c r="HI676" s="2909"/>
      <c r="HJ676" s="2909"/>
      <c r="HK676" s="2909"/>
      <c r="HL676" s="2909"/>
      <c r="HM676" s="2909"/>
      <c r="HN676" s="2909"/>
      <c r="HO676" s="2909"/>
      <c r="HP676" s="2909"/>
      <c r="HQ676" s="2909"/>
      <c r="HR676" s="2909"/>
      <c r="HS676" s="2909"/>
      <c r="HT676" s="2909"/>
      <c r="HU676" s="2909"/>
      <c r="HV676" s="2909"/>
      <c r="HW676" s="2909"/>
      <c r="HX676" s="2909"/>
      <c r="HY676" s="2909"/>
      <c r="HZ676" s="2909"/>
      <c r="IA676" s="2909"/>
      <c r="IB676" s="2909"/>
      <c r="IC676" s="2909"/>
      <c r="IJ676" s="2907"/>
      <c r="IK676" s="2907"/>
      <c r="JA676" s="2907"/>
    </row>
    <row r="677" spans="1:261" ht="12" customHeight="1">
      <c r="A677" s="2960" t="s">
        <v>459</v>
      </c>
      <c r="B677" s="2960"/>
      <c r="C677" s="524"/>
      <c r="D677" s="521"/>
      <c r="E677" s="521"/>
      <c r="F677" s="521"/>
      <c r="G677" s="522" t="s">
        <v>120</v>
      </c>
      <c r="H677" s="2956">
        <f>AA668</f>
        <v>0</v>
      </c>
      <c r="I677" s="2956">
        <f>AB668</f>
        <v>1</v>
      </c>
      <c r="J677" s="2956">
        <f>AC668</f>
        <v>6</v>
      </c>
      <c r="K677" s="2956">
        <f>AD668</f>
        <v>2</v>
      </c>
      <c r="L677" s="2956">
        <f>AE668</f>
        <v>0</v>
      </c>
      <c r="M677" s="2956">
        <f t="shared" si="262"/>
        <v>9</v>
      </c>
      <c r="N677" s="2957"/>
      <c r="O677" s="2957"/>
      <c r="P677" s="2958"/>
      <c r="Q677" s="2959">
        <f t="shared" si="263"/>
        <v>9</v>
      </c>
      <c r="R677" s="2959"/>
      <c r="S677" s="2959"/>
      <c r="T677" s="2944"/>
      <c r="U677" s="2944"/>
      <c r="V677" s="524"/>
      <c r="W677" s="521"/>
      <c r="X677" s="521"/>
      <c r="Y677" s="521"/>
      <c r="Z677" s="522"/>
      <c r="AA677" s="523"/>
      <c r="AB677" s="523"/>
      <c r="AC677" s="523"/>
      <c r="AD677" s="523"/>
      <c r="AE677" s="523"/>
      <c r="AF677" s="523"/>
      <c r="AG677" s="522"/>
      <c r="AH677" s="521"/>
      <c r="GS677" s="2909"/>
      <c r="GX677" s="2909"/>
      <c r="GY677" s="2909"/>
      <c r="GZ677" s="2909"/>
      <c r="HA677" s="2909"/>
      <c r="HB677" s="2909"/>
      <c r="HC677" s="2909"/>
      <c r="HD677" s="2909"/>
      <c r="HE677" s="2909"/>
      <c r="HF677" s="2909"/>
      <c r="HG677" s="2909"/>
      <c r="HH677" s="2909"/>
      <c r="HI677" s="2909"/>
      <c r="HJ677" s="2909"/>
      <c r="HK677" s="2909"/>
      <c r="HL677" s="2909"/>
      <c r="HM677" s="2909"/>
      <c r="HN677" s="2909"/>
      <c r="HO677" s="2909"/>
      <c r="HP677" s="2909"/>
      <c r="HQ677" s="2909"/>
      <c r="HR677" s="2909"/>
      <c r="HS677" s="2909"/>
      <c r="HT677" s="2909"/>
      <c r="HU677" s="2909"/>
      <c r="HV677" s="2909"/>
      <c r="HW677" s="2909"/>
      <c r="HX677" s="2909"/>
      <c r="HY677" s="2909"/>
      <c r="HZ677" s="2909"/>
      <c r="IA677" s="2909"/>
      <c r="IB677" s="2909"/>
      <c r="IC677" s="2909"/>
      <c r="IJ677" s="2907"/>
      <c r="IK677" s="2907"/>
      <c r="JA677" s="2907"/>
    </row>
    <row r="678" spans="1:261" ht="12" customHeight="1">
      <c r="A678" s="2960"/>
      <c r="B678" s="2960"/>
      <c r="C678" s="524"/>
      <c r="D678" s="521"/>
      <c r="E678" s="521"/>
      <c r="F678" s="521"/>
      <c r="G678" s="522" t="s">
        <v>562</v>
      </c>
      <c r="H678" s="2956">
        <f>SUM(H676:H677)</f>
        <v>0</v>
      </c>
      <c r="I678" s="2956">
        <f>SUM(I676:I677)</f>
        <v>4</v>
      </c>
      <c r="J678" s="2956">
        <f>SUM(J676:J677)</f>
        <v>30</v>
      </c>
      <c r="K678" s="2956">
        <f>SUM(K676:K677)</f>
        <v>8</v>
      </c>
      <c r="L678" s="2956">
        <f>SUM(L676:L677)</f>
        <v>0</v>
      </c>
      <c r="M678" s="2956">
        <f t="shared" si="262"/>
        <v>42</v>
      </c>
      <c r="N678" s="2961"/>
      <c r="Q678" s="2959">
        <f t="shared" si="263"/>
        <v>42</v>
      </c>
      <c r="R678" s="2959"/>
      <c r="S678" s="2959"/>
      <c r="T678" s="2944"/>
      <c r="U678" s="2944"/>
      <c r="V678" s="524"/>
      <c r="W678" s="521"/>
      <c r="X678" s="521"/>
      <c r="Y678" s="521"/>
      <c r="Z678" s="522"/>
      <c r="AA678" s="523"/>
      <c r="AB678" s="523"/>
      <c r="AC678" s="523"/>
      <c r="AD678" s="523"/>
      <c r="AE678" s="523"/>
      <c r="AF678" s="523"/>
      <c r="AG678" s="522"/>
      <c r="AH678" s="521"/>
      <c r="GS678" s="2909"/>
      <c r="GX678" s="2909"/>
      <c r="GY678" s="2909"/>
      <c r="GZ678" s="2909"/>
      <c r="HA678" s="2909"/>
      <c r="HB678" s="2909"/>
      <c r="HC678" s="2909"/>
      <c r="HD678" s="2909"/>
      <c r="HE678" s="2909"/>
      <c r="HF678" s="2909"/>
      <c r="HG678" s="2909"/>
      <c r="HH678" s="2909"/>
      <c r="HI678" s="2909"/>
      <c r="HJ678" s="2909"/>
      <c r="HK678" s="2909"/>
      <c r="HL678" s="2909"/>
      <c r="HM678" s="2909"/>
      <c r="HN678" s="2909"/>
      <c r="HO678" s="2909"/>
      <c r="HP678" s="2909"/>
      <c r="HQ678" s="2909"/>
      <c r="HR678" s="2909"/>
      <c r="HS678" s="2909"/>
      <c r="HT678" s="2909"/>
      <c r="HU678" s="2909"/>
      <c r="HV678" s="2909"/>
      <c r="HW678" s="2909"/>
      <c r="HX678" s="2909"/>
      <c r="HY678" s="2909"/>
      <c r="HZ678" s="2909"/>
      <c r="IA678" s="2909"/>
      <c r="IB678" s="2909"/>
      <c r="IC678" s="2909"/>
      <c r="IJ678" s="2907"/>
      <c r="IK678" s="2907"/>
      <c r="JA678" s="2907"/>
    </row>
    <row r="679" spans="1:261" ht="12" customHeight="1">
      <c r="A679" s="2960"/>
      <c r="B679" s="2960"/>
      <c r="C679" s="521" t="s">
        <v>316</v>
      </c>
      <c r="D679" s="521"/>
      <c r="E679" s="521"/>
      <c r="F679" s="521"/>
      <c r="G679" s="522"/>
      <c r="H679" s="2956">
        <f>AK668</f>
        <v>0</v>
      </c>
      <c r="I679" s="2956">
        <f>AL668</f>
        <v>0</v>
      </c>
      <c r="J679" s="2956">
        <f>AM668</f>
        <v>0</v>
      </c>
      <c r="K679" s="2956">
        <f>AN668</f>
        <v>0</v>
      </c>
      <c r="L679" s="2956">
        <f>AO668</f>
        <v>0</v>
      </c>
      <c r="M679" s="2956">
        <f t="shared" si="262"/>
        <v>0</v>
      </c>
      <c r="N679" s="505"/>
      <c r="Q679" s="2959">
        <f t="shared" si="263"/>
        <v>0</v>
      </c>
      <c r="R679" s="2959"/>
      <c r="S679" s="2959"/>
      <c r="T679" s="2944"/>
      <c r="U679" s="2944"/>
      <c r="V679" s="521"/>
      <c r="W679" s="521"/>
      <c r="X679" s="521"/>
      <c r="Y679" s="521"/>
      <c r="Z679" s="522"/>
      <c r="AA679" s="523"/>
      <c r="AB679" s="523"/>
      <c r="AC679" s="523"/>
      <c r="AD679" s="523"/>
      <c r="AE679" s="523"/>
      <c r="AF679" s="523"/>
      <c r="AG679" s="505"/>
      <c r="AH679" s="521"/>
      <c r="GS679" s="2909"/>
      <c r="GX679" s="2909"/>
      <c r="GY679" s="2909"/>
      <c r="GZ679" s="2909"/>
      <c r="HA679" s="2909"/>
      <c r="HB679" s="2909"/>
      <c r="HC679" s="2909"/>
      <c r="HD679" s="2909"/>
      <c r="HE679" s="2909"/>
      <c r="HF679" s="2909"/>
      <c r="HG679" s="2909"/>
      <c r="HH679" s="2909"/>
      <c r="HI679" s="2909"/>
      <c r="HJ679" s="2909"/>
      <c r="HK679" s="2909"/>
      <c r="HL679" s="2909"/>
      <c r="HM679" s="2909"/>
      <c r="HN679" s="2909"/>
      <c r="HO679" s="2909"/>
      <c r="HP679" s="2909"/>
      <c r="HQ679" s="2909"/>
      <c r="HR679" s="2909"/>
      <c r="HS679" s="2909"/>
      <c r="HT679" s="2909"/>
      <c r="HU679" s="2909"/>
      <c r="HV679" s="2909"/>
      <c r="HW679" s="2909"/>
      <c r="HX679" s="2909"/>
      <c r="HY679" s="2909"/>
      <c r="HZ679" s="2909"/>
      <c r="IA679" s="2909"/>
      <c r="IB679" s="2909"/>
      <c r="IC679" s="2909"/>
      <c r="IJ679" s="2907"/>
      <c r="IK679" s="2907"/>
      <c r="JA679" s="2907"/>
    </row>
    <row r="680" spans="1:261" ht="12" customHeight="1">
      <c r="A680" s="2960"/>
      <c r="B680" s="2960"/>
      <c r="C680" s="521" t="s">
        <v>1192</v>
      </c>
      <c r="D680" s="521"/>
      <c r="E680" s="521"/>
      <c r="F680" s="521"/>
      <c r="G680" s="522"/>
      <c r="H680" s="2956">
        <f>SUM(H678:H679)</f>
        <v>0</v>
      </c>
      <c r="I680" s="2956">
        <f>SUM(I678:I679)</f>
        <v>4</v>
      </c>
      <c r="J680" s="2956">
        <f>SUM(J678:J679)</f>
        <v>30</v>
      </c>
      <c r="K680" s="2956">
        <f>SUM(K678:K679)</f>
        <v>8</v>
      </c>
      <c r="L680" s="2956">
        <f>SUM(L678:L679)</f>
        <v>0</v>
      </c>
      <c r="M680" s="2956">
        <f t="shared" si="262"/>
        <v>42</v>
      </c>
      <c r="N680" s="505"/>
      <c r="Q680" s="2959">
        <f t="shared" si="263"/>
        <v>42</v>
      </c>
      <c r="R680" s="2959"/>
      <c r="S680" s="2959"/>
      <c r="T680" s="2944"/>
      <c r="U680" s="2944"/>
      <c r="V680" s="521"/>
      <c r="W680" s="521"/>
      <c r="X680" s="521"/>
      <c r="Y680" s="521"/>
      <c r="Z680" s="522"/>
      <c r="AA680" s="523"/>
      <c r="AB680" s="523"/>
      <c r="AC680" s="523"/>
      <c r="AD680" s="523"/>
      <c r="AE680" s="523"/>
      <c r="AF680" s="523"/>
      <c r="AG680" s="505"/>
      <c r="AH680" s="521"/>
      <c r="GS680" s="2909"/>
      <c r="GX680" s="2909"/>
      <c r="GY680" s="2909"/>
      <c r="GZ680" s="2909"/>
      <c r="HA680" s="2909"/>
      <c r="HB680" s="2909"/>
      <c r="HC680" s="2909"/>
      <c r="HD680" s="2909"/>
      <c r="HE680" s="2909"/>
      <c r="HF680" s="2909"/>
      <c r="HG680" s="2909"/>
      <c r="HH680" s="2909"/>
      <c r="HI680" s="2909"/>
      <c r="HJ680" s="2909"/>
      <c r="HK680" s="2909"/>
      <c r="HL680" s="2909"/>
      <c r="HM680" s="2909"/>
      <c r="HN680" s="2909"/>
      <c r="HO680" s="2909"/>
      <c r="HP680" s="2909"/>
      <c r="HQ680" s="2909"/>
      <c r="HR680" s="2909"/>
      <c r="HS680" s="2909"/>
      <c r="HT680" s="2909"/>
      <c r="HU680" s="2909"/>
      <c r="HV680" s="2909"/>
      <c r="HW680" s="2909"/>
      <c r="HX680" s="2909"/>
      <c r="HY680" s="2909"/>
      <c r="HZ680" s="2909"/>
      <c r="IA680" s="2909"/>
      <c r="IB680" s="2909"/>
      <c r="IC680" s="2909"/>
      <c r="IJ680" s="2907"/>
      <c r="IK680" s="2907"/>
      <c r="JA680" s="2907"/>
    </row>
    <row r="681" spans="1:261" ht="12" customHeight="1">
      <c r="A681" s="2960"/>
      <c r="B681" s="2960"/>
      <c r="C681" s="521" t="s">
        <v>2636</v>
      </c>
      <c r="D681" s="521"/>
      <c r="E681" s="521"/>
      <c r="F681" s="521"/>
      <c r="G681" s="522"/>
      <c r="H681" s="2956">
        <f>BT668</f>
        <v>0</v>
      </c>
      <c r="I681" s="2956">
        <f>BU668</f>
        <v>0</v>
      </c>
      <c r="J681" s="2956">
        <f>BV668</f>
        <v>0</v>
      </c>
      <c r="K681" s="2956">
        <f>BW668</f>
        <v>0</v>
      </c>
      <c r="L681" s="2956">
        <f>BX668</f>
        <v>0</v>
      </c>
      <c r="M681" s="2956">
        <f t="shared" si="262"/>
        <v>0</v>
      </c>
      <c r="N681" s="522" t="s">
        <v>2317</v>
      </c>
      <c r="Q681" s="2959">
        <f t="shared" si="263"/>
        <v>0</v>
      </c>
      <c r="R681" s="2959"/>
      <c r="S681" s="2959"/>
      <c r="T681" s="2944"/>
      <c r="U681" s="2944"/>
      <c r="V681" s="521"/>
      <c r="W681" s="521"/>
      <c r="X681" s="521"/>
      <c r="Y681" s="521"/>
      <c r="Z681" s="522"/>
      <c r="AA681" s="523"/>
      <c r="AB681" s="523"/>
      <c r="AC681" s="523"/>
      <c r="AD681" s="523"/>
      <c r="AE681" s="523"/>
      <c r="AF681" s="523"/>
      <c r="AG681" s="522"/>
      <c r="AH681" s="521"/>
      <c r="GS681" s="2909"/>
      <c r="GX681" s="2909"/>
      <c r="GY681" s="2909"/>
      <c r="GZ681" s="2909"/>
      <c r="HA681" s="2909"/>
      <c r="HB681" s="2909"/>
      <c r="HC681" s="2909"/>
      <c r="HD681" s="2909"/>
      <c r="HE681" s="2909"/>
      <c r="HF681" s="2909"/>
      <c r="HG681" s="2909"/>
      <c r="HH681" s="2909"/>
      <c r="HI681" s="2909"/>
      <c r="HJ681" s="2909"/>
      <c r="HK681" s="2909"/>
      <c r="HL681" s="2909"/>
      <c r="HM681" s="2909"/>
      <c r="HN681" s="2909"/>
      <c r="HO681" s="2909"/>
      <c r="HP681" s="2909"/>
      <c r="HQ681" s="2909"/>
      <c r="HR681" s="2909"/>
      <c r="HS681" s="2909"/>
      <c r="HT681" s="2909"/>
      <c r="HU681" s="2909"/>
      <c r="HV681" s="2909"/>
      <c r="HW681" s="2909"/>
      <c r="HX681" s="2909"/>
      <c r="HY681" s="2909"/>
      <c r="HZ681" s="2909"/>
      <c r="IA681" s="2909"/>
      <c r="IB681" s="2909"/>
      <c r="IC681" s="2909"/>
      <c r="IJ681" s="2907"/>
      <c r="IK681" s="2907"/>
      <c r="JA681" s="2907"/>
    </row>
    <row r="682" spans="1:261" ht="12" customHeight="1">
      <c r="A682" s="2960"/>
      <c r="B682" s="2960"/>
      <c r="C682" s="521" t="s">
        <v>562</v>
      </c>
      <c r="D682" s="521"/>
      <c r="E682" s="521"/>
      <c r="F682" s="521"/>
      <c r="G682" s="522"/>
      <c r="H682" s="2956">
        <f>SUM(H680:H681)</f>
        <v>0</v>
      </c>
      <c r="I682" s="2956">
        <f>SUM(I680:I681)</f>
        <v>4</v>
      </c>
      <c r="J682" s="2956">
        <f>SUM(J680:J681)</f>
        <v>30</v>
      </c>
      <c r="K682" s="2956">
        <f>SUM(K680:K681)</f>
        <v>8</v>
      </c>
      <c r="L682" s="2956">
        <f>SUM(L680:L681)</f>
        <v>0</v>
      </c>
      <c r="M682" s="2956">
        <f t="shared" si="262"/>
        <v>42</v>
      </c>
      <c r="Q682" s="2959">
        <f t="shared" si="263"/>
        <v>42</v>
      </c>
      <c r="R682" s="2959"/>
      <c r="S682" s="2959"/>
      <c r="T682" s="2944"/>
      <c r="U682" s="2944"/>
      <c r="V682" s="521"/>
      <c r="W682" s="521"/>
      <c r="X682" s="521"/>
      <c r="Y682" s="521"/>
      <c r="Z682" s="522"/>
      <c r="AA682" s="523"/>
      <c r="AB682" s="523"/>
      <c r="AC682" s="523"/>
      <c r="AD682" s="523"/>
      <c r="AE682" s="523"/>
      <c r="AF682" s="523"/>
      <c r="AH682" s="521"/>
      <c r="GS682" s="2909"/>
      <c r="GX682" s="2909"/>
      <c r="GY682" s="2909"/>
      <c r="GZ682" s="2909"/>
      <c r="HA682" s="2909"/>
      <c r="HB682" s="2909"/>
      <c r="HC682" s="2909"/>
      <c r="HD682" s="2909"/>
      <c r="HE682" s="2909"/>
      <c r="HF682" s="2909"/>
      <c r="HG682" s="2909"/>
      <c r="HH682" s="2909"/>
      <c r="HI682" s="2909"/>
      <c r="HJ682" s="2909"/>
      <c r="HK682" s="2909"/>
      <c r="HL682" s="2909"/>
      <c r="HM682" s="2909"/>
      <c r="HN682" s="2909"/>
      <c r="HO682" s="2909"/>
      <c r="HP682" s="2909"/>
      <c r="HQ682" s="2909"/>
      <c r="HR682" s="2909"/>
      <c r="HS682" s="2909"/>
      <c r="HT682" s="2909"/>
      <c r="HU682" s="2909"/>
      <c r="HV682" s="2909"/>
      <c r="HW682" s="2909"/>
      <c r="HX682" s="2909"/>
      <c r="HY682" s="2909"/>
      <c r="HZ682" s="2909"/>
      <c r="IA682" s="2909"/>
      <c r="IB682" s="2909"/>
      <c r="IC682" s="2909"/>
      <c r="IJ682" s="2907"/>
      <c r="IK682" s="2907"/>
      <c r="JA682" s="2907"/>
    </row>
    <row r="683" spans="1:261" ht="12" customHeight="1">
      <c r="A683" s="2960"/>
      <c r="B683" s="2960"/>
      <c r="C683" s="521"/>
      <c r="D683" s="521"/>
      <c r="E683" s="521"/>
      <c r="F683" s="521"/>
      <c r="G683" s="522"/>
      <c r="H683" s="2962"/>
      <c r="I683" s="2962"/>
      <c r="J683" s="2962"/>
      <c r="K683" s="2962"/>
      <c r="L683" s="2962"/>
      <c r="M683" s="2962"/>
      <c r="Q683" s="2959"/>
      <c r="R683" s="2959"/>
      <c r="S683" s="2959"/>
      <c r="T683" s="2719" t="str">
        <f>C684</f>
        <v>PBRA-Assisted</v>
      </c>
      <c r="V683" s="521"/>
      <c r="W683" s="521"/>
      <c r="X683" s="521"/>
      <c r="Y683" s="521"/>
      <c r="Z683" s="522"/>
      <c r="AA683" s="521"/>
      <c r="AB683" s="521"/>
      <c r="AC683" s="521"/>
      <c r="AD683" s="521"/>
      <c r="AE683" s="521"/>
      <c r="AF683" s="521"/>
      <c r="AH683" s="521"/>
      <c r="GS683" s="2909"/>
      <c r="GX683" s="2909"/>
      <c r="GY683" s="2909"/>
      <c r="GZ683" s="2909"/>
      <c r="HA683" s="2909"/>
      <c r="HB683" s="2909"/>
      <c r="HC683" s="2909"/>
      <c r="HD683" s="2909"/>
      <c r="HE683" s="2909"/>
      <c r="HF683" s="2909"/>
      <c r="HG683" s="2909"/>
      <c r="HH683" s="2909"/>
      <c r="HI683" s="2909"/>
      <c r="HJ683" s="2909"/>
      <c r="HK683" s="2909"/>
      <c r="HL683" s="2909"/>
      <c r="HM683" s="2909"/>
      <c r="HN683" s="2909"/>
      <c r="HO683" s="2909"/>
      <c r="HP683" s="2909"/>
      <c r="HQ683" s="2909"/>
      <c r="HR683" s="2909"/>
      <c r="HS683" s="2909"/>
      <c r="HT683" s="2909"/>
      <c r="HU683" s="2909"/>
      <c r="HV683" s="2909"/>
      <c r="HW683" s="2909"/>
      <c r="HX683" s="2909"/>
      <c r="HY683" s="2909"/>
      <c r="HZ683" s="2909"/>
      <c r="IA683" s="2909"/>
      <c r="IB683" s="2909"/>
      <c r="IC683" s="2909"/>
      <c r="IJ683" s="2907"/>
      <c r="IK683" s="2907"/>
      <c r="JA683" s="2907"/>
    </row>
    <row r="684" spans="1:261" ht="12" customHeight="1">
      <c r="A684" s="2960"/>
      <c r="B684" s="2960"/>
      <c r="C684" s="521" t="s">
        <v>977</v>
      </c>
      <c r="D684" s="521"/>
      <c r="E684" s="525"/>
      <c r="F684" s="521"/>
      <c r="G684" s="522" t="s">
        <v>1203</v>
      </c>
      <c r="H684" s="2956">
        <f>AZ668</f>
        <v>0</v>
      </c>
      <c r="I684" s="2956">
        <f>BA668</f>
        <v>0</v>
      </c>
      <c r="J684" s="2956">
        <f>BB668</f>
        <v>0</v>
      </c>
      <c r="K684" s="2956">
        <f>BC668</f>
        <v>0</v>
      </c>
      <c r="L684" s="2956">
        <f>BD668</f>
        <v>0</v>
      </c>
      <c r="M684" s="2956">
        <f>SUM(H684:L684)</f>
        <v>0</v>
      </c>
      <c r="N684" s="522"/>
      <c r="Q684" s="2959">
        <f>ABS(M684-AF684)</f>
        <v>0</v>
      </c>
      <c r="R684" s="2959"/>
      <c r="S684" s="2959"/>
      <c r="T684" s="2869">
        <f>'Part VI-Revenues &amp; Expenses'!U64</f>
        <v>0</v>
      </c>
      <c r="U684" s="2944"/>
      <c r="V684" s="521"/>
      <c r="W684" s="521"/>
      <c r="X684" s="525"/>
      <c r="Y684" s="521"/>
      <c r="Z684" s="522"/>
      <c r="AA684" s="523"/>
      <c r="AB684" s="523"/>
      <c r="AC684" s="523"/>
      <c r="AD684" s="523"/>
      <c r="AE684" s="523"/>
      <c r="AF684" s="523"/>
      <c r="AG684" s="522"/>
      <c r="AH684" s="521"/>
      <c r="GS684" s="2909"/>
      <c r="GX684" s="2909"/>
      <c r="GY684" s="2909"/>
      <c r="GZ684" s="2909"/>
      <c r="HA684" s="2909"/>
      <c r="HB684" s="2909"/>
      <c r="HC684" s="2909"/>
      <c r="HD684" s="2909"/>
      <c r="HE684" s="2909"/>
      <c r="HF684" s="2909"/>
      <c r="HG684" s="2909"/>
      <c r="HH684" s="2909"/>
      <c r="HI684" s="2909"/>
      <c r="HJ684" s="2909"/>
      <c r="HK684" s="2909"/>
      <c r="HL684" s="2909"/>
      <c r="HM684" s="2909"/>
      <c r="HN684" s="2909"/>
      <c r="HO684" s="2909"/>
      <c r="HP684" s="2909"/>
      <c r="HQ684" s="2909"/>
      <c r="HR684" s="2909"/>
      <c r="HS684" s="2909"/>
      <c r="HT684" s="2909"/>
      <c r="HU684" s="2909"/>
      <c r="HV684" s="2909"/>
      <c r="HW684" s="2909"/>
      <c r="HX684" s="2909"/>
      <c r="HY684" s="2909"/>
      <c r="HZ684" s="2909"/>
      <c r="IA684" s="2909"/>
      <c r="IB684" s="2909"/>
      <c r="IC684" s="2909"/>
      <c r="IJ684" s="2907"/>
      <c r="IK684" s="2907"/>
      <c r="JA684" s="2907"/>
    </row>
    <row r="685" spans="1:261" ht="12" customHeight="1">
      <c r="A685" s="2960"/>
      <c r="B685" s="2960"/>
      <c r="C685" s="522" t="s">
        <v>2637</v>
      </c>
      <c r="D685" s="521"/>
      <c r="E685" s="525"/>
      <c r="F685" s="521"/>
      <c r="G685" s="522" t="s">
        <v>120</v>
      </c>
      <c r="H685" s="2956">
        <f>AU668</f>
        <v>0</v>
      </c>
      <c r="I685" s="2956">
        <f>AV668</f>
        <v>1</v>
      </c>
      <c r="J685" s="2956">
        <f>AW668</f>
        <v>6</v>
      </c>
      <c r="K685" s="2956">
        <f>AX668</f>
        <v>0</v>
      </c>
      <c r="L685" s="2956">
        <f>AY668</f>
        <v>0</v>
      </c>
      <c r="M685" s="2956">
        <f>SUM(H685:L685)</f>
        <v>7</v>
      </c>
      <c r="N685" s="522"/>
      <c r="Q685" s="2959">
        <f>ABS(M685-AF685)</f>
        <v>7</v>
      </c>
      <c r="R685" s="2959"/>
      <c r="S685" s="2959"/>
      <c r="T685" s="2944"/>
      <c r="U685" s="2944"/>
      <c r="V685" s="522"/>
      <c r="W685" s="521"/>
      <c r="X685" s="525"/>
      <c r="Y685" s="521"/>
      <c r="Z685" s="522"/>
      <c r="AA685" s="523"/>
      <c r="AB685" s="523"/>
      <c r="AC685" s="523"/>
      <c r="AD685" s="523"/>
      <c r="AE685" s="523"/>
      <c r="AF685" s="523"/>
      <c r="AG685" s="522"/>
      <c r="AH685" s="521"/>
      <c r="GS685" s="2909"/>
      <c r="GX685" s="2909"/>
      <c r="GY685" s="2909"/>
      <c r="GZ685" s="2909"/>
      <c r="HA685" s="2909"/>
      <c r="HB685" s="2909"/>
      <c r="HC685" s="2909"/>
      <c r="HD685" s="2909"/>
      <c r="HE685" s="2909"/>
      <c r="HF685" s="2909"/>
      <c r="HG685" s="2909"/>
      <c r="HH685" s="2909"/>
      <c r="HI685" s="2909"/>
      <c r="HJ685" s="2909"/>
      <c r="HK685" s="2909"/>
      <c r="HL685" s="2909"/>
      <c r="HM685" s="2909"/>
      <c r="HN685" s="2909"/>
      <c r="HO685" s="2909"/>
      <c r="HP685" s="2909"/>
      <c r="HQ685" s="2909"/>
      <c r="HR685" s="2909"/>
      <c r="HS685" s="2909"/>
      <c r="HT685" s="2909"/>
      <c r="HU685" s="2909"/>
      <c r="HV685" s="2909"/>
      <c r="HW685" s="2909"/>
      <c r="HX685" s="2909"/>
      <c r="HY685" s="2909"/>
      <c r="HZ685" s="2909"/>
      <c r="IA685" s="2909"/>
      <c r="IB685" s="2909"/>
      <c r="IC685" s="2909"/>
      <c r="IJ685" s="2907"/>
      <c r="IK685" s="2907"/>
      <c r="JA685" s="2907"/>
    </row>
    <row r="686" spans="1:261" ht="12" customHeight="1">
      <c r="A686" s="2960"/>
      <c r="B686" s="2960"/>
      <c r="C686" s="524"/>
      <c r="D686" s="521"/>
      <c r="E686" s="525"/>
      <c r="F686" s="521"/>
      <c r="G686" s="522" t="s">
        <v>562</v>
      </c>
      <c r="H686" s="2956">
        <f>SUM(H684:H685)</f>
        <v>0</v>
      </c>
      <c r="I686" s="2956">
        <f>SUM(I684:I685)</f>
        <v>1</v>
      </c>
      <c r="J686" s="2956">
        <f>SUM(J684:J685)</f>
        <v>6</v>
      </c>
      <c r="K686" s="2956">
        <f>SUM(K684:K685)</f>
        <v>0</v>
      </c>
      <c r="L686" s="2956">
        <f>SUM(L684:L685)</f>
        <v>0</v>
      </c>
      <c r="M686" s="2956">
        <f>SUM(H686:L686)</f>
        <v>7</v>
      </c>
      <c r="N686" s="522"/>
      <c r="Q686" s="2959">
        <f>ABS(M686-AF686)</f>
        <v>7</v>
      </c>
      <c r="R686" s="2959"/>
      <c r="S686" s="2959"/>
      <c r="T686" s="2944"/>
      <c r="U686" s="2944"/>
      <c r="V686" s="524"/>
      <c r="W686" s="521"/>
      <c r="X686" s="525"/>
      <c r="Y686" s="521"/>
      <c r="Z686" s="522"/>
      <c r="AA686" s="523"/>
      <c r="AB686" s="523"/>
      <c r="AC686" s="523"/>
      <c r="AD686" s="523"/>
      <c r="AE686" s="523"/>
      <c r="AF686" s="523"/>
      <c r="AG686" s="522"/>
      <c r="AH686" s="521"/>
      <c r="GS686" s="2909"/>
      <c r="GX686" s="2909"/>
      <c r="GY686" s="2909"/>
      <c r="GZ686" s="2909"/>
      <c r="HA686" s="2909"/>
      <c r="HB686" s="2909"/>
      <c r="HC686" s="2909"/>
      <c r="HD686" s="2909"/>
      <c r="HE686" s="2909"/>
      <c r="HF686" s="2909"/>
      <c r="HG686" s="2909"/>
      <c r="HH686" s="2909"/>
      <c r="HI686" s="2909"/>
      <c r="HJ686" s="2909"/>
      <c r="HK686" s="2909"/>
      <c r="HL686" s="2909"/>
      <c r="HM686" s="2909"/>
      <c r="HN686" s="2909"/>
      <c r="HO686" s="2909"/>
      <c r="HP686" s="2909"/>
      <c r="HQ686" s="2909"/>
      <c r="HR686" s="2909"/>
      <c r="HS686" s="2909"/>
      <c r="HT686" s="2909"/>
      <c r="HU686" s="2909"/>
      <c r="HV686" s="2909"/>
      <c r="HW686" s="2909"/>
      <c r="HX686" s="2909"/>
      <c r="HY686" s="2909"/>
      <c r="HZ686" s="2909"/>
      <c r="IA686" s="2909"/>
      <c r="IB686" s="2909"/>
      <c r="IC686" s="2909"/>
      <c r="IJ686" s="2907"/>
      <c r="IK686" s="2907"/>
      <c r="JA686" s="2907"/>
    </row>
    <row r="687" spans="1:261" ht="12" customHeight="1">
      <c r="A687" s="2960"/>
      <c r="B687" s="2960"/>
      <c r="C687" s="521"/>
      <c r="D687" s="521"/>
      <c r="E687" s="521"/>
      <c r="F687" s="521"/>
      <c r="G687" s="522"/>
      <c r="H687" s="2962"/>
      <c r="I687" s="2962"/>
      <c r="J687" s="2962"/>
      <c r="K687" s="2962"/>
      <c r="L687" s="2962"/>
      <c r="M687" s="2962"/>
      <c r="Q687" s="2959"/>
      <c r="R687" s="2959"/>
      <c r="S687" s="2959"/>
      <c r="T687" s="2719" t="str">
        <f>C688</f>
        <v>PHA Operating Subsidy-Assisted</v>
      </c>
      <c r="V687" s="521"/>
      <c r="W687" s="521"/>
      <c r="X687" s="521"/>
      <c r="Y687" s="521"/>
      <c r="Z687" s="522"/>
      <c r="AA687" s="521"/>
      <c r="AB687" s="521"/>
      <c r="AC687" s="521"/>
      <c r="AD687" s="521"/>
      <c r="AE687" s="521"/>
      <c r="AF687" s="521"/>
      <c r="AH687" s="521"/>
      <c r="GS687" s="2909"/>
      <c r="GX687" s="2909"/>
      <c r="GY687" s="2909"/>
      <c r="GZ687" s="2909"/>
      <c r="HA687" s="2909"/>
      <c r="HB687" s="2909"/>
      <c r="HC687" s="2909"/>
      <c r="HD687" s="2909"/>
      <c r="HE687" s="2909"/>
      <c r="HF687" s="2909"/>
      <c r="HG687" s="2909"/>
      <c r="HH687" s="2909"/>
      <c r="HI687" s="2909"/>
      <c r="HJ687" s="2909"/>
      <c r="HK687" s="2909"/>
      <c r="HL687" s="2909"/>
      <c r="HM687" s="2909"/>
      <c r="HN687" s="2909"/>
      <c r="HO687" s="2909"/>
      <c r="HP687" s="2909"/>
      <c r="HQ687" s="2909"/>
      <c r="HR687" s="2909"/>
      <c r="HS687" s="2909"/>
      <c r="HT687" s="2909"/>
      <c r="HU687" s="2909"/>
      <c r="HV687" s="2909"/>
      <c r="HW687" s="2909"/>
      <c r="HX687" s="2909"/>
      <c r="HY687" s="2909"/>
      <c r="HZ687" s="2909"/>
      <c r="IA687" s="2909"/>
      <c r="IB687" s="2909"/>
      <c r="IC687" s="2909"/>
      <c r="IJ687" s="2907"/>
      <c r="IK687" s="2907"/>
      <c r="JA687" s="2907"/>
    </row>
    <row r="688" spans="1:261" ht="12" customHeight="1">
      <c r="A688" s="2960"/>
      <c r="B688" s="2960"/>
      <c r="C688" s="521" t="s">
        <v>932</v>
      </c>
      <c r="D688" s="521"/>
      <c r="E688" s="525"/>
      <c r="F688" s="521"/>
      <c r="G688" s="522" t="s">
        <v>1203</v>
      </c>
      <c r="H688" s="2956">
        <f>BO668</f>
        <v>0</v>
      </c>
      <c r="I688" s="2956">
        <f>BP668</f>
        <v>0</v>
      </c>
      <c r="J688" s="2956">
        <f>BQ668</f>
        <v>0</v>
      </c>
      <c r="K688" s="2956">
        <f>BR668</f>
        <v>0</v>
      </c>
      <c r="L688" s="2956">
        <f>BS668</f>
        <v>0</v>
      </c>
      <c r="M688" s="2956">
        <f>SUM(H688:L688)</f>
        <v>0</v>
      </c>
      <c r="N688" s="522"/>
      <c r="Q688" s="2959">
        <f>ABS(M688-AF688)</f>
        <v>0</v>
      </c>
      <c r="R688" s="2959"/>
      <c r="S688" s="2959"/>
      <c r="T688" s="2869">
        <f>'Part VI-Revenues &amp; Expenses'!U68</f>
        <v>0</v>
      </c>
      <c r="U688" s="2944"/>
      <c r="V688" s="521"/>
      <c r="W688" s="521"/>
      <c r="X688" s="525"/>
      <c r="Y688" s="521"/>
      <c r="Z688" s="522"/>
      <c r="AA688" s="523"/>
      <c r="AB688" s="523"/>
      <c r="AC688" s="523"/>
      <c r="AD688" s="523"/>
      <c r="AE688" s="523"/>
      <c r="AF688" s="523"/>
      <c r="AG688" s="522"/>
      <c r="AH688" s="521"/>
      <c r="GS688" s="2909"/>
      <c r="GX688" s="2909"/>
      <c r="GY688" s="2909"/>
      <c r="GZ688" s="2909"/>
      <c r="HA688" s="2909"/>
      <c r="HB688" s="2909"/>
      <c r="HC688" s="2909"/>
      <c r="HD688" s="2909"/>
      <c r="HE688" s="2909"/>
      <c r="HF688" s="2909"/>
      <c r="HG688" s="2909"/>
      <c r="HH688" s="2909"/>
      <c r="HI688" s="2909"/>
      <c r="HJ688" s="2909"/>
      <c r="HK688" s="2909"/>
      <c r="HL688" s="2909"/>
      <c r="HM688" s="2909"/>
      <c r="HN688" s="2909"/>
      <c r="HO688" s="2909"/>
      <c r="HP688" s="2909"/>
      <c r="HQ688" s="2909"/>
      <c r="HR688" s="2909"/>
      <c r="HS688" s="2909"/>
      <c r="HT688" s="2909"/>
      <c r="HU688" s="2909"/>
      <c r="HV688" s="2909"/>
      <c r="HW688" s="2909"/>
      <c r="HX688" s="2909"/>
      <c r="HY688" s="2909"/>
      <c r="HZ688" s="2909"/>
      <c r="IA688" s="2909"/>
      <c r="IB688" s="2909"/>
      <c r="IC688" s="2909"/>
      <c r="IJ688" s="2907"/>
      <c r="IK688" s="2907"/>
      <c r="JA688" s="2907"/>
    </row>
    <row r="689" spans="1:261" ht="12" customHeight="1">
      <c r="A689" s="2960"/>
      <c r="B689" s="2960"/>
      <c r="C689" s="522" t="s">
        <v>2637</v>
      </c>
      <c r="D689" s="521"/>
      <c r="E689" s="525"/>
      <c r="F689" s="521"/>
      <c r="G689" s="522" t="s">
        <v>120</v>
      </c>
      <c r="H689" s="2956">
        <f>BJ668</f>
        <v>0</v>
      </c>
      <c r="I689" s="2956">
        <f>BK668</f>
        <v>0</v>
      </c>
      <c r="J689" s="2956">
        <f>BL668</f>
        <v>0</v>
      </c>
      <c r="K689" s="2956">
        <f>BM668</f>
        <v>0</v>
      </c>
      <c r="L689" s="2956">
        <f>BN668</f>
        <v>0</v>
      </c>
      <c r="M689" s="2956">
        <f>SUM(H689:L689)</f>
        <v>0</v>
      </c>
      <c r="N689" s="522"/>
      <c r="Q689" s="2959">
        <f>ABS(M689-AF689)</f>
        <v>0</v>
      </c>
      <c r="R689" s="2959"/>
      <c r="S689" s="2959"/>
      <c r="T689" s="2944"/>
      <c r="U689" s="2944"/>
      <c r="V689" s="522"/>
      <c r="W689" s="521"/>
      <c r="X689" s="525"/>
      <c r="Y689" s="521"/>
      <c r="Z689" s="522"/>
      <c r="AA689" s="523"/>
      <c r="AB689" s="523"/>
      <c r="AC689" s="523"/>
      <c r="AD689" s="523"/>
      <c r="AE689" s="523"/>
      <c r="AF689" s="523"/>
      <c r="AG689" s="522"/>
      <c r="AH689" s="521"/>
      <c r="GS689" s="2909"/>
      <c r="GX689" s="2909"/>
      <c r="GY689" s="2909"/>
      <c r="GZ689" s="2909"/>
      <c r="HA689" s="2909"/>
      <c r="HB689" s="2909"/>
      <c r="HC689" s="2909"/>
      <c r="HD689" s="2909"/>
      <c r="HE689" s="2909"/>
      <c r="HF689" s="2909"/>
      <c r="HG689" s="2909"/>
      <c r="HH689" s="2909"/>
      <c r="HI689" s="2909"/>
      <c r="HJ689" s="2909"/>
      <c r="HK689" s="2909"/>
      <c r="HL689" s="2909"/>
      <c r="HM689" s="2909"/>
      <c r="HN689" s="2909"/>
      <c r="HO689" s="2909"/>
      <c r="HP689" s="2909"/>
      <c r="HQ689" s="2909"/>
      <c r="HR689" s="2909"/>
      <c r="HS689" s="2909"/>
      <c r="HT689" s="2909"/>
      <c r="HU689" s="2909"/>
      <c r="HV689" s="2909"/>
      <c r="HW689" s="2909"/>
      <c r="HX689" s="2909"/>
      <c r="HY689" s="2909"/>
      <c r="HZ689" s="2909"/>
      <c r="IA689" s="2909"/>
      <c r="IB689" s="2909"/>
      <c r="IC689" s="2909"/>
      <c r="IJ689" s="2907"/>
      <c r="IK689" s="2907"/>
      <c r="JA689" s="2907"/>
    </row>
    <row r="690" spans="1:261" ht="12" customHeight="1">
      <c r="A690" s="2960"/>
      <c r="B690" s="2960"/>
      <c r="C690" s="524"/>
      <c r="D690" s="521"/>
      <c r="E690" s="525"/>
      <c r="F690" s="521"/>
      <c r="G690" s="522" t="s">
        <v>562</v>
      </c>
      <c r="H690" s="2956">
        <f>SUM(H688:H689)</f>
        <v>0</v>
      </c>
      <c r="I690" s="2956">
        <f>SUM(I688:I689)</f>
        <v>0</v>
      </c>
      <c r="J690" s="2956">
        <f>SUM(J688:J689)</f>
        <v>0</v>
      </c>
      <c r="K690" s="2956">
        <f>SUM(K688:K689)</f>
        <v>0</v>
      </c>
      <c r="L690" s="2956">
        <f>SUM(L688:L689)</f>
        <v>0</v>
      </c>
      <c r="M690" s="2956">
        <f>SUM(H690:L690)</f>
        <v>0</v>
      </c>
      <c r="N690" s="522"/>
      <c r="Q690" s="2959">
        <f>ABS(M690-AF690)</f>
        <v>0</v>
      </c>
      <c r="R690" s="2959"/>
      <c r="S690" s="2959"/>
      <c r="T690" s="2944"/>
      <c r="U690" s="2944"/>
      <c r="V690" s="524"/>
      <c r="W690" s="521"/>
      <c r="X690" s="525"/>
      <c r="Y690" s="521"/>
      <c r="Z690" s="522"/>
      <c r="AA690" s="523"/>
      <c r="AB690" s="523"/>
      <c r="AC690" s="523"/>
      <c r="AD690" s="523"/>
      <c r="AE690" s="523"/>
      <c r="AF690" s="523"/>
      <c r="AG690" s="522"/>
      <c r="AH690" s="521"/>
      <c r="GS690" s="2909"/>
      <c r="GX690" s="2909"/>
      <c r="GY690" s="2909"/>
      <c r="GZ690" s="2909"/>
      <c r="HA690" s="2909"/>
      <c r="HB690" s="2909"/>
      <c r="HC690" s="2909"/>
      <c r="HD690" s="2909"/>
      <c r="HE690" s="2909"/>
      <c r="HF690" s="2909"/>
      <c r="HG690" s="2909"/>
      <c r="HH690" s="2909"/>
      <c r="HI690" s="2909"/>
      <c r="HJ690" s="2909"/>
      <c r="HK690" s="2909"/>
      <c r="HL690" s="2909"/>
      <c r="HM690" s="2909"/>
      <c r="HN690" s="2909"/>
      <c r="HO690" s="2909"/>
      <c r="HP690" s="2909"/>
      <c r="HQ690" s="2909"/>
      <c r="HR690" s="2909"/>
      <c r="HS690" s="2909"/>
      <c r="HT690" s="2909"/>
      <c r="HU690" s="2909"/>
      <c r="HV690" s="2909"/>
      <c r="HW690" s="2909"/>
      <c r="HX690" s="2909"/>
      <c r="HY690" s="2909"/>
      <c r="HZ690" s="2909"/>
      <c r="IA690" s="2909"/>
      <c r="IB690" s="2909"/>
      <c r="IC690" s="2909"/>
      <c r="IJ690" s="2907"/>
      <c r="IK690" s="2907"/>
      <c r="JA690" s="2907"/>
    </row>
    <row r="691" spans="1:261" ht="12" customHeight="1">
      <c r="A691" s="2960"/>
      <c r="B691" s="2960"/>
      <c r="D691" s="2921"/>
      <c r="E691" s="525"/>
      <c r="F691" s="521"/>
      <c r="G691" s="522"/>
      <c r="H691" s="2962"/>
      <c r="I691" s="2962"/>
      <c r="J691" s="2962"/>
      <c r="K691" s="2962"/>
      <c r="L691" s="2962"/>
      <c r="M691" s="2962"/>
      <c r="Q691" s="2959"/>
      <c r="R691" s="2959"/>
      <c r="S691" s="2959"/>
      <c r="T691" s="2719" t="str">
        <f>C692</f>
        <v>Type of Construction Activity</v>
      </c>
      <c r="V691" s="521"/>
      <c r="W691" s="521"/>
      <c r="X691" s="525"/>
      <c r="Y691" s="521"/>
      <c r="Z691" s="522"/>
      <c r="AA691" s="521"/>
      <c r="AB691" s="521"/>
      <c r="AC691" s="521"/>
      <c r="AD691" s="521"/>
      <c r="AE691" s="521"/>
      <c r="AF691" s="521"/>
      <c r="AH691" s="521"/>
      <c r="GS691" s="2909"/>
      <c r="GX691" s="2909"/>
      <c r="GY691" s="2909"/>
      <c r="GZ691" s="2909"/>
      <c r="HA691" s="2909"/>
      <c r="HB691" s="2909"/>
      <c r="HC691" s="2909"/>
      <c r="HD691" s="2909"/>
      <c r="HE691" s="2909"/>
      <c r="HF691" s="2909"/>
      <c r="HG691" s="2909"/>
      <c r="HH691" s="2909"/>
      <c r="HI691" s="2909"/>
      <c r="HJ691" s="2909"/>
      <c r="HK691" s="2909"/>
      <c r="HL691" s="2909"/>
      <c r="HM691" s="2909"/>
      <c r="HN691" s="2909"/>
      <c r="HO691" s="2909"/>
      <c r="HP691" s="2909"/>
      <c r="HQ691" s="2909"/>
      <c r="HR691" s="2909"/>
      <c r="HS691" s="2909"/>
      <c r="HT691" s="2909"/>
      <c r="HU691" s="2909"/>
      <c r="HV691" s="2909"/>
      <c r="HW691" s="2909"/>
      <c r="HX691" s="2909"/>
      <c r="HY691" s="2909"/>
      <c r="HZ691" s="2909"/>
      <c r="IA691" s="2909"/>
      <c r="IB691" s="2909"/>
      <c r="IC691" s="2909"/>
      <c r="IJ691" s="2907"/>
      <c r="IK691" s="2907"/>
      <c r="JA691" s="2907"/>
    </row>
    <row r="692" spans="1:261" ht="12" customHeight="1">
      <c r="A692" s="2960"/>
      <c r="B692" s="2960"/>
      <c r="C692" s="2842" t="s">
        <v>40</v>
      </c>
      <c r="D692" s="2842"/>
      <c r="E692" s="525" t="s">
        <v>2403</v>
      </c>
      <c r="F692" s="521"/>
      <c r="G692" s="522" t="s">
        <v>1503</v>
      </c>
      <c r="H692" s="2956">
        <f>DC668</f>
        <v>0</v>
      </c>
      <c r="I692" s="2956">
        <f>DD668</f>
        <v>0</v>
      </c>
      <c r="J692" s="2956">
        <f>DE668</f>
        <v>0</v>
      </c>
      <c r="K692" s="2956">
        <f>DF668</f>
        <v>0</v>
      </c>
      <c r="L692" s="2956">
        <f>DG668</f>
        <v>0</v>
      </c>
      <c r="M692" s="2956">
        <f t="shared" ref="M692:M702" si="264">SUM(H692:L692)</f>
        <v>0</v>
      </c>
      <c r="Q692" s="2959">
        <f t="shared" ref="Q692:Q700" si="265">ABS(M692-AF692)</f>
        <v>0</v>
      </c>
      <c r="R692" s="2959"/>
      <c r="S692" s="2959"/>
      <c r="T692" s="2869">
        <f>'Part VI-Revenues &amp; Expenses'!U72</f>
        <v>0</v>
      </c>
      <c r="U692" s="2944"/>
      <c r="V692" s="521"/>
      <c r="W692" s="521"/>
      <c r="X692" s="525"/>
      <c r="Y692" s="521"/>
      <c r="Z692" s="522"/>
      <c r="AA692" s="523"/>
      <c r="AB692" s="523"/>
      <c r="AC692" s="523"/>
      <c r="AD692" s="523"/>
      <c r="AE692" s="523"/>
      <c r="AF692" s="523"/>
      <c r="IJ692" s="2907"/>
      <c r="IK692" s="2907"/>
      <c r="JA692" s="2907"/>
    </row>
    <row r="693" spans="1:261" ht="12" customHeight="1">
      <c r="A693" s="2960"/>
      <c r="B693" s="2960"/>
      <c r="C693" s="2842"/>
      <c r="D693" s="2842"/>
      <c r="E693" s="525"/>
      <c r="F693" s="521"/>
      <c r="G693" s="522" t="s">
        <v>316</v>
      </c>
      <c r="H693" s="2956">
        <f>DH668</f>
        <v>0</v>
      </c>
      <c r="I693" s="2956">
        <f>DI668</f>
        <v>0</v>
      </c>
      <c r="J693" s="2956">
        <f>DJ668</f>
        <v>0</v>
      </c>
      <c r="K693" s="2956">
        <f>DK668</f>
        <v>0</v>
      </c>
      <c r="L693" s="2956">
        <f>DL668</f>
        <v>0</v>
      </c>
      <c r="M693" s="2956">
        <f t="shared" si="264"/>
        <v>0</v>
      </c>
      <c r="N693" s="505"/>
      <c r="Q693" s="2959">
        <f t="shared" si="265"/>
        <v>0</v>
      </c>
      <c r="R693" s="2959"/>
      <c r="S693" s="2959"/>
      <c r="T693" s="2944"/>
      <c r="U693" s="2944"/>
      <c r="V693" s="521"/>
      <c r="W693" s="521"/>
      <c r="X693" s="525"/>
      <c r="Y693" s="521"/>
      <c r="Z693" s="522"/>
      <c r="AA693" s="523"/>
      <c r="AB693" s="523"/>
      <c r="AC693" s="523"/>
      <c r="AD693" s="523"/>
      <c r="AE693" s="523"/>
      <c r="AF693" s="523"/>
      <c r="AG693" s="505"/>
      <c r="AH693" s="521"/>
      <c r="GS693" s="2909"/>
      <c r="GX693" s="2909"/>
      <c r="GY693" s="2909"/>
      <c r="GZ693" s="2909"/>
      <c r="HA693" s="2909"/>
      <c r="HB693" s="2909"/>
      <c r="HC693" s="2909"/>
      <c r="HD693" s="2909"/>
      <c r="HE693" s="2909"/>
      <c r="HF693" s="2909"/>
      <c r="HG693" s="2909"/>
      <c r="HH693" s="2909"/>
      <c r="HI693" s="2909"/>
      <c r="HJ693" s="2909"/>
      <c r="HK693" s="2909"/>
      <c r="HL693" s="2909"/>
      <c r="HM693" s="2909"/>
      <c r="HN693" s="2909"/>
      <c r="HO693" s="2909"/>
      <c r="HP693" s="2909"/>
      <c r="HQ693" s="2909"/>
      <c r="HR693" s="2909"/>
      <c r="HS693" s="2909"/>
      <c r="HT693" s="2909"/>
      <c r="HU693" s="2909"/>
      <c r="HV693" s="2909"/>
      <c r="HW693" s="2909"/>
      <c r="HX693" s="2909"/>
      <c r="HY693" s="2909"/>
      <c r="HZ693" s="2909"/>
      <c r="IA693" s="2909"/>
      <c r="IB693" s="2909"/>
      <c r="IC693" s="2909"/>
      <c r="IJ693" s="2907"/>
      <c r="IK693" s="2907"/>
      <c r="JA693" s="2907"/>
    </row>
    <row r="694" spans="1:261" ht="12" customHeight="1">
      <c r="A694" s="2960"/>
      <c r="B694" s="2960"/>
      <c r="C694" s="2842"/>
      <c r="D694" s="2842"/>
      <c r="E694" s="525"/>
      <c r="F694" s="521"/>
      <c r="G694" s="522" t="s">
        <v>33</v>
      </c>
      <c r="H694" s="2956">
        <f>SUM(H692:H693)+DM668</f>
        <v>0</v>
      </c>
      <c r="I694" s="2956">
        <f>SUM(I692:I693)+DN668</f>
        <v>0</v>
      </c>
      <c r="J694" s="2956">
        <f>SUM(J692:J693)+DO668</f>
        <v>0</v>
      </c>
      <c r="K694" s="2956">
        <f>SUM(K692:K693)+DP668</f>
        <v>0</v>
      </c>
      <c r="L694" s="2956">
        <f>SUM(L692:L693)+DQ668</f>
        <v>0</v>
      </c>
      <c r="M694" s="2956">
        <f t="shared" si="264"/>
        <v>0</v>
      </c>
      <c r="N694" s="522"/>
      <c r="Q694" s="2959">
        <f t="shared" si="265"/>
        <v>0</v>
      </c>
      <c r="R694" s="2959"/>
      <c r="S694" s="2959"/>
      <c r="T694" s="2944"/>
      <c r="U694" s="2944"/>
      <c r="V694" s="524"/>
      <c r="W694" s="521"/>
      <c r="X694" s="525"/>
      <c r="Y694" s="521"/>
      <c r="Z694" s="522"/>
      <c r="AA694" s="523"/>
      <c r="AB694" s="523"/>
      <c r="AC694" s="523"/>
      <c r="AD694" s="523"/>
      <c r="AE694" s="523"/>
      <c r="AF694" s="523"/>
      <c r="AG694" s="522"/>
      <c r="AH694" s="521"/>
      <c r="GS694" s="2909"/>
      <c r="GX694" s="2909"/>
      <c r="GY694" s="2909"/>
      <c r="GZ694" s="2909"/>
      <c r="HA694" s="2909"/>
      <c r="HB694" s="2909"/>
      <c r="HC694" s="2909"/>
      <c r="HD694" s="2909"/>
      <c r="HE694" s="2909"/>
      <c r="HF694" s="2909"/>
      <c r="HG694" s="2909"/>
      <c r="HH694" s="2909"/>
      <c r="HI694" s="2909"/>
      <c r="HJ694" s="2909"/>
      <c r="HK694" s="2909"/>
      <c r="HL694" s="2909"/>
      <c r="HM694" s="2909"/>
      <c r="HN694" s="2909"/>
      <c r="HO694" s="2909"/>
      <c r="HP694" s="2909"/>
      <c r="HQ694" s="2909"/>
      <c r="HR694" s="2909"/>
      <c r="HS694" s="2909"/>
      <c r="HT694" s="2909"/>
      <c r="HU694" s="2909"/>
      <c r="HV694" s="2909"/>
      <c r="HW694" s="2909"/>
      <c r="HX694" s="2909"/>
      <c r="HY694" s="2909"/>
      <c r="HZ694" s="2909"/>
      <c r="IA694" s="2909"/>
      <c r="IB694" s="2909"/>
      <c r="IC694" s="2909"/>
      <c r="IJ694" s="2907"/>
      <c r="IK694" s="2907"/>
      <c r="JA694" s="2907"/>
    </row>
    <row r="695" spans="1:261" ht="12" customHeight="1">
      <c r="A695" s="2960"/>
      <c r="B695" s="2960"/>
      <c r="C695" s="2842"/>
      <c r="D695" s="2842"/>
      <c r="E695" s="525" t="s">
        <v>2237</v>
      </c>
      <c r="F695" s="521"/>
      <c r="G695" s="522" t="s">
        <v>1503</v>
      </c>
      <c r="H695" s="2956">
        <f>DR668</f>
        <v>0</v>
      </c>
      <c r="I695" s="2956">
        <f>DS668</f>
        <v>4</v>
      </c>
      <c r="J695" s="2956">
        <f>DT668</f>
        <v>30</v>
      </c>
      <c r="K695" s="2956">
        <f>DU668</f>
        <v>8</v>
      </c>
      <c r="L695" s="2956">
        <f>DV668</f>
        <v>0</v>
      </c>
      <c r="M695" s="2956">
        <f t="shared" si="264"/>
        <v>42</v>
      </c>
      <c r="Q695" s="2959">
        <f t="shared" si="265"/>
        <v>42</v>
      </c>
      <c r="R695" s="2959"/>
      <c r="S695" s="2959"/>
      <c r="T695" s="2944"/>
      <c r="U695" s="2944"/>
      <c r="V695" s="521"/>
      <c r="W695" s="521"/>
      <c r="X695" s="525"/>
      <c r="Y695" s="521"/>
      <c r="Z695" s="522"/>
      <c r="AA695" s="523"/>
      <c r="AB695" s="523"/>
      <c r="AC695" s="523"/>
      <c r="AD695" s="523"/>
      <c r="AE695" s="523"/>
      <c r="AF695" s="523"/>
      <c r="IJ695" s="2907"/>
      <c r="IK695" s="2907"/>
      <c r="JA695" s="2907"/>
    </row>
    <row r="696" spans="1:261" ht="12" customHeight="1">
      <c r="C696" s="2842"/>
      <c r="D696" s="2842"/>
      <c r="E696" s="525"/>
      <c r="F696" s="521"/>
      <c r="G696" s="522" t="s">
        <v>316</v>
      </c>
      <c r="H696" s="2956">
        <f>DW668</f>
        <v>0</v>
      </c>
      <c r="I696" s="2956">
        <f>DX668</f>
        <v>0</v>
      </c>
      <c r="J696" s="2956">
        <f>DY668</f>
        <v>0</v>
      </c>
      <c r="K696" s="2956">
        <f>DZ668</f>
        <v>0</v>
      </c>
      <c r="L696" s="2956">
        <f>EA668</f>
        <v>0</v>
      </c>
      <c r="M696" s="2956">
        <f t="shared" si="264"/>
        <v>0</v>
      </c>
      <c r="N696" s="505"/>
      <c r="Q696" s="2959">
        <f t="shared" si="265"/>
        <v>0</v>
      </c>
      <c r="R696" s="2959"/>
      <c r="S696" s="2959"/>
      <c r="T696" s="2944"/>
      <c r="U696" s="2944"/>
      <c r="V696" s="521"/>
      <c r="W696" s="521"/>
      <c r="X696" s="525"/>
      <c r="Y696" s="521"/>
      <c r="Z696" s="522"/>
      <c r="AA696" s="523"/>
      <c r="AB696" s="523"/>
      <c r="AC696" s="523"/>
      <c r="AD696" s="523"/>
      <c r="AE696" s="523"/>
      <c r="AF696" s="523"/>
      <c r="AG696" s="505"/>
      <c r="AH696" s="521"/>
      <c r="GS696" s="2909"/>
      <c r="GX696" s="2909"/>
      <c r="GY696" s="2909"/>
      <c r="GZ696" s="2909"/>
      <c r="HA696" s="2909"/>
      <c r="HB696" s="2909"/>
      <c r="HC696" s="2909"/>
      <c r="HD696" s="2909"/>
      <c r="HE696" s="2909"/>
      <c r="HF696" s="2909"/>
      <c r="HG696" s="2909"/>
      <c r="HH696" s="2909"/>
      <c r="HI696" s="2909"/>
      <c r="HJ696" s="2909"/>
      <c r="HK696" s="2909"/>
      <c r="HL696" s="2909"/>
      <c r="HM696" s="2909"/>
      <c r="HN696" s="2909"/>
      <c r="HO696" s="2909"/>
      <c r="HP696" s="2909"/>
      <c r="HQ696" s="2909"/>
      <c r="HR696" s="2909"/>
      <c r="HS696" s="2909"/>
      <c r="HT696" s="2909"/>
      <c r="HU696" s="2909"/>
      <c r="HV696" s="2909"/>
      <c r="HW696" s="2909"/>
      <c r="HX696" s="2909"/>
      <c r="HY696" s="2909"/>
      <c r="HZ696" s="2909"/>
      <c r="IA696" s="2909"/>
      <c r="IB696" s="2909"/>
      <c r="IC696" s="2909"/>
      <c r="IJ696" s="2907"/>
      <c r="IK696" s="2907"/>
      <c r="JA696" s="2907"/>
    </row>
    <row r="697" spans="1:261" ht="12" customHeight="1">
      <c r="C697" s="524"/>
      <c r="D697" s="521"/>
      <c r="E697" s="525"/>
      <c r="F697" s="521"/>
      <c r="G697" s="522" t="s">
        <v>33</v>
      </c>
      <c r="H697" s="2956">
        <f>SUM(H695:H696)+EB668</f>
        <v>0</v>
      </c>
      <c r="I697" s="2956">
        <f>SUM(I695:I696)+EC668</f>
        <v>4</v>
      </c>
      <c r="J697" s="2956">
        <f>SUM(J695:J696)+ED668</f>
        <v>30</v>
      </c>
      <c r="K697" s="2956">
        <f>SUM(K695:K696)+EE668</f>
        <v>8</v>
      </c>
      <c r="L697" s="2956">
        <f>SUM(L695:L696)+EF668</f>
        <v>0</v>
      </c>
      <c r="M697" s="2956">
        <f t="shared" si="264"/>
        <v>42</v>
      </c>
      <c r="N697" s="522"/>
      <c r="Q697" s="2959">
        <f t="shared" si="265"/>
        <v>42</v>
      </c>
      <c r="R697" s="2959"/>
      <c r="S697" s="2959"/>
      <c r="T697" s="2944"/>
      <c r="U697" s="2944"/>
      <c r="V697" s="524"/>
      <c r="W697" s="521"/>
      <c r="X697" s="525"/>
      <c r="Y697" s="521"/>
      <c r="Z697" s="522"/>
      <c r="AA697" s="523"/>
      <c r="AB697" s="523"/>
      <c r="AC697" s="523"/>
      <c r="AD697" s="523"/>
      <c r="AE697" s="523"/>
      <c r="AF697" s="523"/>
      <c r="AG697" s="522"/>
      <c r="AH697" s="521"/>
      <c r="GS697" s="2909"/>
      <c r="GX697" s="2909"/>
      <c r="GY697" s="2909"/>
      <c r="GZ697" s="2909"/>
      <c r="HA697" s="2909"/>
      <c r="HB697" s="2909"/>
      <c r="HC697" s="2909"/>
      <c r="HD697" s="2909"/>
      <c r="HE697" s="2909"/>
      <c r="HF697" s="2909"/>
      <c r="HG697" s="2909"/>
      <c r="HH697" s="2909"/>
      <c r="HI697" s="2909"/>
      <c r="HJ697" s="2909"/>
      <c r="HK697" s="2909"/>
      <c r="HL697" s="2909"/>
      <c r="HM697" s="2909"/>
      <c r="HN697" s="2909"/>
      <c r="HO697" s="2909"/>
      <c r="HP697" s="2909"/>
      <c r="HQ697" s="2909"/>
      <c r="HR697" s="2909"/>
      <c r="HS697" s="2909"/>
      <c r="HT697" s="2909"/>
      <c r="HU697" s="2909"/>
      <c r="HV697" s="2909"/>
      <c r="HW697" s="2909"/>
      <c r="HX697" s="2909"/>
      <c r="HY697" s="2909"/>
      <c r="HZ697" s="2909"/>
      <c r="IA697" s="2909"/>
      <c r="IB697" s="2909"/>
      <c r="IC697" s="2909"/>
      <c r="IJ697" s="2907"/>
      <c r="IK697" s="2907"/>
      <c r="JA697" s="2907"/>
    </row>
    <row r="698" spans="1:261" ht="12" customHeight="1">
      <c r="C698" s="521"/>
      <c r="D698" s="521"/>
      <c r="E698" s="2914" t="s">
        <v>1489</v>
      </c>
      <c r="F698" s="2914"/>
      <c r="G698" s="522" t="s">
        <v>1503</v>
      </c>
      <c r="H698" s="2956">
        <f>EG668</f>
        <v>0</v>
      </c>
      <c r="I698" s="2956">
        <f>EH668</f>
        <v>0</v>
      </c>
      <c r="J698" s="2956">
        <f>EI668</f>
        <v>0</v>
      </c>
      <c r="K698" s="2956">
        <f>EJ668</f>
        <v>0</v>
      </c>
      <c r="L698" s="2956">
        <f>EK668</f>
        <v>0</v>
      </c>
      <c r="M698" s="2956">
        <f t="shared" si="264"/>
        <v>0</v>
      </c>
      <c r="Q698" s="2959">
        <f t="shared" si="265"/>
        <v>0</v>
      </c>
      <c r="R698" s="2959"/>
      <c r="S698" s="2959"/>
      <c r="T698" s="2944"/>
      <c r="U698" s="2944"/>
      <c r="V698" s="521"/>
      <c r="W698" s="521"/>
      <c r="X698" s="525"/>
      <c r="Y698" s="521"/>
      <c r="Z698" s="522"/>
      <c r="AA698" s="523"/>
      <c r="AB698" s="523"/>
      <c r="AC698" s="523"/>
      <c r="AD698" s="523"/>
      <c r="AE698" s="523"/>
      <c r="AF698" s="523"/>
      <c r="IJ698" s="2907"/>
      <c r="IK698" s="2907"/>
      <c r="JA698" s="2907"/>
    </row>
    <row r="699" spans="1:261" ht="12" customHeight="1">
      <c r="C699" s="521"/>
      <c r="D699" s="521"/>
      <c r="E699" s="2914"/>
      <c r="F699" s="2914"/>
      <c r="G699" s="522" t="s">
        <v>316</v>
      </c>
      <c r="H699" s="2956">
        <f>EL668</f>
        <v>0</v>
      </c>
      <c r="I699" s="2956">
        <f>EM668</f>
        <v>0</v>
      </c>
      <c r="J699" s="2956">
        <f>EN668</f>
        <v>0</v>
      </c>
      <c r="K699" s="2956">
        <f>EO668</f>
        <v>0</v>
      </c>
      <c r="L699" s="2956">
        <f>EP668</f>
        <v>0</v>
      </c>
      <c r="M699" s="2956">
        <f t="shared" si="264"/>
        <v>0</v>
      </c>
      <c r="N699" s="505"/>
      <c r="Q699" s="2959">
        <f t="shared" si="265"/>
        <v>0</v>
      </c>
      <c r="R699" s="2959"/>
      <c r="S699" s="2959"/>
      <c r="T699" s="2944"/>
      <c r="U699" s="2944"/>
      <c r="V699" s="521"/>
      <c r="W699" s="521"/>
      <c r="X699" s="521"/>
      <c r="Y699" s="521"/>
      <c r="Z699" s="522"/>
      <c r="AA699" s="523"/>
      <c r="AB699" s="523"/>
      <c r="AC699" s="523"/>
      <c r="AD699" s="523"/>
      <c r="AE699" s="523"/>
      <c r="AF699" s="523"/>
      <c r="AG699" s="505"/>
      <c r="AH699" s="521"/>
      <c r="GS699" s="2909"/>
      <c r="GX699" s="2909"/>
      <c r="GY699" s="2909"/>
      <c r="GZ699" s="2909"/>
      <c r="HA699" s="2909"/>
      <c r="HB699" s="2909"/>
      <c r="HC699" s="2909"/>
      <c r="HD699" s="2909"/>
      <c r="HE699" s="2909"/>
      <c r="HF699" s="2909"/>
      <c r="HG699" s="2909"/>
      <c r="HH699" s="2909"/>
      <c r="HI699" s="2909"/>
      <c r="HJ699" s="2909"/>
      <c r="HK699" s="2909"/>
      <c r="HL699" s="2909"/>
      <c r="HM699" s="2909"/>
      <c r="HN699" s="2909"/>
      <c r="HO699" s="2909"/>
      <c r="HP699" s="2909"/>
      <c r="HQ699" s="2909"/>
      <c r="HR699" s="2909"/>
      <c r="HS699" s="2909"/>
      <c r="HT699" s="2909"/>
      <c r="HU699" s="2909"/>
      <c r="HV699" s="2909"/>
      <c r="HW699" s="2909"/>
      <c r="HX699" s="2909"/>
      <c r="HY699" s="2909"/>
      <c r="HZ699" s="2909"/>
      <c r="IA699" s="2909"/>
      <c r="IB699" s="2909"/>
      <c r="IC699" s="2909"/>
      <c r="IJ699" s="2907"/>
      <c r="IK699" s="2907"/>
      <c r="JA699" s="2907"/>
    </row>
    <row r="700" spans="1:261" ht="12" customHeight="1">
      <c r="C700" s="524"/>
      <c r="D700" s="521"/>
      <c r="E700" s="525"/>
      <c r="F700" s="521"/>
      <c r="G700" s="522" t="s">
        <v>33</v>
      </c>
      <c r="H700" s="2956">
        <f>SUM(H698:H699)+EQ668</f>
        <v>0</v>
      </c>
      <c r="I700" s="2956">
        <f>SUM(I698:I699)+ER668</f>
        <v>0</v>
      </c>
      <c r="J700" s="2956">
        <f>SUM(J698:J699)+ES668</f>
        <v>0</v>
      </c>
      <c r="K700" s="2956">
        <f>SUM(K698:K699)+ET668</f>
        <v>0</v>
      </c>
      <c r="L700" s="2956">
        <f>SUM(L698:L699)+EU668</f>
        <v>0</v>
      </c>
      <c r="M700" s="2956">
        <f t="shared" si="264"/>
        <v>0</v>
      </c>
      <c r="N700" s="522"/>
      <c r="Q700" s="2959">
        <f t="shared" si="265"/>
        <v>0</v>
      </c>
      <c r="R700" s="2959"/>
      <c r="S700" s="2959"/>
      <c r="T700" s="2944"/>
      <c r="U700" s="2944"/>
      <c r="V700" s="524"/>
      <c r="W700" s="521"/>
      <c r="X700" s="525"/>
      <c r="Y700" s="521"/>
      <c r="Z700" s="522"/>
      <c r="AA700" s="523"/>
      <c r="AB700" s="523"/>
      <c r="AC700" s="523"/>
      <c r="AD700" s="523"/>
      <c r="AE700" s="523"/>
      <c r="AF700" s="523"/>
      <c r="AG700" s="522"/>
      <c r="AH700" s="521"/>
      <c r="GS700" s="2909"/>
      <c r="GX700" s="2909"/>
      <c r="GY700" s="2909"/>
      <c r="GZ700" s="2909"/>
      <c r="HA700" s="2909"/>
      <c r="HB700" s="2909"/>
      <c r="HC700" s="2909"/>
      <c r="HD700" s="2909"/>
      <c r="HE700" s="2909"/>
      <c r="HF700" s="2909"/>
      <c r="HG700" s="2909"/>
      <c r="HH700" s="2909"/>
      <c r="HI700" s="2909"/>
      <c r="HJ700" s="2909"/>
      <c r="HK700" s="2909"/>
      <c r="HL700" s="2909"/>
      <c r="HM700" s="2909"/>
      <c r="HN700" s="2909"/>
      <c r="HO700" s="2909"/>
      <c r="HP700" s="2909"/>
      <c r="HQ700" s="2909"/>
      <c r="HR700" s="2909"/>
      <c r="HS700" s="2909"/>
      <c r="HT700" s="2909"/>
      <c r="HU700" s="2909"/>
      <c r="HV700" s="2909"/>
      <c r="HW700" s="2909"/>
      <c r="HX700" s="2909"/>
      <c r="HY700" s="2909"/>
      <c r="HZ700" s="2909"/>
      <c r="IA700" s="2909"/>
      <c r="IB700" s="2909"/>
      <c r="IC700" s="2909"/>
      <c r="IJ700" s="2907"/>
      <c r="IK700" s="2907"/>
      <c r="JA700" s="2907"/>
    </row>
    <row r="701" spans="1:261" ht="12" customHeight="1">
      <c r="C701" s="521"/>
      <c r="D701" s="521"/>
      <c r="E701" s="525" t="s">
        <v>379</v>
      </c>
      <c r="F701" s="521"/>
      <c r="G701" s="522"/>
      <c r="H701" s="2956">
        <f>'Part VI-Revenues &amp; Expenses'!H81</f>
        <v>0</v>
      </c>
      <c r="I701" s="2956">
        <f>'Part VI-Revenues &amp; Expenses'!I81</f>
        <v>0</v>
      </c>
      <c r="J701" s="2956">
        <f>'Part VI-Revenues &amp; Expenses'!J81</f>
        <v>0</v>
      </c>
      <c r="K701" s="2956">
        <f>'Part VI-Revenues &amp; Expenses'!K81</f>
        <v>0</v>
      </c>
      <c r="L701" s="2956">
        <f>'Part VI-Revenues &amp; Expenses'!L81</f>
        <v>0</v>
      </c>
      <c r="M701" s="2956">
        <f t="shared" si="264"/>
        <v>0</v>
      </c>
      <c r="T701" s="2944"/>
      <c r="U701" s="2944"/>
      <c r="V701" s="521"/>
      <c r="W701" s="521"/>
      <c r="X701" s="521"/>
      <c r="Y701" s="521"/>
      <c r="Z701" s="522"/>
      <c r="AA701" s="523"/>
      <c r="AB701" s="523"/>
      <c r="AC701" s="523"/>
      <c r="AD701" s="523"/>
      <c r="AE701" s="523"/>
      <c r="AF701" s="523"/>
      <c r="AG701" s="505"/>
      <c r="AH701" s="521"/>
      <c r="GS701" s="2909"/>
      <c r="GX701" s="2909"/>
      <c r="GY701" s="2909"/>
      <c r="GZ701" s="2909"/>
      <c r="HA701" s="2909"/>
      <c r="HB701" s="2909"/>
      <c r="HC701" s="2909"/>
      <c r="HD701" s="2909"/>
      <c r="HE701" s="2909"/>
      <c r="HF701" s="2909"/>
      <c r="HG701" s="2909"/>
      <c r="HH701" s="2909"/>
      <c r="HI701" s="2909"/>
      <c r="HJ701" s="2909"/>
      <c r="HK701" s="2909"/>
      <c r="HL701" s="2909"/>
      <c r="HM701" s="2909"/>
      <c r="HN701" s="2909"/>
      <c r="HO701" s="2909"/>
      <c r="HP701" s="2909"/>
      <c r="HQ701" s="2909"/>
      <c r="HR701" s="2909"/>
      <c r="HS701" s="2909"/>
      <c r="HT701" s="2909"/>
      <c r="HU701" s="2909"/>
      <c r="HV701" s="2909"/>
      <c r="HW701" s="2909"/>
      <c r="HX701" s="2909"/>
      <c r="HY701" s="2909"/>
      <c r="HZ701" s="2909"/>
      <c r="IA701" s="2909"/>
      <c r="IB701" s="2909"/>
      <c r="IC701" s="2909"/>
      <c r="IJ701" s="2907"/>
      <c r="IK701" s="2907"/>
      <c r="JA701" s="2907"/>
    </row>
    <row r="702" spans="1:261" ht="12" customHeight="1">
      <c r="A702" s="2963" t="str">
        <f>IF(AND('Part IV-Uses of Funds'!$T$163="Yes",'Part IX A-Scoring Criteria'!$O$300&gt;0,M702&lt;1),"SHOW HISTORIC UNITS HERE &gt;&gt;&gt;&gt;","")</f>
        <v/>
      </c>
      <c r="B702" s="2963"/>
      <c r="C702" s="2963"/>
      <c r="D702" s="2963"/>
      <c r="E702" s="525" t="s">
        <v>4374</v>
      </c>
      <c r="F702" s="521"/>
      <c r="G702" s="522"/>
      <c r="H702" s="2956">
        <f>'Part VI-Revenues &amp; Expenses'!H82</f>
        <v>0</v>
      </c>
      <c r="I702" s="2956">
        <f>'Part VI-Revenues &amp; Expenses'!I82</f>
        <v>0</v>
      </c>
      <c r="J702" s="2956">
        <f>'Part VI-Revenues &amp; Expenses'!J82</f>
        <v>0</v>
      </c>
      <c r="K702" s="2956">
        <f>'Part VI-Revenues &amp; Expenses'!K82</f>
        <v>0</v>
      </c>
      <c r="L702" s="2956">
        <f>'Part VI-Revenues &amp; Expenses'!L82</f>
        <v>0</v>
      </c>
      <c r="M702" s="2956">
        <f t="shared" si="264"/>
        <v>0</v>
      </c>
      <c r="N702" s="505"/>
      <c r="T702" s="2944"/>
      <c r="U702" s="2944"/>
      <c r="V702" s="521"/>
      <c r="W702" s="521"/>
      <c r="X702" s="521"/>
      <c r="Y702" s="521"/>
      <c r="Z702" s="522"/>
      <c r="AA702" s="523"/>
      <c r="AB702" s="523"/>
      <c r="AC702" s="523"/>
      <c r="AD702" s="523"/>
      <c r="AE702" s="523"/>
      <c r="AF702" s="523"/>
      <c r="AG702" s="505"/>
      <c r="AH702" s="521"/>
      <c r="GS702" s="2909"/>
      <c r="GX702" s="2909"/>
      <c r="GY702" s="2909"/>
      <c r="GZ702" s="2909"/>
      <c r="HA702" s="2909"/>
      <c r="HB702" s="2909"/>
      <c r="HC702" s="2909"/>
      <c r="HD702" s="2909"/>
      <c r="HE702" s="2909"/>
      <c r="HF702" s="2909"/>
      <c r="HG702" s="2909"/>
      <c r="HH702" s="2909"/>
      <c r="HI702" s="2909"/>
      <c r="HJ702" s="2909"/>
      <c r="HK702" s="2909"/>
      <c r="HL702" s="2909"/>
      <c r="HM702" s="2909"/>
      <c r="HN702" s="2909"/>
      <c r="HO702" s="2909"/>
      <c r="HP702" s="2909"/>
      <c r="HQ702" s="2909"/>
      <c r="HR702" s="2909"/>
      <c r="HS702" s="2909"/>
      <c r="HT702" s="2909"/>
      <c r="HU702" s="2909"/>
      <c r="HV702" s="2909"/>
      <c r="HW702" s="2909"/>
      <c r="HX702" s="2909"/>
      <c r="HY702" s="2909"/>
      <c r="HZ702" s="2909"/>
      <c r="IA702" s="2909"/>
      <c r="IB702" s="2909"/>
      <c r="IC702" s="2909"/>
      <c r="IJ702" s="2907"/>
      <c r="IK702" s="2907"/>
      <c r="JA702" s="2907"/>
    </row>
    <row r="703" spans="1:261" ht="12" customHeight="1">
      <c r="A703" s="2964"/>
      <c r="B703" s="2964"/>
      <c r="C703" s="2964"/>
      <c r="D703" s="2964"/>
      <c r="E703" s="525"/>
      <c r="F703" s="521"/>
      <c r="G703" s="522"/>
      <c r="H703" s="522"/>
      <c r="I703" s="522"/>
      <c r="J703" s="522"/>
      <c r="K703" s="522"/>
      <c r="L703" s="522"/>
      <c r="M703" s="522"/>
      <c r="N703" s="522"/>
      <c r="T703" s="2944"/>
      <c r="U703" s="2944"/>
      <c r="V703" s="521"/>
      <c r="W703" s="521"/>
      <c r="X703" s="521"/>
      <c r="Y703" s="521"/>
      <c r="Z703" s="522"/>
      <c r="AA703" s="523"/>
      <c r="AB703" s="523"/>
      <c r="AC703" s="523"/>
      <c r="AD703" s="523"/>
      <c r="AE703" s="523"/>
      <c r="AF703" s="523"/>
      <c r="AG703" s="505"/>
      <c r="AH703" s="521"/>
      <c r="GS703" s="2909"/>
      <c r="GX703" s="2909"/>
      <c r="GY703" s="2909"/>
      <c r="GZ703" s="2909"/>
      <c r="HA703" s="2909"/>
      <c r="HB703" s="2909"/>
      <c r="HC703" s="2909"/>
      <c r="HD703" s="2909"/>
      <c r="HE703" s="2909"/>
      <c r="HF703" s="2909"/>
      <c r="HG703" s="2909"/>
      <c r="HH703" s="2909"/>
      <c r="HI703" s="2909"/>
      <c r="HJ703" s="2909"/>
      <c r="HK703" s="2909"/>
      <c r="HL703" s="2909"/>
      <c r="HM703" s="2909"/>
      <c r="HN703" s="2909"/>
      <c r="HO703" s="2909"/>
      <c r="HP703" s="2909"/>
      <c r="HQ703" s="2909"/>
      <c r="HR703" s="2909"/>
      <c r="HS703" s="2909"/>
      <c r="HT703" s="2909"/>
      <c r="HU703" s="2909"/>
      <c r="HV703" s="2909"/>
      <c r="HW703" s="2909"/>
      <c r="HX703" s="2909"/>
      <c r="HY703" s="2909"/>
      <c r="HZ703" s="2909"/>
      <c r="IA703" s="2909"/>
      <c r="IB703" s="2909"/>
      <c r="IC703" s="2909"/>
      <c r="IJ703" s="2907"/>
      <c r="IK703" s="2907"/>
      <c r="JA703" s="2907"/>
    </row>
    <row r="704" spans="1:261" ht="12" customHeight="1">
      <c r="A704" s="2964"/>
      <c r="B704" s="2964"/>
      <c r="C704" s="2964"/>
      <c r="D704" s="2964"/>
      <c r="E704" s="525" t="s">
        <v>3813</v>
      </c>
      <c r="F704" s="521"/>
      <c r="G704" s="522"/>
      <c r="H704" s="2956">
        <f>H708+H710+H712+H714+H716+H718+H720+H722</f>
        <v>0</v>
      </c>
      <c r="I704" s="2956">
        <f>I708+I710+I712+I714+I716+I718+I720+I722</f>
        <v>0</v>
      </c>
      <c r="J704" s="2956">
        <f>J708+J710+J712+J714+J716+J718+J720+J722</f>
        <v>0</v>
      </c>
      <c r="K704" s="2956">
        <f>K708+K710+K712+K714+K716+K718+K720+K722</f>
        <v>0</v>
      </c>
      <c r="L704" s="2956">
        <f>L708+L710+L712+L714+L716+L718+L720+L722</f>
        <v>0</v>
      </c>
      <c r="M704" s="2956">
        <f>SUM(H704:L704)</f>
        <v>0</v>
      </c>
      <c r="N704" s="505"/>
      <c r="T704" s="2944"/>
      <c r="U704" s="2944"/>
      <c r="V704" s="521"/>
      <c r="W704" s="521"/>
      <c r="X704" s="521"/>
      <c r="Y704" s="521"/>
      <c r="Z704" s="522"/>
      <c r="AA704" s="523"/>
      <c r="AB704" s="523"/>
      <c r="AC704" s="523"/>
      <c r="AD704" s="523"/>
      <c r="AE704" s="523"/>
      <c r="AF704" s="523"/>
      <c r="AG704" s="505"/>
      <c r="AH704" s="521"/>
      <c r="GS704" s="2909"/>
      <c r="GX704" s="2909"/>
      <c r="GY704" s="2909"/>
      <c r="GZ704" s="2909"/>
      <c r="HA704" s="2909"/>
      <c r="HB704" s="2909"/>
      <c r="HC704" s="2909"/>
      <c r="HD704" s="2909"/>
      <c r="HE704" s="2909"/>
      <c r="HF704" s="2909"/>
      <c r="HG704" s="2909"/>
      <c r="HH704" s="2909"/>
      <c r="HI704" s="2909"/>
      <c r="HJ704" s="2909"/>
      <c r="HK704" s="2909"/>
      <c r="HL704" s="2909"/>
      <c r="HM704" s="2909"/>
      <c r="HN704" s="2909"/>
      <c r="HO704" s="2909"/>
      <c r="HP704" s="2909"/>
      <c r="HQ704" s="2909"/>
      <c r="HR704" s="2909"/>
      <c r="HS704" s="2909"/>
      <c r="HT704" s="2909"/>
      <c r="HU704" s="2909"/>
      <c r="HV704" s="2909"/>
      <c r="HW704" s="2909"/>
      <c r="HX704" s="2909"/>
      <c r="HY704" s="2909"/>
      <c r="HZ704" s="2909"/>
      <c r="IA704" s="2909"/>
      <c r="IB704" s="2909"/>
      <c r="IC704" s="2909"/>
      <c r="IJ704" s="2907"/>
      <c r="IK704" s="2907"/>
      <c r="JA704" s="2907"/>
    </row>
    <row r="705" spans="3:261" ht="12" customHeight="1">
      <c r="D705" s="521"/>
      <c r="E705" s="525"/>
      <c r="F705" s="521"/>
      <c r="G705" s="522"/>
      <c r="H705" s="2962"/>
      <c r="I705" s="2962"/>
      <c r="J705" s="2962"/>
      <c r="K705" s="2962"/>
      <c r="L705" s="2962"/>
      <c r="M705" s="2962"/>
      <c r="O705" s="2965"/>
      <c r="Q705" s="2959"/>
      <c r="R705" s="2959"/>
      <c r="S705" s="2959"/>
      <c r="T705" s="2772" t="str">
        <f>C706</f>
        <v>Building Type: (for Utility Allowance and other purposes)</v>
      </c>
      <c r="V705" s="521"/>
      <c r="W705" s="521"/>
      <c r="X705" s="525"/>
      <c r="Y705" s="521"/>
      <c r="Z705" s="522"/>
      <c r="AA705" s="521"/>
      <c r="AB705" s="521"/>
      <c r="AC705" s="521"/>
      <c r="AD705" s="521"/>
      <c r="AE705" s="521"/>
      <c r="AF705" s="521"/>
      <c r="AH705" s="521"/>
      <c r="GS705" s="2909"/>
      <c r="GX705" s="2909"/>
      <c r="GY705" s="2909"/>
      <c r="GZ705" s="2909"/>
      <c r="HA705" s="2909"/>
      <c r="HB705" s="2909"/>
      <c r="HC705" s="2909"/>
      <c r="HD705" s="2909"/>
      <c r="HE705" s="2909"/>
      <c r="HF705" s="2909"/>
      <c r="HG705" s="2909"/>
      <c r="HH705" s="2909"/>
      <c r="HI705" s="2909"/>
      <c r="HJ705" s="2909"/>
      <c r="HK705" s="2909"/>
      <c r="HL705" s="2909"/>
      <c r="HM705" s="2909"/>
      <c r="HN705" s="2909"/>
      <c r="HO705" s="2909"/>
      <c r="HP705" s="2909"/>
      <c r="HQ705" s="2909"/>
      <c r="HR705" s="2909"/>
      <c r="HS705" s="2909"/>
      <c r="HT705" s="2909"/>
      <c r="HU705" s="2909"/>
      <c r="HV705" s="2909"/>
      <c r="HW705" s="2909"/>
      <c r="HX705" s="2909"/>
      <c r="HY705" s="2909"/>
      <c r="HZ705" s="2909"/>
      <c r="IA705" s="2909"/>
      <c r="IB705" s="2909"/>
      <c r="IC705" s="2909"/>
      <c r="IJ705" s="2907"/>
      <c r="IK705" s="2907"/>
      <c r="JA705" s="2907"/>
    </row>
    <row r="706" spans="3:261" ht="12" customHeight="1">
      <c r="C706" s="2842" t="s">
        <v>4603</v>
      </c>
      <c r="D706" s="2842"/>
      <c r="E706" s="525" t="s">
        <v>41</v>
      </c>
      <c r="F706" s="521"/>
      <c r="G706" s="522"/>
      <c r="H706" s="2956">
        <f t="shared" ref="H706:M706" si="266">SUM(H707:H714)</f>
        <v>0</v>
      </c>
      <c r="I706" s="2956">
        <f t="shared" si="266"/>
        <v>4</v>
      </c>
      <c r="J706" s="2956">
        <f t="shared" si="266"/>
        <v>0</v>
      </c>
      <c r="K706" s="2956">
        <f t="shared" si="266"/>
        <v>8</v>
      </c>
      <c r="L706" s="2956">
        <f t="shared" si="266"/>
        <v>0</v>
      </c>
      <c r="M706" s="2956">
        <f t="shared" si="266"/>
        <v>12</v>
      </c>
      <c r="Q706" s="2959">
        <f>ABS(M706-AF706)</f>
        <v>12</v>
      </c>
      <c r="R706" s="2959"/>
      <c r="S706" s="2959"/>
      <c r="T706" s="2869">
        <f>'Part VI-Revenues &amp; Expenses'!U86</f>
        <v>0</v>
      </c>
      <c r="U706" s="2944"/>
      <c r="V706" s="521"/>
      <c r="W706" s="521"/>
      <c r="X706" s="525"/>
      <c r="Y706" s="521"/>
      <c r="Z706" s="522"/>
      <c r="AA706" s="523"/>
      <c r="AB706" s="523"/>
      <c r="AC706" s="523"/>
      <c r="AD706" s="523"/>
      <c r="AE706" s="523"/>
      <c r="AF706" s="523"/>
      <c r="IJ706" s="2907"/>
      <c r="IK706" s="2907"/>
      <c r="JA706" s="2907"/>
    </row>
    <row r="707" spans="3:261" ht="12" customHeight="1">
      <c r="C707" s="2842"/>
      <c r="D707" s="2842"/>
      <c r="E707" s="525"/>
      <c r="F707" s="521"/>
      <c r="G707" s="522" t="s">
        <v>2731</v>
      </c>
      <c r="H707" s="2956">
        <f>GO668</f>
        <v>0</v>
      </c>
      <c r="I707" s="2956">
        <f>GP668</f>
        <v>4</v>
      </c>
      <c r="J707" s="2956">
        <f>GQ668</f>
        <v>0</v>
      </c>
      <c r="K707" s="2956">
        <f>GR668</f>
        <v>8</v>
      </c>
      <c r="L707" s="2956">
        <f>GS668</f>
        <v>0</v>
      </c>
      <c r="M707" s="2956">
        <f t="shared" ref="M707:M722" si="267">SUM(H707:L707)</f>
        <v>12</v>
      </c>
      <c r="Q707" s="2959"/>
      <c r="R707" s="2959"/>
      <c r="S707" s="2959"/>
      <c r="T707" s="2944"/>
      <c r="U707" s="2944"/>
      <c r="V707" s="521"/>
      <c r="W707" s="521"/>
      <c r="X707" s="525"/>
      <c r="Y707" s="521"/>
      <c r="Z707" s="522"/>
      <c r="AA707" s="523"/>
      <c r="AB707" s="523"/>
      <c r="AC707" s="523"/>
      <c r="AD707" s="523"/>
      <c r="AE707" s="523"/>
      <c r="AF707" s="523"/>
      <c r="IJ707" s="2907"/>
      <c r="IK707" s="2907"/>
      <c r="JA707" s="2907"/>
    </row>
    <row r="708" spans="3:261" ht="12" customHeight="1">
      <c r="C708" s="2842"/>
      <c r="D708" s="2842"/>
      <c r="E708" s="525"/>
      <c r="F708" s="521"/>
      <c r="G708" s="2966" t="s">
        <v>3813</v>
      </c>
      <c r="H708" s="2956">
        <f>GT668</f>
        <v>0</v>
      </c>
      <c r="I708" s="2956">
        <f>GU668</f>
        <v>0</v>
      </c>
      <c r="J708" s="2956">
        <f>GV668</f>
        <v>0</v>
      </c>
      <c r="K708" s="2956">
        <f>GW668</f>
        <v>0</v>
      </c>
      <c r="L708" s="2956">
        <f>GX668</f>
        <v>0</v>
      </c>
      <c r="M708" s="2956">
        <f t="shared" si="267"/>
        <v>0</v>
      </c>
      <c r="Q708" s="2959"/>
      <c r="R708" s="2959"/>
      <c r="S708" s="2959"/>
      <c r="T708" s="2944"/>
      <c r="U708" s="2944"/>
      <c r="V708" s="521"/>
      <c r="W708" s="521"/>
      <c r="X708" s="525"/>
      <c r="Y708" s="521"/>
      <c r="Z708" s="522"/>
      <c r="AA708" s="523"/>
      <c r="AB708" s="523"/>
      <c r="AC708" s="523"/>
      <c r="AD708" s="523"/>
      <c r="AE708" s="523"/>
      <c r="AF708" s="523"/>
      <c r="IJ708" s="2907"/>
      <c r="IK708" s="2907"/>
      <c r="JA708" s="2907"/>
    </row>
    <row r="709" spans="3:261" ht="12" customHeight="1">
      <c r="C709" s="2842"/>
      <c r="D709" s="2842"/>
      <c r="E709" s="525"/>
      <c r="F709" s="521"/>
      <c r="G709" s="522" t="s">
        <v>2732</v>
      </c>
      <c r="H709" s="2956">
        <f>GY668</f>
        <v>0</v>
      </c>
      <c r="I709" s="2956">
        <f>GZ668</f>
        <v>0</v>
      </c>
      <c r="J709" s="2956">
        <f>HA668</f>
        <v>0</v>
      </c>
      <c r="K709" s="2956">
        <f>HB668</f>
        <v>0</v>
      </c>
      <c r="L709" s="2956">
        <f>HC668</f>
        <v>0</v>
      </c>
      <c r="M709" s="2956">
        <f t="shared" si="267"/>
        <v>0</v>
      </c>
      <c r="Q709" s="2959"/>
      <c r="R709" s="2959"/>
      <c r="S709" s="2959"/>
      <c r="T709" s="2944"/>
      <c r="U709" s="2944"/>
      <c r="V709" s="521"/>
      <c r="W709" s="521"/>
      <c r="X709" s="525"/>
      <c r="Y709" s="521"/>
      <c r="Z709" s="522"/>
      <c r="AA709" s="523"/>
      <c r="AB709" s="523"/>
      <c r="AC709" s="523"/>
      <c r="AD709" s="523"/>
      <c r="AE709" s="523"/>
      <c r="AF709" s="523"/>
      <c r="IJ709" s="2907"/>
      <c r="IK709" s="2907"/>
      <c r="JA709" s="2907"/>
    </row>
    <row r="710" spans="3:261" ht="12" customHeight="1">
      <c r="C710" s="2842"/>
      <c r="D710" s="2842"/>
      <c r="E710" s="525"/>
      <c r="F710" s="521"/>
      <c r="G710" s="2966" t="s">
        <v>3813</v>
      </c>
      <c r="H710" s="2956">
        <f>HD668</f>
        <v>0</v>
      </c>
      <c r="I710" s="2956">
        <f>HE668</f>
        <v>0</v>
      </c>
      <c r="J710" s="2956">
        <f>HF668</f>
        <v>0</v>
      </c>
      <c r="K710" s="2956">
        <f>HG668</f>
        <v>0</v>
      </c>
      <c r="L710" s="2956">
        <f>HH668</f>
        <v>0</v>
      </c>
      <c r="M710" s="2956">
        <f t="shared" si="267"/>
        <v>0</v>
      </c>
      <c r="Q710" s="2959"/>
      <c r="R710" s="2959"/>
      <c r="S710" s="2959"/>
      <c r="T710" s="2944"/>
      <c r="U710" s="2944"/>
      <c r="V710" s="521"/>
      <c r="W710" s="521"/>
      <c r="X710" s="525"/>
      <c r="Y710" s="521"/>
      <c r="Z710" s="522"/>
      <c r="AA710" s="523"/>
      <c r="AB710" s="523"/>
      <c r="AC710" s="523"/>
      <c r="AD710" s="523"/>
      <c r="AE710" s="523"/>
      <c r="AF710" s="523"/>
      <c r="IJ710" s="2907"/>
      <c r="IK710" s="2907"/>
      <c r="JA710" s="2907"/>
    </row>
    <row r="711" spans="3:261" ht="12" customHeight="1">
      <c r="C711" s="2842"/>
      <c r="D711" s="2842"/>
      <c r="E711" s="525"/>
      <c r="F711" s="521"/>
      <c r="G711" s="522" t="s">
        <v>2734</v>
      </c>
      <c r="H711" s="2956">
        <f>HI668</f>
        <v>0</v>
      </c>
      <c r="I711" s="2956">
        <f>HJ668</f>
        <v>0</v>
      </c>
      <c r="J711" s="2956">
        <f>HK668</f>
        <v>0</v>
      </c>
      <c r="K711" s="2956">
        <f>HL668</f>
        <v>0</v>
      </c>
      <c r="L711" s="2956">
        <f>HM668</f>
        <v>0</v>
      </c>
      <c r="M711" s="2956">
        <f t="shared" si="267"/>
        <v>0</v>
      </c>
      <c r="Q711" s="2959"/>
      <c r="R711" s="2959"/>
      <c r="S711" s="2959"/>
      <c r="T711" s="2944"/>
      <c r="U711" s="2944"/>
      <c r="V711" s="521"/>
      <c r="W711" s="521"/>
      <c r="X711" s="525"/>
      <c r="Y711" s="521"/>
      <c r="Z711" s="522"/>
      <c r="AA711" s="523"/>
      <c r="AB711" s="523"/>
      <c r="AC711" s="523"/>
      <c r="AD711" s="523"/>
      <c r="AE711" s="523"/>
      <c r="AF711" s="523"/>
      <c r="IJ711" s="2907"/>
      <c r="IK711" s="2907"/>
      <c r="JA711" s="2907"/>
    </row>
    <row r="712" spans="3:261" ht="12" customHeight="1">
      <c r="C712" s="2842"/>
      <c r="D712" s="2842"/>
      <c r="E712" s="525"/>
      <c r="F712" s="521"/>
      <c r="G712" s="2966" t="s">
        <v>3813</v>
      </c>
      <c r="H712" s="2956">
        <f>HN668</f>
        <v>0</v>
      </c>
      <c r="I712" s="2956">
        <f>HO668</f>
        <v>0</v>
      </c>
      <c r="J712" s="2956">
        <f>HP668</f>
        <v>0</v>
      </c>
      <c r="K712" s="2956">
        <f>HQ668</f>
        <v>0</v>
      </c>
      <c r="L712" s="2956">
        <f>HR668</f>
        <v>0</v>
      </c>
      <c r="M712" s="2956">
        <f t="shared" si="267"/>
        <v>0</v>
      </c>
      <c r="Q712" s="2959"/>
      <c r="R712" s="2959"/>
      <c r="S712" s="2959"/>
      <c r="T712" s="2944"/>
      <c r="U712" s="2944"/>
      <c r="V712" s="521"/>
      <c r="W712" s="521"/>
      <c r="X712" s="525"/>
      <c r="Y712" s="521"/>
      <c r="Z712" s="522"/>
      <c r="AA712" s="523"/>
      <c r="AB712" s="523"/>
      <c r="AC712" s="523"/>
      <c r="AD712" s="523"/>
      <c r="AE712" s="523"/>
      <c r="AF712" s="523"/>
      <c r="IJ712" s="2907"/>
      <c r="IK712" s="2907"/>
      <c r="JA712" s="2907"/>
    </row>
    <row r="713" spans="3:261" ht="12" customHeight="1">
      <c r="E713" s="525"/>
      <c r="F713" s="521"/>
      <c r="G713" s="522" t="s">
        <v>2733</v>
      </c>
      <c r="H713" s="2956">
        <f>HS668</f>
        <v>0</v>
      </c>
      <c r="I713" s="2956">
        <f>HT668</f>
        <v>0</v>
      </c>
      <c r="J713" s="2956">
        <f>HU668</f>
        <v>0</v>
      </c>
      <c r="K713" s="2956">
        <f>HV668</f>
        <v>0</v>
      </c>
      <c r="L713" s="2956">
        <f>HW668</f>
        <v>0</v>
      </c>
      <c r="M713" s="2956">
        <f t="shared" si="267"/>
        <v>0</v>
      </c>
      <c r="Q713" s="2959"/>
      <c r="R713" s="2959"/>
      <c r="S713" s="2959"/>
      <c r="T713" s="2944"/>
      <c r="U713" s="2944"/>
      <c r="V713" s="521"/>
      <c r="W713" s="521"/>
      <c r="X713" s="525"/>
      <c r="Y713" s="521"/>
      <c r="Z713" s="522"/>
      <c r="AA713" s="523"/>
      <c r="AB713" s="523"/>
      <c r="AC713" s="523"/>
      <c r="AD713" s="523"/>
      <c r="AE713" s="523"/>
      <c r="AF713" s="523"/>
      <c r="IJ713" s="2907"/>
      <c r="IK713" s="2907"/>
      <c r="JA713" s="2907"/>
    </row>
    <row r="714" spans="3:261" ht="12" customHeight="1">
      <c r="E714" s="525"/>
      <c r="F714" s="521"/>
      <c r="G714" s="2966" t="s">
        <v>3813</v>
      </c>
      <c r="H714" s="2956">
        <f>HX668</f>
        <v>0</v>
      </c>
      <c r="I714" s="2956">
        <f>HY668</f>
        <v>0</v>
      </c>
      <c r="J714" s="2956">
        <f>HZ668</f>
        <v>0</v>
      </c>
      <c r="K714" s="2956">
        <f>IA668</f>
        <v>0</v>
      </c>
      <c r="L714" s="2956">
        <f>IB668</f>
        <v>0</v>
      </c>
      <c r="M714" s="2956">
        <f t="shared" si="267"/>
        <v>0</v>
      </c>
      <c r="Q714" s="2959"/>
      <c r="R714" s="2959"/>
      <c r="S714" s="2959"/>
      <c r="T714" s="2944"/>
      <c r="U714" s="2944"/>
      <c r="V714" s="521"/>
      <c r="W714" s="521"/>
      <c r="X714" s="525"/>
      <c r="Y714" s="521"/>
      <c r="Z714" s="522"/>
      <c r="AA714" s="523"/>
      <c r="AB714" s="523"/>
      <c r="AC714" s="523"/>
      <c r="AD714" s="523"/>
      <c r="AE714" s="523"/>
      <c r="AF714" s="523"/>
      <c r="IJ714" s="2907"/>
      <c r="IK714" s="2907"/>
      <c r="JA714" s="2907"/>
    </row>
    <row r="715" spans="3:261" ht="12" customHeight="1">
      <c r="E715" s="525" t="s">
        <v>42</v>
      </c>
      <c r="F715" s="521"/>
      <c r="G715" s="522"/>
      <c r="H715" s="2956">
        <f>FA668</f>
        <v>0</v>
      </c>
      <c r="I715" s="2956">
        <f>FB668</f>
        <v>0</v>
      </c>
      <c r="J715" s="2956">
        <f>FC668</f>
        <v>0</v>
      </c>
      <c r="K715" s="2956">
        <f>FD668</f>
        <v>0</v>
      </c>
      <c r="L715" s="2956">
        <f>FE668</f>
        <v>0</v>
      </c>
      <c r="M715" s="2956">
        <f t="shared" si="267"/>
        <v>0</v>
      </c>
      <c r="N715" s="522"/>
      <c r="O715" s="2921"/>
      <c r="Q715" s="2959">
        <f>ABS(M715-AF715)</f>
        <v>0</v>
      </c>
      <c r="R715" s="2959"/>
      <c r="S715" s="2959"/>
      <c r="T715" s="2944"/>
      <c r="U715" s="2944"/>
      <c r="V715" s="521"/>
      <c r="W715" s="521"/>
      <c r="X715" s="525"/>
      <c r="Y715" s="521"/>
      <c r="Z715" s="522"/>
      <c r="AA715" s="523"/>
      <c r="AB715" s="523"/>
      <c r="AC715" s="523"/>
      <c r="AD715" s="523"/>
      <c r="AE715" s="523"/>
      <c r="AF715" s="523"/>
      <c r="AG715" s="505"/>
      <c r="AH715" s="521"/>
      <c r="GS715" s="2909"/>
      <c r="GX715" s="2909"/>
      <c r="GY715" s="2909"/>
      <c r="GZ715" s="2909"/>
      <c r="HA715" s="2909"/>
      <c r="HB715" s="2909"/>
      <c r="HC715" s="2909"/>
      <c r="HD715" s="2909"/>
      <c r="HE715" s="2909"/>
      <c r="HF715" s="2909"/>
      <c r="HG715" s="2909"/>
      <c r="HH715" s="2909"/>
      <c r="HI715" s="2909"/>
      <c r="HJ715" s="2909"/>
      <c r="HK715" s="2909"/>
      <c r="HL715" s="2909"/>
      <c r="HM715" s="2909"/>
      <c r="HN715" s="2909"/>
      <c r="HO715" s="2909"/>
      <c r="HP715" s="2909"/>
      <c r="HQ715" s="2909"/>
      <c r="HR715" s="2909"/>
      <c r="HS715" s="2909"/>
      <c r="HT715" s="2909"/>
      <c r="HU715" s="2909"/>
      <c r="HV715" s="2909"/>
      <c r="HW715" s="2909"/>
      <c r="HX715" s="2909"/>
      <c r="HY715" s="2909"/>
      <c r="HZ715" s="2909"/>
      <c r="IA715" s="2909"/>
      <c r="IB715" s="2909"/>
      <c r="IC715" s="2909"/>
      <c r="IJ715" s="2907"/>
      <c r="IK715" s="2907"/>
      <c r="JA715" s="2907"/>
    </row>
    <row r="716" spans="3:261" ht="12" customHeight="1">
      <c r="E716" s="525"/>
      <c r="F716" s="521"/>
      <c r="G716" s="2966" t="s">
        <v>3813</v>
      </c>
      <c r="H716" s="2956">
        <f>FF668</f>
        <v>0</v>
      </c>
      <c r="I716" s="2956">
        <f>FG668</f>
        <v>0</v>
      </c>
      <c r="J716" s="2956">
        <f>FH668</f>
        <v>0</v>
      </c>
      <c r="K716" s="2956">
        <f>FI668</f>
        <v>0</v>
      </c>
      <c r="L716" s="2956">
        <f>FJ668</f>
        <v>0</v>
      </c>
      <c r="M716" s="2956">
        <f t="shared" si="267"/>
        <v>0</v>
      </c>
      <c r="N716" s="522"/>
      <c r="O716" s="2921"/>
      <c r="Q716" s="2959"/>
      <c r="R716" s="2959"/>
      <c r="S716" s="2959"/>
      <c r="T716" s="2944"/>
      <c r="U716" s="2944"/>
      <c r="V716" s="521"/>
      <c r="W716" s="521"/>
      <c r="X716" s="525"/>
      <c r="Y716" s="521"/>
      <c r="Z716" s="522"/>
      <c r="AA716" s="523"/>
      <c r="AB716" s="523"/>
      <c r="AC716" s="523"/>
      <c r="AD716" s="523"/>
      <c r="AE716" s="523"/>
      <c r="AF716" s="523"/>
      <c r="AG716" s="505"/>
      <c r="AH716" s="521"/>
      <c r="GS716" s="2909"/>
      <c r="GX716" s="2909"/>
      <c r="GY716" s="2909"/>
      <c r="GZ716" s="2909"/>
      <c r="HA716" s="2909"/>
      <c r="HB716" s="2909"/>
      <c r="HC716" s="2909"/>
      <c r="HD716" s="2909"/>
      <c r="HE716" s="2909"/>
      <c r="HF716" s="2909"/>
      <c r="HG716" s="2909"/>
      <c r="HH716" s="2909"/>
      <c r="HI716" s="2909"/>
      <c r="HJ716" s="2909"/>
      <c r="HK716" s="2909"/>
      <c r="HL716" s="2909"/>
      <c r="HM716" s="2909"/>
      <c r="HN716" s="2909"/>
      <c r="HO716" s="2909"/>
      <c r="HP716" s="2909"/>
      <c r="HQ716" s="2909"/>
      <c r="HR716" s="2909"/>
      <c r="HS716" s="2909"/>
      <c r="HT716" s="2909"/>
      <c r="HU716" s="2909"/>
      <c r="HV716" s="2909"/>
      <c r="HW716" s="2909"/>
      <c r="HX716" s="2909"/>
      <c r="HY716" s="2909"/>
      <c r="HZ716" s="2909"/>
      <c r="IA716" s="2909"/>
      <c r="IB716" s="2909"/>
      <c r="IC716" s="2909"/>
      <c r="IJ716" s="2907"/>
      <c r="IK716" s="2907"/>
      <c r="JA716" s="2907"/>
    </row>
    <row r="717" spans="3:261" ht="12" customHeight="1">
      <c r="C717" s="521"/>
      <c r="D717" s="521"/>
      <c r="E717" s="525" t="s">
        <v>43</v>
      </c>
      <c r="F717" s="521"/>
      <c r="G717" s="522"/>
      <c r="H717" s="2956">
        <f>GE668</f>
        <v>0</v>
      </c>
      <c r="I717" s="2956">
        <f>GF668</f>
        <v>0</v>
      </c>
      <c r="J717" s="2956">
        <f>GG668</f>
        <v>30</v>
      </c>
      <c r="K717" s="2956">
        <f>GH668</f>
        <v>0</v>
      </c>
      <c r="L717" s="2956">
        <f>GI668</f>
        <v>0</v>
      </c>
      <c r="M717" s="2956">
        <f t="shared" si="267"/>
        <v>30</v>
      </c>
      <c r="N717" s="522"/>
      <c r="O717" s="2921"/>
      <c r="Q717" s="2959">
        <f>ABS(M717-AF717)</f>
        <v>30</v>
      </c>
      <c r="R717" s="2959"/>
      <c r="S717" s="2959"/>
      <c r="T717" s="2944"/>
      <c r="U717" s="2944"/>
      <c r="V717" s="521"/>
      <c r="W717" s="521"/>
      <c r="X717" s="525"/>
      <c r="Y717" s="521"/>
      <c r="Z717" s="522"/>
      <c r="AA717" s="523"/>
      <c r="AB717" s="523"/>
      <c r="AC717" s="523"/>
      <c r="AD717" s="523"/>
      <c r="AE717" s="523"/>
      <c r="AF717" s="523"/>
      <c r="IJ717" s="2907"/>
      <c r="IK717" s="2907"/>
      <c r="JA717" s="2907"/>
    </row>
    <row r="718" spans="3:261" ht="12" customHeight="1">
      <c r="C718" s="521"/>
      <c r="D718" s="521"/>
      <c r="E718" s="525"/>
      <c r="F718" s="521"/>
      <c r="G718" s="2966" t="s">
        <v>3813</v>
      </c>
      <c r="H718" s="2956">
        <f>GJ668</f>
        <v>0</v>
      </c>
      <c r="I718" s="2956">
        <f>GK668</f>
        <v>0</v>
      </c>
      <c r="J718" s="2956">
        <f>GL668</f>
        <v>0</v>
      </c>
      <c r="K718" s="2956">
        <f>GM668</f>
        <v>0</v>
      </c>
      <c r="L718" s="2956">
        <f>GN668</f>
        <v>0</v>
      </c>
      <c r="M718" s="2956">
        <f t="shared" si="267"/>
        <v>0</v>
      </c>
      <c r="N718" s="522"/>
      <c r="O718" s="2921"/>
      <c r="Q718" s="2959"/>
      <c r="R718" s="2959"/>
      <c r="S718" s="2959"/>
      <c r="T718" s="2944"/>
      <c r="U718" s="2944"/>
      <c r="V718" s="521"/>
      <c r="W718" s="521"/>
      <c r="X718" s="525"/>
      <c r="Y718" s="521"/>
      <c r="Z718" s="522"/>
      <c r="AA718" s="523"/>
      <c r="AB718" s="523"/>
      <c r="AC718" s="523"/>
      <c r="AD718" s="523"/>
      <c r="AE718" s="523"/>
      <c r="AF718" s="523"/>
      <c r="IJ718" s="2907"/>
      <c r="IK718" s="2907"/>
      <c r="JA718" s="2907"/>
    </row>
    <row r="719" spans="3:261" ht="12" customHeight="1">
      <c r="C719" s="521"/>
      <c r="D719" s="521"/>
      <c r="E719" s="525" t="s">
        <v>588</v>
      </c>
      <c r="F719" s="521"/>
      <c r="G719" s="522"/>
      <c r="H719" s="2956">
        <f>FU668</f>
        <v>0</v>
      </c>
      <c r="I719" s="2956">
        <f>FV668</f>
        <v>0</v>
      </c>
      <c r="J719" s="2956">
        <f>FW668</f>
        <v>0</v>
      </c>
      <c r="K719" s="2956">
        <f>FX668</f>
        <v>0</v>
      </c>
      <c r="L719" s="2956">
        <f>FY668</f>
        <v>0</v>
      </c>
      <c r="M719" s="2956">
        <f t="shared" si="267"/>
        <v>0</v>
      </c>
      <c r="N719" s="522"/>
      <c r="O719" s="2921"/>
      <c r="Q719" s="2959">
        <f>ABS(M719-AF719)</f>
        <v>0</v>
      </c>
      <c r="R719" s="2959"/>
      <c r="S719" s="2959"/>
      <c r="T719" s="2944"/>
      <c r="U719" s="2944"/>
      <c r="V719" s="521"/>
      <c r="W719" s="521"/>
      <c r="X719" s="525"/>
      <c r="Y719" s="521"/>
      <c r="Z719" s="522"/>
      <c r="AA719" s="523"/>
      <c r="AB719" s="523"/>
      <c r="AC719" s="523"/>
      <c r="AD719" s="523"/>
      <c r="AE719" s="523"/>
      <c r="AF719" s="523"/>
      <c r="AG719" s="505"/>
      <c r="AH719" s="521"/>
      <c r="GS719" s="2909"/>
      <c r="GX719" s="2909"/>
      <c r="GY719" s="2909"/>
      <c r="GZ719" s="2909"/>
      <c r="HA719" s="2909"/>
      <c r="HB719" s="2909"/>
      <c r="HC719" s="2909"/>
      <c r="HD719" s="2909"/>
      <c r="HE719" s="2909"/>
      <c r="HF719" s="2909"/>
      <c r="HG719" s="2909"/>
      <c r="HH719" s="2909"/>
      <c r="HI719" s="2909"/>
      <c r="HJ719" s="2909"/>
      <c r="HK719" s="2909"/>
      <c r="HL719" s="2909"/>
      <c r="HM719" s="2909"/>
      <c r="HN719" s="2909"/>
      <c r="HO719" s="2909"/>
      <c r="HP719" s="2909"/>
      <c r="HQ719" s="2909"/>
      <c r="HR719" s="2909"/>
      <c r="HS719" s="2909"/>
      <c r="HT719" s="2909"/>
      <c r="HU719" s="2909"/>
      <c r="HV719" s="2909"/>
      <c r="HW719" s="2909"/>
      <c r="HX719" s="2909"/>
      <c r="HY719" s="2909"/>
      <c r="HZ719" s="2909"/>
      <c r="IA719" s="2909"/>
      <c r="IB719" s="2909"/>
      <c r="IC719" s="2909"/>
      <c r="IJ719" s="2907"/>
      <c r="IK719" s="2907"/>
      <c r="JA719" s="2907"/>
    </row>
    <row r="720" spans="3:261" ht="12" customHeight="1">
      <c r="C720" s="521"/>
      <c r="D720" s="521"/>
      <c r="E720" s="525"/>
      <c r="F720" s="521"/>
      <c r="G720" s="2966" t="s">
        <v>3813</v>
      </c>
      <c r="H720" s="2956">
        <f>FZ668</f>
        <v>0</v>
      </c>
      <c r="I720" s="2956">
        <f>GA668</f>
        <v>0</v>
      </c>
      <c r="J720" s="2956">
        <f>GB668</f>
        <v>0</v>
      </c>
      <c r="K720" s="2956">
        <f>GC668</f>
        <v>0</v>
      </c>
      <c r="L720" s="2956">
        <f>GD668</f>
        <v>0</v>
      </c>
      <c r="M720" s="2956">
        <f t="shared" si="267"/>
        <v>0</v>
      </c>
      <c r="N720" s="522"/>
      <c r="O720" s="2921"/>
      <c r="Q720" s="2959"/>
      <c r="R720" s="2959"/>
      <c r="S720" s="2959"/>
      <c r="T720" s="2944"/>
      <c r="U720" s="2944"/>
      <c r="V720" s="521"/>
      <c r="W720" s="521"/>
      <c r="X720" s="525"/>
      <c r="Y720" s="521"/>
      <c r="Z720" s="522"/>
      <c r="AA720" s="523"/>
      <c r="AB720" s="523"/>
      <c r="AC720" s="523"/>
      <c r="AD720" s="523"/>
      <c r="AE720" s="523"/>
      <c r="AF720" s="523"/>
      <c r="AG720" s="505"/>
      <c r="AH720" s="521"/>
      <c r="GS720" s="2909"/>
      <c r="GX720" s="2909"/>
      <c r="GY720" s="2909"/>
      <c r="GZ720" s="2909"/>
      <c r="HA720" s="2909"/>
      <c r="HB720" s="2909"/>
      <c r="HC720" s="2909"/>
      <c r="HD720" s="2909"/>
      <c r="HE720" s="2909"/>
      <c r="HF720" s="2909"/>
      <c r="HG720" s="2909"/>
      <c r="HH720" s="2909"/>
      <c r="HI720" s="2909"/>
      <c r="HJ720" s="2909"/>
      <c r="HK720" s="2909"/>
      <c r="HL720" s="2909"/>
      <c r="HM720" s="2909"/>
      <c r="HN720" s="2909"/>
      <c r="HO720" s="2909"/>
      <c r="HP720" s="2909"/>
      <c r="HQ720" s="2909"/>
      <c r="HR720" s="2909"/>
      <c r="HS720" s="2909"/>
      <c r="HT720" s="2909"/>
      <c r="HU720" s="2909"/>
      <c r="HV720" s="2909"/>
      <c r="HW720" s="2909"/>
      <c r="HX720" s="2909"/>
      <c r="HY720" s="2909"/>
      <c r="HZ720" s="2909"/>
      <c r="IA720" s="2909"/>
      <c r="IB720" s="2909"/>
      <c r="IC720" s="2909"/>
      <c r="IJ720" s="2907"/>
      <c r="IK720" s="2907"/>
      <c r="JA720" s="2907"/>
    </row>
    <row r="721" spans="1:261" ht="12" customHeight="1">
      <c r="C721" s="521"/>
      <c r="D721" s="521"/>
      <c r="E721" s="2916" t="s">
        <v>589</v>
      </c>
      <c r="F721" s="521"/>
      <c r="G721" s="522"/>
      <c r="H721" s="2956">
        <f>FK668</f>
        <v>0</v>
      </c>
      <c r="I721" s="2956">
        <f>FL668</f>
        <v>0</v>
      </c>
      <c r="J721" s="2956">
        <f>FM668</f>
        <v>0</v>
      </c>
      <c r="K721" s="2956">
        <f>FN668</f>
        <v>0</v>
      </c>
      <c r="L721" s="2956">
        <f>FO668</f>
        <v>0</v>
      </c>
      <c r="M721" s="2956">
        <f t="shared" si="267"/>
        <v>0</v>
      </c>
      <c r="N721" s="522"/>
      <c r="O721" s="2921"/>
      <c r="Q721" s="2959">
        <f>ABS(M721-AF721)</f>
        <v>0</v>
      </c>
      <c r="R721" s="2959"/>
      <c r="S721" s="2959"/>
      <c r="T721" s="2944"/>
      <c r="U721" s="2944"/>
      <c r="V721" s="521"/>
      <c r="W721" s="521"/>
      <c r="X721" s="2916"/>
      <c r="Y721" s="521"/>
      <c r="Z721" s="522"/>
      <c r="AA721" s="523"/>
      <c r="AB721" s="523"/>
      <c r="AC721" s="523"/>
      <c r="AD721" s="523"/>
      <c r="AE721" s="523"/>
      <c r="AF721" s="523"/>
      <c r="IJ721" s="2907"/>
      <c r="IK721" s="2907"/>
      <c r="JA721" s="2907"/>
    </row>
    <row r="722" spans="1:261" ht="12" customHeight="1">
      <c r="C722" s="521"/>
      <c r="D722" s="521"/>
      <c r="E722" s="2916"/>
      <c r="F722" s="521"/>
      <c r="G722" s="2966" t="s">
        <v>3813</v>
      </c>
      <c r="H722" s="2956">
        <f>FP668</f>
        <v>0</v>
      </c>
      <c r="I722" s="2956">
        <f>FQ668</f>
        <v>0</v>
      </c>
      <c r="J722" s="2956">
        <f>FR668</f>
        <v>0</v>
      </c>
      <c r="K722" s="2956">
        <f>FS668</f>
        <v>0</v>
      </c>
      <c r="L722" s="2956">
        <f>FT668</f>
        <v>0</v>
      </c>
      <c r="M722" s="2956">
        <f t="shared" si="267"/>
        <v>0</v>
      </c>
      <c r="N722" s="522"/>
      <c r="O722" s="2967"/>
      <c r="Q722" s="2959"/>
      <c r="R722" s="2959"/>
      <c r="S722" s="2959"/>
      <c r="T722" s="2944"/>
      <c r="U722" s="2944"/>
      <c r="V722" s="521"/>
      <c r="W722" s="521"/>
      <c r="X722" s="2916"/>
      <c r="Y722" s="521"/>
      <c r="Z722" s="522"/>
      <c r="AA722" s="523"/>
      <c r="AB722" s="523"/>
      <c r="AC722" s="523"/>
      <c r="AD722" s="523"/>
      <c r="AE722" s="523"/>
      <c r="AF722" s="523"/>
      <c r="IJ722" s="2907"/>
      <c r="IK722" s="2907"/>
      <c r="JA722" s="2907"/>
    </row>
    <row r="723" spans="1:261">
      <c r="C723" s="521"/>
      <c r="H723" s="2968"/>
      <c r="I723" s="2968"/>
      <c r="J723" s="2968"/>
      <c r="K723" s="2968"/>
      <c r="L723" s="2968"/>
      <c r="M723" s="2968"/>
      <c r="T723" s="2719" t="str">
        <f>C724</f>
        <v>Building Type:
(for Cost Limit purposes)</v>
      </c>
      <c r="GS723" s="2909"/>
      <c r="GX723" s="2909"/>
      <c r="GY723" s="2909"/>
      <c r="GZ723" s="2909"/>
      <c r="HA723" s="2909"/>
      <c r="HB723" s="2909"/>
      <c r="HC723" s="2909"/>
      <c r="HD723" s="2909"/>
      <c r="HE723" s="2909"/>
      <c r="HF723" s="2909"/>
      <c r="HG723" s="2909"/>
      <c r="HH723" s="2909"/>
      <c r="HI723" s="2909"/>
      <c r="HJ723" s="2909"/>
      <c r="HK723" s="2909"/>
      <c r="HL723" s="2909"/>
      <c r="HM723" s="2909"/>
      <c r="HN723" s="2909"/>
      <c r="HO723" s="2909"/>
      <c r="HP723" s="2909"/>
      <c r="HQ723" s="2909"/>
      <c r="HR723" s="2909"/>
      <c r="HS723" s="2909"/>
      <c r="HT723" s="2909"/>
      <c r="HU723" s="2909"/>
      <c r="HV723" s="2909"/>
      <c r="HW723" s="2909"/>
      <c r="HX723" s="2909"/>
      <c r="HY723" s="2909"/>
      <c r="HZ723" s="2909"/>
      <c r="IA723" s="2909"/>
      <c r="IB723" s="2909"/>
      <c r="IC723" s="2909"/>
      <c r="IJ723" s="2907"/>
      <c r="IZ723" s="2907"/>
      <c r="JA723" s="2907"/>
    </row>
    <row r="724" spans="1:261" ht="11.25" customHeight="1">
      <c r="C724" s="2969" t="s">
        <v>4604</v>
      </c>
      <c r="D724" s="2969"/>
      <c r="E724" s="2789" t="s">
        <v>3808</v>
      </c>
      <c r="F724" s="2718"/>
      <c r="G724" s="2718"/>
      <c r="H724" s="2956">
        <f t="shared" ref="H724:L725" si="268">H715+H719+H721</f>
        <v>0</v>
      </c>
      <c r="I724" s="2956">
        <f t="shared" si="268"/>
        <v>0</v>
      </c>
      <c r="J724" s="2956">
        <f t="shared" si="268"/>
        <v>0</v>
      </c>
      <c r="K724" s="2956">
        <f t="shared" si="268"/>
        <v>0</v>
      </c>
      <c r="L724" s="2956">
        <f t="shared" si="268"/>
        <v>0</v>
      </c>
      <c r="M724" s="2956">
        <f t="shared" ref="M724:M731" si="269">SUM(H724:L724)</f>
        <v>0</v>
      </c>
      <c r="N724" s="2970"/>
      <c r="O724" s="2967"/>
      <c r="Q724" s="2959"/>
      <c r="R724" s="2959"/>
      <c r="S724" s="2959"/>
      <c r="T724" s="2869">
        <f>'Part VI-Revenues &amp; Expenses'!U104</f>
        <v>0</v>
      </c>
      <c r="U724" s="2944"/>
      <c r="V724" s="521"/>
      <c r="W724" s="521"/>
      <c r="X724" s="2916"/>
      <c r="Y724" s="521"/>
      <c r="Z724" s="522"/>
      <c r="AA724" s="523"/>
      <c r="AB724" s="523"/>
      <c r="AC724" s="523"/>
      <c r="AD724" s="523"/>
      <c r="AE724" s="523"/>
      <c r="AF724" s="523"/>
      <c r="IJ724" s="2907"/>
      <c r="IK724" s="2907"/>
      <c r="JA724" s="2907"/>
    </row>
    <row r="725" spans="1:261" ht="11.25" customHeight="1">
      <c r="C725" s="2969"/>
      <c r="D725" s="2969"/>
      <c r="E725" s="2789"/>
      <c r="F725" s="2718"/>
      <c r="G725" s="2971" t="s">
        <v>3813</v>
      </c>
      <c r="H725" s="2956">
        <f t="shared" si="268"/>
        <v>0</v>
      </c>
      <c r="I725" s="2956">
        <f t="shared" si="268"/>
        <v>0</v>
      </c>
      <c r="J725" s="2956">
        <f t="shared" si="268"/>
        <v>0</v>
      </c>
      <c r="K725" s="2956">
        <f t="shared" si="268"/>
        <v>0</v>
      </c>
      <c r="L725" s="2956">
        <f t="shared" si="268"/>
        <v>0</v>
      </c>
      <c r="M725" s="2956">
        <f t="shared" si="269"/>
        <v>0</v>
      </c>
      <c r="N725" s="2970"/>
      <c r="O725" s="2967"/>
      <c r="Q725" s="2959"/>
      <c r="R725" s="2959"/>
      <c r="S725" s="2959"/>
      <c r="T725" s="2944"/>
      <c r="U725" s="2944"/>
      <c r="V725" s="521"/>
      <c r="W725" s="521"/>
      <c r="X725" s="2916"/>
      <c r="Y725" s="521"/>
      <c r="Z725" s="522"/>
      <c r="AA725" s="523"/>
      <c r="AB725" s="523"/>
      <c r="AC725" s="523"/>
      <c r="AD725" s="523"/>
      <c r="AE725" s="523"/>
      <c r="AF725" s="523"/>
      <c r="IJ725" s="2907"/>
      <c r="IK725" s="2907"/>
      <c r="JA725" s="2907"/>
    </row>
    <row r="726" spans="1:261" ht="11.25" customHeight="1">
      <c r="C726" s="2969"/>
      <c r="D726" s="2969"/>
      <c r="E726" s="2789" t="s">
        <v>3809</v>
      </c>
      <c r="F726" s="2718"/>
      <c r="G726" s="2718"/>
      <c r="H726" s="2956">
        <f>H707+H717</f>
        <v>0</v>
      </c>
      <c r="I726" s="2956">
        <f t="shared" ref="I726:L727" si="270">I707+I717</f>
        <v>4</v>
      </c>
      <c r="J726" s="2956">
        <f t="shared" si="270"/>
        <v>30</v>
      </c>
      <c r="K726" s="2956">
        <f t="shared" si="270"/>
        <v>8</v>
      </c>
      <c r="L726" s="2956">
        <f t="shared" si="270"/>
        <v>0</v>
      </c>
      <c r="M726" s="2956">
        <f t="shared" si="269"/>
        <v>42</v>
      </c>
      <c r="N726" s="2970"/>
      <c r="O726" s="2967"/>
      <c r="Q726" s="2959"/>
      <c r="R726" s="2959"/>
      <c r="S726" s="2959"/>
      <c r="T726" s="2944"/>
      <c r="U726" s="2944"/>
      <c r="V726" s="521"/>
      <c r="W726" s="521"/>
      <c r="X726" s="2916"/>
      <c r="Y726" s="521"/>
      <c r="Z726" s="522"/>
      <c r="AA726" s="523"/>
      <c r="AB726" s="523"/>
      <c r="AC726" s="523"/>
      <c r="AD726" s="523"/>
      <c r="AE726" s="523"/>
      <c r="AF726" s="523"/>
      <c r="IJ726" s="2907"/>
      <c r="IK726" s="2907"/>
      <c r="JA726" s="2907"/>
    </row>
    <row r="727" spans="1:261" ht="11.25" customHeight="1">
      <c r="C727" s="2969"/>
      <c r="D727" s="2969"/>
      <c r="E727" s="2789"/>
      <c r="F727" s="2718"/>
      <c r="G727" s="2971" t="s">
        <v>3813</v>
      </c>
      <c r="H727" s="2956">
        <f>H708+H718</f>
        <v>0</v>
      </c>
      <c r="I727" s="2956">
        <f t="shared" si="270"/>
        <v>0</v>
      </c>
      <c r="J727" s="2956">
        <f t="shared" si="270"/>
        <v>0</v>
      </c>
      <c r="K727" s="2956">
        <f t="shared" si="270"/>
        <v>0</v>
      </c>
      <c r="L727" s="2956">
        <f t="shared" si="270"/>
        <v>0</v>
      </c>
      <c r="M727" s="2956">
        <f t="shared" si="269"/>
        <v>0</v>
      </c>
      <c r="N727" s="2970"/>
      <c r="O727" s="2967"/>
      <c r="Q727" s="2959"/>
      <c r="R727" s="2959"/>
      <c r="S727" s="2959"/>
      <c r="T727" s="2944"/>
      <c r="U727" s="2944"/>
      <c r="V727" s="521"/>
      <c r="W727" s="521"/>
      <c r="X727" s="2916"/>
      <c r="Y727" s="521"/>
      <c r="Z727" s="522"/>
      <c r="AA727" s="523"/>
      <c r="AB727" s="523"/>
      <c r="AC727" s="523"/>
      <c r="AD727" s="523"/>
      <c r="AE727" s="523"/>
      <c r="AF727" s="523"/>
      <c r="IJ727" s="2907"/>
      <c r="IK727" s="2907"/>
      <c r="JA727" s="2907"/>
    </row>
    <row r="728" spans="1:261" ht="11.25" customHeight="1">
      <c r="C728" s="2969"/>
      <c r="D728" s="2969"/>
      <c r="E728" s="2789" t="s">
        <v>3810</v>
      </c>
      <c r="F728" s="2718"/>
      <c r="G728" s="2718"/>
      <c r="H728" s="2956">
        <f>H711</f>
        <v>0</v>
      </c>
      <c r="I728" s="2956">
        <f t="shared" ref="I728:L729" si="271">I711</f>
        <v>0</v>
      </c>
      <c r="J728" s="2956">
        <f t="shared" si="271"/>
        <v>0</v>
      </c>
      <c r="K728" s="2956">
        <f t="shared" si="271"/>
        <v>0</v>
      </c>
      <c r="L728" s="2956">
        <f t="shared" si="271"/>
        <v>0</v>
      </c>
      <c r="M728" s="2956">
        <f t="shared" si="269"/>
        <v>0</v>
      </c>
      <c r="N728" s="2970"/>
      <c r="O728" s="2967"/>
      <c r="Q728" s="2959"/>
      <c r="R728" s="2959"/>
      <c r="S728" s="2959"/>
      <c r="T728" s="2944"/>
      <c r="U728" s="2944"/>
      <c r="V728" s="521"/>
      <c r="W728" s="521"/>
      <c r="X728" s="2916"/>
      <c r="Y728" s="521"/>
      <c r="Z728" s="522"/>
      <c r="AA728" s="523"/>
      <c r="AB728" s="523"/>
      <c r="AC728" s="523"/>
      <c r="AD728" s="523"/>
      <c r="AE728" s="523"/>
      <c r="AF728" s="523"/>
      <c r="IJ728" s="2907"/>
      <c r="IK728" s="2907"/>
      <c r="JA728" s="2907"/>
    </row>
    <row r="729" spans="1:261" ht="11.25" customHeight="1">
      <c r="C729" s="2969"/>
      <c r="D729" s="2969"/>
      <c r="E729" s="2789"/>
      <c r="F729" s="2718"/>
      <c r="G729" s="2971" t="s">
        <v>3813</v>
      </c>
      <c r="H729" s="2956">
        <f>H712</f>
        <v>0</v>
      </c>
      <c r="I729" s="2956">
        <f t="shared" si="271"/>
        <v>0</v>
      </c>
      <c r="J729" s="2956">
        <f t="shared" si="271"/>
        <v>0</v>
      </c>
      <c r="K729" s="2956">
        <f t="shared" si="271"/>
        <v>0</v>
      </c>
      <c r="L729" s="2956">
        <f t="shared" si="271"/>
        <v>0</v>
      </c>
      <c r="M729" s="2956">
        <f t="shared" si="269"/>
        <v>0</v>
      </c>
      <c r="N729" s="2970"/>
      <c r="O729" s="2967"/>
      <c r="Q729" s="2959"/>
      <c r="R729" s="2959"/>
      <c r="S729" s="2959"/>
      <c r="T729" s="2944"/>
      <c r="U729" s="2944"/>
      <c r="V729" s="521"/>
      <c r="W729" s="521"/>
      <c r="X729" s="2916"/>
      <c r="Y729" s="521"/>
      <c r="Z729" s="522"/>
      <c r="AA729" s="523"/>
      <c r="AB729" s="523"/>
      <c r="AC729" s="523"/>
      <c r="AD729" s="523"/>
      <c r="AE729" s="523"/>
      <c r="AF729" s="523"/>
      <c r="IJ729" s="2907"/>
      <c r="IK729" s="2907"/>
      <c r="JA729" s="2907"/>
    </row>
    <row r="730" spans="1:261" ht="11.25" customHeight="1">
      <c r="C730" s="2969"/>
      <c r="D730" s="2969"/>
      <c r="E730" s="2789" t="s">
        <v>3811</v>
      </c>
      <c r="F730" s="2718"/>
      <c r="G730" s="2718"/>
      <c r="H730" s="2956">
        <f>H709+H713</f>
        <v>0</v>
      </c>
      <c r="I730" s="2956">
        <f t="shared" ref="I730:L731" si="272">I709+I713</f>
        <v>0</v>
      </c>
      <c r="J730" s="2956">
        <f t="shared" si="272"/>
        <v>0</v>
      </c>
      <c r="K730" s="2956">
        <f t="shared" si="272"/>
        <v>0</v>
      </c>
      <c r="L730" s="2956">
        <f t="shared" si="272"/>
        <v>0</v>
      </c>
      <c r="M730" s="2956">
        <f t="shared" si="269"/>
        <v>0</v>
      </c>
      <c r="N730" s="2970"/>
      <c r="O730" s="2967"/>
      <c r="Q730" s="2959"/>
      <c r="R730" s="2959"/>
      <c r="S730" s="2959"/>
      <c r="T730" s="2944"/>
      <c r="U730" s="2944"/>
      <c r="V730" s="521"/>
      <c r="W730" s="521"/>
      <c r="X730" s="2916"/>
      <c r="Y730" s="521"/>
      <c r="Z730" s="522"/>
      <c r="AA730" s="523"/>
      <c r="AB730" s="523"/>
      <c r="AC730" s="523"/>
      <c r="AD730" s="523"/>
      <c r="AE730" s="523"/>
      <c r="AF730" s="523"/>
      <c r="IJ730" s="2907"/>
      <c r="IK730" s="2907"/>
      <c r="JA730" s="2907"/>
    </row>
    <row r="731" spans="1:261" ht="11.25" customHeight="1">
      <c r="C731" s="521"/>
      <c r="D731" s="521"/>
      <c r="E731" s="2972"/>
      <c r="F731" s="2718"/>
      <c r="G731" s="2971" t="s">
        <v>3813</v>
      </c>
      <c r="H731" s="2956">
        <f>H710+H714</f>
        <v>0</v>
      </c>
      <c r="I731" s="2956">
        <f t="shared" si="272"/>
        <v>0</v>
      </c>
      <c r="J731" s="2956">
        <f t="shared" si="272"/>
        <v>0</v>
      </c>
      <c r="K731" s="2956">
        <f t="shared" si="272"/>
        <v>0</v>
      </c>
      <c r="L731" s="2956">
        <f t="shared" si="272"/>
        <v>0</v>
      </c>
      <c r="M731" s="2956">
        <f t="shared" si="269"/>
        <v>0</v>
      </c>
      <c r="N731" s="2970"/>
      <c r="O731" s="2967"/>
      <c r="Q731" s="2959"/>
      <c r="R731" s="2959"/>
      <c r="S731" s="2959"/>
      <c r="T731" s="2944"/>
      <c r="U731" s="2944"/>
      <c r="V731" s="521"/>
      <c r="W731" s="521"/>
      <c r="X731" s="2916"/>
      <c r="Y731" s="521"/>
      <c r="Z731" s="522"/>
      <c r="AA731" s="523"/>
      <c r="AB731" s="523"/>
      <c r="AC731" s="523"/>
      <c r="AD731" s="523"/>
      <c r="AE731" s="523"/>
      <c r="AF731" s="523"/>
      <c r="IJ731" s="2907"/>
      <c r="IK731" s="2907"/>
      <c r="JA731" s="2907"/>
    </row>
    <row r="732" spans="1:261" ht="2.25" customHeight="1">
      <c r="C732" s="521"/>
      <c r="D732" s="521"/>
      <c r="E732" s="2972"/>
      <c r="F732" s="2718"/>
      <c r="G732" s="2971"/>
      <c r="H732" s="2973"/>
      <c r="I732" s="2973"/>
      <c r="J732" s="2973"/>
      <c r="K732" s="2973"/>
      <c r="L732" s="2973"/>
      <c r="M732" s="2973"/>
      <c r="N732" s="2970"/>
      <c r="O732" s="2967"/>
      <c r="Q732" s="2959"/>
      <c r="R732" s="2959"/>
      <c r="S732" s="2959"/>
      <c r="T732" s="2869"/>
      <c r="U732" s="2869"/>
      <c r="V732" s="521"/>
      <c r="W732" s="521"/>
      <c r="X732" s="2916"/>
      <c r="Y732" s="521"/>
      <c r="Z732" s="522"/>
      <c r="AA732" s="523"/>
      <c r="AB732" s="523"/>
      <c r="AC732" s="523"/>
      <c r="AD732" s="523"/>
      <c r="AE732" s="523"/>
      <c r="AF732" s="523"/>
      <c r="IJ732" s="2907"/>
      <c r="IK732" s="2907"/>
      <c r="JA732" s="2907"/>
    </row>
    <row r="733" spans="1:261" ht="12" customHeight="1">
      <c r="A733" s="2907"/>
      <c r="B733" s="2907" t="s">
        <v>2266</v>
      </c>
      <c r="C733" s="521"/>
      <c r="D733" s="521"/>
      <c r="E733" s="521"/>
      <c r="F733" s="521"/>
      <c r="G733" s="522"/>
      <c r="H733" s="2974"/>
      <c r="I733" s="2974"/>
      <c r="J733" s="2974"/>
      <c r="K733" s="2974"/>
      <c r="L733" s="2974"/>
      <c r="M733" s="2974"/>
      <c r="Q733" s="2959"/>
      <c r="R733" s="2959"/>
      <c r="S733" s="2959"/>
      <c r="T733" s="2719" t="str">
        <f>B733</f>
        <v>Unit Square Footage:</v>
      </c>
      <c r="U733" s="2907" t="s">
        <v>1190</v>
      </c>
      <c r="V733" s="521"/>
      <c r="W733" s="521"/>
      <c r="X733" s="521"/>
      <c r="Y733" s="521"/>
      <c r="Z733" s="522"/>
      <c r="AA733" s="521"/>
      <c r="AB733" s="521"/>
      <c r="AC733" s="521"/>
      <c r="AD733" s="521"/>
      <c r="AE733" s="521"/>
      <c r="AF733" s="521"/>
      <c r="AH733" s="521"/>
      <c r="GS733" s="2909"/>
      <c r="GX733" s="2909"/>
      <c r="GY733" s="2909"/>
      <c r="GZ733" s="2909"/>
      <c r="HA733" s="2909"/>
      <c r="HB733" s="2909"/>
      <c r="HC733" s="2909"/>
      <c r="HD733" s="2909"/>
      <c r="HE733" s="2909"/>
      <c r="HF733" s="2909"/>
      <c r="HG733" s="2909"/>
      <c r="HH733" s="2909"/>
      <c r="HI733" s="2909"/>
      <c r="HJ733" s="2909"/>
      <c r="HK733" s="2909"/>
      <c r="HL733" s="2909"/>
      <c r="HM733" s="2909"/>
      <c r="HN733" s="2909"/>
      <c r="HO733" s="2909"/>
      <c r="HP733" s="2909"/>
      <c r="HQ733" s="2909"/>
      <c r="HR733" s="2909"/>
      <c r="HS733" s="2909"/>
      <c r="HT733" s="2909"/>
      <c r="HU733" s="2909"/>
      <c r="HV733" s="2909"/>
      <c r="HW733" s="2909"/>
      <c r="HX733" s="2909"/>
      <c r="HY733" s="2909"/>
      <c r="HZ733" s="2909"/>
      <c r="IA733" s="2909"/>
      <c r="IB733" s="2909"/>
      <c r="IC733" s="2909"/>
      <c r="IJ733" s="2907"/>
      <c r="IK733" s="2907"/>
      <c r="JA733" s="2907"/>
    </row>
    <row r="734" spans="1:261" ht="12" customHeight="1">
      <c r="C734" s="521" t="s">
        <v>2236</v>
      </c>
      <c r="D734" s="521"/>
      <c r="E734" s="521"/>
      <c r="F734" s="521"/>
      <c r="G734" s="522" t="s">
        <v>1203</v>
      </c>
      <c r="H734" s="2975">
        <f>BY668</f>
        <v>0</v>
      </c>
      <c r="I734" s="2975">
        <f>BZ668</f>
        <v>1824</v>
      </c>
      <c r="J734" s="2975">
        <f>CA668</f>
        <v>20088</v>
      </c>
      <c r="K734" s="2975">
        <f>CB668</f>
        <v>6600</v>
      </c>
      <c r="L734" s="2975">
        <f>CC668</f>
        <v>0</v>
      </c>
      <c r="M734" s="2975">
        <f t="shared" ref="M734:M740" si="273">SUM(H734:L734)</f>
        <v>28512</v>
      </c>
      <c r="Q734" s="2959">
        <f t="shared" ref="Q734:Q740" si="274">ABS(M734-AF734)</f>
        <v>28512</v>
      </c>
      <c r="R734" s="2959"/>
      <c r="S734" s="2959"/>
      <c r="T734" s="2869">
        <f>'Part VI-Revenues &amp; Expenses'!U114</f>
        <v>0</v>
      </c>
      <c r="U734" s="2944"/>
      <c r="V734" s="521"/>
      <c r="W734" s="521"/>
      <c r="X734" s="521"/>
      <c r="Y734" s="521"/>
      <c r="Z734" s="522"/>
      <c r="AA734" s="523"/>
      <c r="AB734" s="523"/>
      <c r="AC734" s="523"/>
      <c r="AD734" s="523"/>
      <c r="AE734" s="523"/>
      <c r="AF734" s="523"/>
      <c r="AH734" s="521"/>
      <c r="GS734" s="2909"/>
      <c r="GX734" s="2909"/>
      <c r="GY734" s="2909"/>
      <c r="GZ734" s="2909"/>
      <c r="HA734" s="2909"/>
      <c r="HB734" s="2909"/>
      <c r="HC734" s="2909"/>
      <c r="HD734" s="2909"/>
      <c r="HE734" s="2909"/>
      <c r="HF734" s="2909"/>
      <c r="HG734" s="2909"/>
      <c r="HH734" s="2909"/>
      <c r="HI734" s="2909"/>
      <c r="HJ734" s="2909"/>
      <c r="HK734" s="2909"/>
      <c r="HL734" s="2909"/>
      <c r="HM734" s="2909"/>
      <c r="HN734" s="2909"/>
      <c r="HO734" s="2909"/>
      <c r="HP734" s="2909"/>
      <c r="HQ734" s="2909"/>
      <c r="HR734" s="2909"/>
      <c r="HS734" s="2909"/>
      <c r="HT734" s="2909"/>
      <c r="HU734" s="2909"/>
      <c r="HV734" s="2909"/>
      <c r="HW734" s="2909"/>
      <c r="HX734" s="2909"/>
      <c r="HY734" s="2909"/>
      <c r="HZ734" s="2909"/>
      <c r="IA734" s="2909"/>
      <c r="IB734" s="2909"/>
      <c r="IC734" s="2909"/>
      <c r="IJ734" s="2907"/>
      <c r="IK734" s="2907"/>
      <c r="JA734" s="2907"/>
    </row>
    <row r="735" spans="1:261" ht="12" customHeight="1">
      <c r="C735" s="524"/>
      <c r="D735" s="521"/>
      <c r="E735" s="521"/>
      <c r="F735" s="521"/>
      <c r="G735" s="522" t="s">
        <v>120</v>
      </c>
      <c r="H735" s="2975">
        <f>CD668</f>
        <v>0</v>
      </c>
      <c r="I735" s="2975">
        <f>CE668</f>
        <v>637</v>
      </c>
      <c r="J735" s="2975">
        <f>CF668</f>
        <v>5022</v>
      </c>
      <c r="K735" s="2975">
        <f>CG668</f>
        <v>2200</v>
      </c>
      <c r="L735" s="2975">
        <f>CH668</f>
        <v>0</v>
      </c>
      <c r="M735" s="2975">
        <f t="shared" si="273"/>
        <v>7859</v>
      </c>
      <c r="N735" s="521"/>
      <c r="Q735" s="2959">
        <f t="shared" si="274"/>
        <v>7859</v>
      </c>
      <c r="R735" s="2959"/>
      <c r="S735" s="2959"/>
      <c r="T735" s="2944"/>
      <c r="U735" s="2944"/>
      <c r="V735" s="524"/>
      <c r="W735" s="521"/>
      <c r="X735" s="521"/>
      <c r="Y735" s="521"/>
      <c r="Z735" s="522"/>
      <c r="AA735" s="523"/>
      <c r="AB735" s="523"/>
      <c r="AC735" s="523"/>
      <c r="AD735" s="523"/>
      <c r="AE735" s="523"/>
      <c r="AF735" s="523"/>
      <c r="AG735" s="521"/>
      <c r="AH735" s="521"/>
      <c r="GS735" s="2909"/>
      <c r="GX735" s="2909"/>
      <c r="GY735" s="2909"/>
      <c r="GZ735" s="2909"/>
      <c r="HA735" s="2909"/>
      <c r="HB735" s="2909"/>
      <c r="HC735" s="2909"/>
      <c r="HD735" s="2909"/>
      <c r="HE735" s="2909"/>
      <c r="HF735" s="2909"/>
      <c r="HG735" s="2909"/>
      <c r="HH735" s="2909"/>
      <c r="HI735" s="2909"/>
      <c r="HJ735" s="2909"/>
      <c r="HK735" s="2909"/>
      <c r="HL735" s="2909"/>
      <c r="HM735" s="2909"/>
      <c r="HN735" s="2909"/>
      <c r="HO735" s="2909"/>
      <c r="HP735" s="2909"/>
      <c r="HQ735" s="2909"/>
      <c r="HR735" s="2909"/>
      <c r="HS735" s="2909"/>
      <c r="HT735" s="2909"/>
      <c r="HU735" s="2909"/>
      <c r="HV735" s="2909"/>
      <c r="HW735" s="2909"/>
      <c r="HX735" s="2909"/>
      <c r="HY735" s="2909"/>
      <c r="HZ735" s="2909"/>
      <c r="IA735" s="2909"/>
      <c r="IB735" s="2909"/>
      <c r="IC735" s="2909"/>
      <c r="IJ735" s="2907"/>
      <c r="IK735" s="2907"/>
      <c r="JA735" s="2907"/>
    </row>
    <row r="736" spans="1:261" ht="12" customHeight="1">
      <c r="C736" s="524"/>
      <c r="D736" s="521"/>
      <c r="E736" s="521"/>
      <c r="F736" s="521"/>
      <c r="G736" s="522" t="s">
        <v>562</v>
      </c>
      <c r="H736" s="2975">
        <f>SUM(H734:H735)</f>
        <v>0</v>
      </c>
      <c r="I736" s="2975">
        <f>SUM(I734:I735)</f>
        <v>2461</v>
      </c>
      <c r="J736" s="2975">
        <f>SUM(J734:J735)</f>
        <v>25110</v>
      </c>
      <c r="K736" s="2975">
        <f>SUM(K734:K735)</f>
        <v>8800</v>
      </c>
      <c r="L736" s="2975">
        <f>SUM(L734:L735)</f>
        <v>0</v>
      </c>
      <c r="M736" s="2975">
        <f t="shared" si="273"/>
        <v>36371</v>
      </c>
      <c r="N736" s="521"/>
      <c r="Q736" s="2959">
        <f t="shared" si="274"/>
        <v>36371</v>
      </c>
      <c r="R736" s="2959"/>
      <c r="S736" s="2959"/>
      <c r="T736" s="2944"/>
      <c r="U736" s="2944"/>
      <c r="V736" s="524"/>
      <c r="W736" s="521"/>
      <c r="X736" s="521"/>
      <c r="Y736" s="521"/>
      <c r="Z736" s="522"/>
      <c r="AA736" s="523"/>
      <c r="AB736" s="523"/>
      <c r="AC736" s="523"/>
      <c r="AD736" s="523"/>
      <c r="AE736" s="523"/>
      <c r="AF736" s="523"/>
      <c r="AG736" s="521"/>
      <c r="AH736" s="521"/>
      <c r="GS736" s="2909"/>
      <c r="GX736" s="2909"/>
      <c r="GY736" s="2909"/>
      <c r="GZ736" s="2909"/>
      <c r="HA736" s="2909"/>
      <c r="HB736" s="2909"/>
      <c r="HC736" s="2909"/>
      <c r="HD736" s="2909"/>
      <c r="HE736" s="2909"/>
      <c r="HF736" s="2909"/>
      <c r="HG736" s="2909"/>
      <c r="HH736" s="2909"/>
      <c r="HI736" s="2909"/>
      <c r="HJ736" s="2909"/>
      <c r="HK736" s="2909"/>
      <c r="HL736" s="2909"/>
      <c r="HM736" s="2909"/>
      <c r="HN736" s="2909"/>
      <c r="HO736" s="2909"/>
      <c r="HP736" s="2909"/>
      <c r="HQ736" s="2909"/>
      <c r="HR736" s="2909"/>
      <c r="HS736" s="2909"/>
      <c r="HT736" s="2909"/>
      <c r="HU736" s="2909"/>
      <c r="HV736" s="2909"/>
      <c r="HW736" s="2909"/>
      <c r="HX736" s="2909"/>
      <c r="HY736" s="2909"/>
      <c r="HZ736" s="2909"/>
      <c r="IA736" s="2909"/>
      <c r="IB736" s="2909"/>
      <c r="IC736" s="2909"/>
      <c r="IJ736" s="2907"/>
      <c r="IK736" s="2907"/>
      <c r="JA736" s="2907"/>
    </row>
    <row r="737" spans="1:262" ht="12" customHeight="1">
      <c r="C737" s="521" t="s">
        <v>316</v>
      </c>
      <c r="D737" s="521"/>
      <c r="E737" s="521"/>
      <c r="F737" s="521"/>
      <c r="G737" s="521"/>
      <c r="H737" s="2975">
        <f>CN668</f>
        <v>0</v>
      </c>
      <c r="I737" s="2975">
        <f>CO668</f>
        <v>0</v>
      </c>
      <c r="J737" s="2975">
        <f>CP668</f>
        <v>0</v>
      </c>
      <c r="K737" s="2975">
        <f>CQ668</f>
        <v>0</v>
      </c>
      <c r="L737" s="2975">
        <f>CR668</f>
        <v>0</v>
      </c>
      <c r="M737" s="2975">
        <f t="shared" si="273"/>
        <v>0</v>
      </c>
      <c r="Q737" s="2959">
        <f t="shared" si="274"/>
        <v>0</v>
      </c>
      <c r="R737" s="2959"/>
      <c r="S737" s="2959"/>
      <c r="T737" s="2944"/>
      <c r="U737" s="2944"/>
      <c r="V737" s="521"/>
      <c r="W737" s="521"/>
      <c r="X737" s="521"/>
      <c r="Y737" s="521"/>
      <c r="Z737" s="521"/>
      <c r="AA737" s="523"/>
      <c r="AB737" s="523"/>
      <c r="AC737" s="523"/>
      <c r="AD737" s="523"/>
      <c r="AE737" s="523"/>
      <c r="AF737" s="523"/>
      <c r="AH737" s="521"/>
      <c r="GS737" s="2909"/>
      <c r="GX737" s="2909"/>
      <c r="GY737" s="2909"/>
      <c r="GZ737" s="2909"/>
      <c r="HA737" s="2909"/>
      <c r="HB737" s="2909"/>
      <c r="HC737" s="2909"/>
      <c r="HD737" s="2909"/>
      <c r="HE737" s="2909"/>
      <c r="HF737" s="2909"/>
      <c r="HG737" s="2909"/>
      <c r="HH737" s="2909"/>
      <c r="HI737" s="2909"/>
      <c r="HJ737" s="2909"/>
      <c r="HK737" s="2909"/>
      <c r="HL737" s="2909"/>
      <c r="HM737" s="2909"/>
      <c r="HN737" s="2909"/>
      <c r="HO737" s="2909"/>
      <c r="HP737" s="2909"/>
      <c r="HQ737" s="2909"/>
      <c r="HR737" s="2909"/>
      <c r="HS737" s="2909"/>
      <c r="HT737" s="2909"/>
      <c r="HU737" s="2909"/>
      <c r="HV737" s="2909"/>
      <c r="HW737" s="2909"/>
      <c r="HX737" s="2909"/>
      <c r="HY737" s="2909"/>
      <c r="HZ737" s="2909"/>
      <c r="IA737" s="2909"/>
      <c r="IB737" s="2909"/>
      <c r="IC737" s="2909"/>
      <c r="IJ737" s="2907"/>
      <c r="IK737" s="2907"/>
      <c r="JA737" s="2907"/>
    </row>
    <row r="738" spans="1:262" ht="12" customHeight="1">
      <c r="C738" s="521" t="s">
        <v>1192</v>
      </c>
      <c r="D738" s="521"/>
      <c r="E738" s="521"/>
      <c r="F738" s="521"/>
      <c r="G738" s="521"/>
      <c r="H738" s="2975">
        <f>SUM(H736:H737)</f>
        <v>0</v>
      </c>
      <c r="I738" s="2975">
        <f>SUM(I736:I737)</f>
        <v>2461</v>
      </c>
      <c r="J738" s="2975">
        <f>SUM(J736:J737)</f>
        <v>25110</v>
      </c>
      <c r="K738" s="2975">
        <f>SUM(K736:K737)</f>
        <v>8800</v>
      </c>
      <c r="L738" s="2975">
        <f>SUM(L736:L737)</f>
        <v>0</v>
      </c>
      <c r="M738" s="2975">
        <f t="shared" si="273"/>
        <v>36371</v>
      </c>
      <c r="Q738" s="2959">
        <f t="shared" si="274"/>
        <v>36371</v>
      </c>
      <c r="R738" s="2959"/>
      <c r="S738" s="2959"/>
      <c r="T738" s="2944"/>
      <c r="U738" s="2944"/>
      <c r="V738" s="521"/>
      <c r="W738" s="521"/>
      <c r="X738" s="521"/>
      <c r="Y738" s="521"/>
      <c r="Z738" s="521"/>
      <c r="AA738" s="523"/>
      <c r="AB738" s="523"/>
      <c r="AC738" s="523"/>
      <c r="AD738" s="523"/>
      <c r="AE738" s="523"/>
      <c r="AF738" s="523"/>
      <c r="AH738" s="521"/>
      <c r="GS738" s="2909"/>
      <c r="GX738" s="2909"/>
      <c r="GY738" s="2909"/>
      <c r="GZ738" s="2909"/>
      <c r="HA738" s="2909"/>
      <c r="HB738" s="2909"/>
      <c r="HC738" s="2909"/>
      <c r="HD738" s="2909"/>
      <c r="HE738" s="2909"/>
      <c r="HF738" s="2909"/>
      <c r="HG738" s="2909"/>
      <c r="HH738" s="2909"/>
      <c r="HI738" s="2909"/>
      <c r="HJ738" s="2909"/>
      <c r="HK738" s="2909"/>
      <c r="HL738" s="2909"/>
      <c r="HM738" s="2909"/>
      <c r="HN738" s="2909"/>
      <c r="HO738" s="2909"/>
      <c r="HP738" s="2909"/>
      <c r="HQ738" s="2909"/>
      <c r="HR738" s="2909"/>
      <c r="HS738" s="2909"/>
      <c r="HT738" s="2909"/>
      <c r="HU738" s="2909"/>
      <c r="HV738" s="2909"/>
      <c r="HW738" s="2909"/>
      <c r="HX738" s="2909"/>
      <c r="HY738" s="2909"/>
      <c r="HZ738" s="2909"/>
      <c r="IA738" s="2909"/>
      <c r="IB738" s="2909"/>
      <c r="IC738" s="2909"/>
      <c r="IJ738" s="2907"/>
      <c r="IK738" s="2907"/>
      <c r="JA738" s="2907"/>
    </row>
    <row r="739" spans="1:262" ht="12" customHeight="1">
      <c r="C739" s="521" t="s">
        <v>2636</v>
      </c>
      <c r="D739" s="521"/>
      <c r="E739" s="521"/>
      <c r="F739" s="521"/>
      <c r="G739" s="521"/>
      <c r="H739" s="2975">
        <f>CX668</f>
        <v>0</v>
      </c>
      <c r="I739" s="2975">
        <f>CY668</f>
        <v>0</v>
      </c>
      <c r="J739" s="2975">
        <f>CZ668</f>
        <v>0</v>
      </c>
      <c r="K739" s="2975">
        <f>DA668</f>
        <v>0</v>
      </c>
      <c r="L739" s="2975">
        <f>DB668</f>
        <v>0</v>
      </c>
      <c r="M739" s="2975">
        <f t="shared" si="273"/>
        <v>0</v>
      </c>
      <c r="Q739" s="2959">
        <f t="shared" si="274"/>
        <v>0</v>
      </c>
      <c r="R739" s="2959"/>
      <c r="S739" s="2959"/>
      <c r="T739" s="2944"/>
      <c r="U739" s="2944"/>
      <c r="V739" s="521"/>
      <c r="W739" s="521"/>
      <c r="X739" s="521"/>
      <c r="Y739" s="521"/>
      <c r="Z739" s="521"/>
      <c r="AA739" s="523"/>
      <c r="AB739" s="523"/>
      <c r="AC739" s="523"/>
      <c r="AD739" s="523"/>
      <c r="AE739" s="523"/>
      <c r="AF739" s="523"/>
      <c r="AH739" s="521"/>
      <c r="GS739" s="2909"/>
      <c r="GX739" s="2909"/>
      <c r="GY739" s="2909"/>
      <c r="GZ739" s="2909"/>
      <c r="HA739" s="2909"/>
      <c r="HB739" s="2909"/>
      <c r="HC739" s="2909"/>
      <c r="HD739" s="2909"/>
      <c r="HE739" s="2909"/>
      <c r="HF739" s="2909"/>
      <c r="HG739" s="2909"/>
      <c r="HH739" s="2909"/>
      <c r="HI739" s="2909"/>
      <c r="HJ739" s="2909"/>
      <c r="HK739" s="2909"/>
      <c r="HL739" s="2909"/>
      <c r="HM739" s="2909"/>
      <c r="HN739" s="2909"/>
      <c r="HO739" s="2909"/>
      <c r="HP739" s="2909"/>
      <c r="HQ739" s="2909"/>
      <c r="HR739" s="2909"/>
      <c r="HS739" s="2909"/>
      <c r="HT739" s="2909"/>
      <c r="HU739" s="2909"/>
      <c r="HV739" s="2909"/>
      <c r="HW739" s="2909"/>
      <c r="HX739" s="2909"/>
      <c r="HY739" s="2909"/>
      <c r="HZ739" s="2909"/>
      <c r="IA739" s="2909"/>
      <c r="IB739" s="2909"/>
      <c r="IC739" s="2909"/>
      <c r="IJ739" s="2907"/>
      <c r="IK739" s="2907"/>
      <c r="JA739" s="2907"/>
    </row>
    <row r="740" spans="1:262" ht="12" customHeight="1">
      <c r="C740" s="521" t="s">
        <v>562</v>
      </c>
      <c r="D740" s="521"/>
      <c r="E740" s="521"/>
      <c r="F740" s="521"/>
      <c r="G740" s="521"/>
      <c r="H740" s="2975">
        <f>SUM(H738:H739)</f>
        <v>0</v>
      </c>
      <c r="I740" s="2975">
        <f>SUM(I738:I739)</f>
        <v>2461</v>
      </c>
      <c r="J740" s="2975">
        <f>SUM(J738:J739)</f>
        <v>25110</v>
      </c>
      <c r="K740" s="2975">
        <f>SUM(K738:K739)</f>
        <v>8800</v>
      </c>
      <c r="L740" s="2975">
        <f>SUM(L738:L739)</f>
        <v>0</v>
      </c>
      <c r="M740" s="2975">
        <f t="shared" si="273"/>
        <v>36371</v>
      </c>
      <c r="Q740" s="2959">
        <f t="shared" si="274"/>
        <v>36371</v>
      </c>
      <c r="R740" s="2959"/>
      <c r="S740" s="2959"/>
      <c r="T740" s="2944"/>
      <c r="U740" s="2944"/>
      <c r="V740" s="521"/>
      <c r="W740" s="521"/>
      <c r="X740" s="521"/>
      <c r="Y740" s="521"/>
      <c r="Z740" s="521"/>
      <c r="AA740" s="523"/>
      <c r="AB740" s="523"/>
      <c r="AC740" s="523"/>
      <c r="AD740" s="523"/>
      <c r="AE740" s="523"/>
      <c r="AF740" s="523"/>
      <c r="AH740" s="521"/>
      <c r="GS740" s="2909"/>
      <c r="GX740" s="2909"/>
      <c r="GY740" s="2909"/>
      <c r="GZ740" s="2909"/>
      <c r="HA740" s="2909"/>
      <c r="HB740" s="2909"/>
      <c r="HC740" s="2909"/>
      <c r="HD740" s="2909"/>
      <c r="HE740" s="2909"/>
      <c r="HF740" s="2909"/>
      <c r="HG740" s="2909"/>
      <c r="HH740" s="2909"/>
      <c r="HI740" s="2909"/>
      <c r="HJ740" s="2909"/>
      <c r="HK740" s="2909"/>
      <c r="HL740" s="2909"/>
      <c r="HM740" s="2909"/>
      <c r="HN740" s="2909"/>
      <c r="HO740" s="2909"/>
      <c r="HP740" s="2909"/>
      <c r="HQ740" s="2909"/>
      <c r="HR740" s="2909"/>
      <c r="HS740" s="2909"/>
      <c r="HT740" s="2909"/>
      <c r="HU740" s="2909"/>
      <c r="HV740" s="2909"/>
      <c r="HW740" s="2909"/>
      <c r="HX740" s="2909"/>
      <c r="HY740" s="2909"/>
      <c r="HZ740" s="2909"/>
      <c r="IA740" s="2909"/>
      <c r="IB740" s="2909"/>
      <c r="IC740" s="2909"/>
      <c r="IJ740" s="2907"/>
      <c r="IK740" s="2907"/>
      <c r="JA740" s="2907"/>
    </row>
    <row r="741" spans="1:262" ht="4.5" customHeight="1">
      <c r="B741" s="2907"/>
      <c r="O741" s="521"/>
      <c r="P741" s="521"/>
      <c r="GS741" s="2909"/>
      <c r="GX741" s="2909"/>
      <c r="GY741" s="2909"/>
      <c r="GZ741" s="2909"/>
      <c r="HA741" s="2909"/>
      <c r="HB741" s="2909"/>
      <c r="HC741" s="2909"/>
      <c r="HD741" s="2909"/>
      <c r="HE741" s="2909"/>
      <c r="HF741" s="2909"/>
      <c r="HG741" s="2909"/>
      <c r="HH741" s="2909"/>
      <c r="HI741" s="2909"/>
      <c r="HJ741" s="2909"/>
      <c r="HK741" s="2909"/>
      <c r="HL741" s="2909"/>
      <c r="HM741" s="2909"/>
      <c r="HN741" s="2909"/>
      <c r="HO741" s="2909"/>
      <c r="HP741" s="2909"/>
      <c r="HQ741" s="2909"/>
      <c r="HR741" s="2909"/>
      <c r="HS741" s="2909"/>
      <c r="HT741" s="2909"/>
      <c r="HU741" s="2909"/>
      <c r="HV741" s="2909"/>
      <c r="HW741" s="2909"/>
      <c r="HX741" s="2909"/>
      <c r="HY741" s="2909"/>
      <c r="HZ741" s="2909"/>
      <c r="IA741" s="2909"/>
      <c r="IB741" s="2909"/>
      <c r="IC741" s="2909"/>
      <c r="IJ741" s="2907"/>
      <c r="IK741" s="2907"/>
      <c r="JA741" s="2907"/>
    </row>
    <row r="742" spans="1:262" ht="13.9" customHeight="1">
      <c r="A742" s="2907" t="s">
        <v>781</v>
      </c>
      <c r="B742" s="2907" t="s">
        <v>4605</v>
      </c>
      <c r="Q742" s="521"/>
      <c r="R742" s="521"/>
      <c r="S742" s="521"/>
      <c r="T742" s="2907" t="s">
        <v>1937</v>
      </c>
      <c r="GY742" s="2909"/>
      <c r="GZ742" s="2909"/>
      <c r="HA742" s="2909"/>
      <c r="HB742" s="2909"/>
      <c r="HC742" s="2909"/>
      <c r="HD742" s="2909"/>
      <c r="HE742" s="2909"/>
      <c r="HF742" s="2909"/>
      <c r="HG742" s="2909"/>
      <c r="HH742" s="2909"/>
      <c r="HI742" s="2909"/>
      <c r="HJ742" s="2909"/>
      <c r="HK742" s="2909"/>
      <c r="HL742" s="2909"/>
      <c r="HM742" s="2909"/>
      <c r="HN742" s="2909"/>
      <c r="HO742" s="2909"/>
      <c r="HP742" s="2909"/>
      <c r="HQ742" s="2909"/>
      <c r="HR742" s="2909"/>
      <c r="HS742" s="2909"/>
      <c r="HT742" s="2909"/>
      <c r="HU742" s="2909"/>
      <c r="HV742" s="2909"/>
      <c r="HW742" s="2909"/>
      <c r="HX742" s="2909"/>
      <c r="HY742" s="2909"/>
      <c r="HZ742" s="2909"/>
      <c r="IA742" s="2909"/>
      <c r="IB742" s="2909"/>
      <c r="IC742" s="2909"/>
      <c r="ID742" s="2909"/>
      <c r="IK742" s="2907"/>
      <c r="JA742" s="2907"/>
      <c r="JB742" s="2907"/>
    </row>
    <row r="743" spans="1:262" ht="2.25" customHeight="1">
      <c r="P743" s="521"/>
      <c r="GS743" s="2909"/>
      <c r="GX743" s="2909"/>
      <c r="GY743" s="2909"/>
      <c r="GZ743" s="2909"/>
      <c r="HA743" s="2909"/>
      <c r="HB743" s="2909"/>
      <c r="HC743" s="2909"/>
      <c r="HD743" s="2909"/>
      <c r="HE743" s="2909"/>
      <c r="HF743" s="2909"/>
      <c r="HG743" s="2909"/>
      <c r="HH743" s="2909"/>
      <c r="HI743" s="2909"/>
      <c r="HJ743" s="2909"/>
      <c r="HK743" s="2909"/>
      <c r="HL743" s="2909"/>
      <c r="HM743" s="2909"/>
      <c r="HN743" s="2909"/>
      <c r="HO743" s="2909"/>
      <c r="HP743" s="2909"/>
      <c r="HQ743" s="2909"/>
      <c r="HR743" s="2909"/>
      <c r="HS743" s="2909"/>
      <c r="HT743" s="2909"/>
      <c r="HU743" s="2909"/>
      <c r="HV743" s="2909"/>
      <c r="HW743" s="2909"/>
      <c r="HX743" s="2909"/>
      <c r="HY743" s="2909"/>
      <c r="HZ743" s="2909"/>
      <c r="IA743" s="2909"/>
      <c r="IB743" s="2909"/>
      <c r="IC743" s="2909"/>
      <c r="IJ743" s="2907"/>
      <c r="IZ743" s="2907"/>
      <c r="JA743" s="2907"/>
    </row>
    <row r="744" spans="1:262" ht="12" customHeight="1">
      <c r="B744" s="2907" t="s">
        <v>1065</v>
      </c>
      <c r="D744" s="525"/>
      <c r="H744" s="2976">
        <f>'Part VI-Revenues &amp; Expenses'!H124</f>
        <v>4056</v>
      </c>
      <c r="I744" s="2976"/>
      <c r="K744" s="2977" t="s">
        <v>4606</v>
      </c>
      <c r="O744" s="2978">
        <f>H744/L669</f>
        <v>0.02</v>
      </c>
      <c r="P744" s="525"/>
      <c r="T744" s="524" t="str">
        <f>B744</f>
        <v>Ancillary Income</v>
      </c>
      <c r="GS744" s="2909"/>
      <c r="GX744" s="2909"/>
      <c r="GY744" s="2909"/>
      <c r="GZ744" s="2909"/>
      <c r="HA744" s="2909"/>
      <c r="HB744" s="2909"/>
      <c r="HC744" s="2909"/>
      <c r="HD744" s="2909"/>
      <c r="HE744" s="2909"/>
      <c r="HF744" s="2909"/>
      <c r="HG744" s="2909"/>
      <c r="HH744" s="2909"/>
      <c r="HI744" s="2909"/>
      <c r="HJ744" s="2909"/>
      <c r="HK744" s="2909"/>
      <c r="HL744" s="2909"/>
      <c r="HM744" s="2909"/>
      <c r="HN744" s="2909"/>
      <c r="HO744" s="2909"/>
      <c r="HP744" s="2909"/>
      <c r="HQ744" s="2909"/>
      <c r="HR744" s="2909"/>
      <c r="HS744" s="2909"/>
      <c r="HT744" s="2909"/>
      <c r="HU744" s="2909"/>
      <c r="HV744" s="2909"/>
      <c r="HW744" s="2909"/>
      <c r="HX744" s="2909"/>
      <c r="HY744" s="2909"/>
      <c r="HZ744" s="2909"/>
      <c r="IA744" s="2909"/>
      <c r="IB744" s="2909"/>
      <c r="IC744" s="2909"/>
      <c r="IJ744" s="2907"/>
      <c r="IZ744" s="2907"/>
      <c r="JA744" s="2907"/>
    </row>
    <row r="745" spans="1:262" ht="2.25" customHeight="1">
      <c r="B745" s="2907"/>
      <c r="D745" s="525"/>
      <c r="E745" s="2979"/>
      <c r="I745" s="2980"/>
      <c r="P745" s="525"/>
      <c r="GS745" s="2909"/>
      <c r="GX745" s="2909"/>
      <c r="GY745" s="2909"/>
      <c r="GZ745" s="2909"/>
      <c r="HA745" s="2909"/>
      <c r="HB745" s="2909"/>
      <c r="HC745" s="2909"/>
      <c r="HD745" s="2909"/>
      <c r="HE745" s="2909"/>
      <c r="HF745" s="2909"/>
      <c r="HG745" s="2909"/>
      <c r="HH745" s="2909"/>
      <c r="HI745" s="2909"/>
      <c r="HJ745" s="2909"/>
      <c r="HK745" s="2909"/>
      <c r="HL745" s="2909"/>
      <c r="HM745" s="2909"/>
      <c r="HN745" s="2909"/>
      <c r="HO745" s="2909"/>
      <c r="HP745" s="2909"/>
      <c r="HQ745" s="2909"/>
      <c r="HR745" s="2909"/>
      <c r="HS745" s="2909"/>
      <c r="HT745" s="2909"/>
      <c r="HU745" s="2909"/>
      <c r="HV745" s="2909"/>
      <c r="HW745" s="2909"/>
      <c r="HX745" s="2909"/>
      <c r="HY745" s="2909"/>
      <c r="HZ745" s="2909"/>
      <c r="IA745" s="2909"/>
      <c r="IB745" s="2909"/>
      <c r="IC745" s="2909"/>
      <c r="IJ745" s="2907"/>
      <c r="IZ745" s="2907"/>
      <c r="JA745" s="2907"/>
    </row>
    <row r="746" spans="1:262" ht="12" customHeight="1">
      <c r="B746" s="2907" t="s">
        <v>1518</v>
      </c>
      <c r="I746" s="2907"/>
      <c r="K746" s="2981"/>
      <c r="T746" s="524" t="str">
        <f>B746</f>
        <v>Other Income (OI) by Year:</v>
      </c>
      <c r="GS746" s="2909"/>
      <c r="GX746" s="2909"/>
      <c r="GY746" s="2909"/>
      <c r="GZ746" s="2909"/>
      <c r="HA746" s="2909"/>
      <c r="HB746" s="2909"/>
      <c r="HC746" s="2909"/>
      <c r="HD746" s="2909"/>
      <c r="HE746" s="2909"/>
      <c r="HF746" s="2909"/>
      <c r="HG746" s="2909"/>
      <c r="HH746" s="2909"/>
      <c r="HI746" s="2909"/>
      <c r="HJ746" s="2909"/>
      <c r="HK746" s="2909"/>
      <c r="HL746" s="2909"/>
      <c r="HM746" s="2909"/>
      <c r="HN746" s="2909"/>
      <c r="HO746" s="2909"/>
      <c r="HP746" s="2909"/>
      <c r="HQ746" s="2909"/>
      <c r="HR746" s="2909"/>
      <c r="HS746" s="2909"/>
      <c r="HT746" s="2909"/>
      <c r="HU746" s="2909"/>
      <c r="HV746" s="2909"/>
      <c r="HW746" s="2909"/>
      <c r="HX746" s="2909"/>
      <c r="HY746" s="2909"/>
      <c r="HZ746" s="2909"/>
      <c r="IA746" s="2909"/>
      <c r="IB746" s="2909"/>
      <c r="IC746" s="2909"/>
      <c r="IJ746" s="2907"/>
      <c r="IZ746" s="2907"/>
      <c r="JA746" s="2907"/>
    </row>
    <row r="747" spans="1:262" ht="12.75" customHeight="1">
      <c r="B747" s="2982" t="s">
        <v>2394</v>
      </c>
      <c r="G747" s="2983">
        <v>1</v>
      </c>
      <c r="H747" s="2983">
        <v>2</v>
      </c>
      <c r="I747" s="2983">
        <v>3</v>
      </c>
      <c r="J747" s="2983">
        <v>4</v>
      </c>
      <c r="K747" s="2983">
        <v>5</v>
      </c>
      <c r="L747" s="2983">
        <v>6</v>
      </c>
      <c r="M747" s="2983">
        <v>7</v>
      </c>
      <c r="N747" s="2983">
        <v>8</v>
      </c>
      <c r="O747" s="2983">
        <v>9</v>
      </c>
      <c r="P747" s="2983">
        <v>10</v>
      </c>
      <c r="T747" s="521" t="str">
        <f>B747</f>
        <v>Included in Mgt Fee:</v>
      </c>
      <c r="GS747" s="2909"/>
      <c r="GX747" s="2909"/>
      <c r="GY747" s="2909"/>
      <c r="GZ747" s="2909"/>
      <c r="HA747" s="2909"/>
      <c r="HB747" s="2909"/>
      <c r="HC747" s="2909"/>
      <c r="HD747" s="2909"/>
      <c r="HE747" s="2909"/>
      <c r="HF747" s="2909"/>
      <c r="HG747" s="2909"/>
      <c r="HH747" s="2909"/>
      <c r="HI747" s="2909"/>
      <c r="HJ747" s="2909"/>
      <c r="HK747" s="2909"/>
      <c r="HL747" s="2909"/>
      <c r="HM747" s="2909"/>
      <c r="HN747" s="2909"/>
      <c r="HO747" s="2909"/>
      <c r="HP747" s="2909"/>
      <c r="HQ747" s="2909"/>
      <c r="HR747" s="2909"/>
      <c r="HS747" s="2909"/>
      <c r="HT747" s="2909"/>
      <c r="HU747" s="2909"/>
      <c r="HV747" s="2909"/>
      <c r="HW747" s="2909"/>
      <c r="HX747" s="2909"/>
      <c r="HY747" s="2909"/>
      <c r="HZ747" s="2909"/>
      <c r="IA747" s="2909"/>
      <c r="IB747" s="2909"/>
      <c r="IC747" s="2909"/>
      <c r="IJ747" s="2907"/>
      <c r="IZ747" s="2907"/>
      <c r="JA747" s="2907"/>
    </row>
    <row r="748" spans="1:262" ht="11.25" customHeight="1">
      <c r="B748" s="521" t="s">
        <v>1066</v>
      </c>
      <c r="C748" s="521"/>
      <c r="D748" s="521"/>
      <c r="E748" s="521"/>
      <c r="F748" s="521"/>
      <c r="G748" s="2984">
        <f>'Part VI-Revenues &amp; Expenses'!G128</f>
        <v>0</v>
      </c>
      <c r="H748" s="2984">
        <f>'Part VI-Revenues &amp; Expenses'!H128</f>
        <v>0</v>
      </c>
      <c r="I748" s="2984">
        <f>'Part VI-Revenues &amp; Expenses'!I128</f>
        <v>0</v>
      </c>
      <c r="J748" s="2984">
        <f>'Part VI-Revenues &amp; Expenses'!J128</f>
        <v>0</v>
      </c>
      <c r="K748" s="2984">
        <f>'Part VI-Revenues &amp; Expenses'!K128</f>
        <v>0</v>
      </c>
      <c r="L748" s="2984">
        <f>'Part VI-Revenues &amp; Expenses'!L128</f>
        <v>0</v>
      </c>
      <c r="M748" s="2984">
        <f>'Part VI-Revenues &amp; Expenses'!M128</f>
        <v>0</v>
      </c>
      <c r="N748" s="2984">
        <f>'Part VI-Revenues &amp; Expenses'!N128</f>
        <v>0</v>
      </c>
      <c r="O748" s="2984">
        <f>'Part VI-Revenues &amp; Expenses'!O128</f>
        <v>0</v>
      </c>
      <c r="P748" s="2984">
        <f>'Part VI-Revenues &amp; Expenses'!P128</f>
        <v>0</v>
      </c>
      <c r="T748" s="2869">
        <f>'Part VI-Revenues &amp; Expenses'!U128</f>
        <v>0</v>
      </c>
      <c r="U748" s="2944"/>
      <c r="GS748" s="2909"/>
      <c r="GX748" s="2909"/>
      <c r="GY748" s="2909"/>
      <c r="GZ748" s="2909"/>
      <c r="HA748" s="2909"/>
      <c r="HB748" s="2909"/>
      <c r="HC748" s="2909"/>
      <c r="HD748" s="2909"/>
      <c r="HE748" s="2909"/>
      <c r="HF748" s="2909"/>
      <c r="HG748" s="2909"/>
      <c r="HH748" s="2909"/>
      <c r="HI748" s="2909"/>
      <c r="HJ748" s="2909"/>
      <c r="HK748" s="2909"/>
      <c r="HL748" s="2909"/>
      <c r="HM748" s="2909"/>
      <c r="HN748" s="2909"/>
      <c r="HO748" s="2909"/>
      <c r="HP748" s="2909"/>
      <c r="HQ748" s="2909"/>
      <c r="HR748" s="2909"/>
      <c r="HS748" s="2909"/>
      <c r="HT748" s="2909"/>
      <c r="HU748" s="2909"/>
      <c r="HV748" s="2909"/>
      <c r="HW748" s="2909"/>
      <c r="HX748" s="2909"/>
      <c r="HY748" s="2909"/>
      <c r="HZ748" s="2909"/>
      <c r="IA748" s="2909"/>
      <c r="IB748" s="2909"/>
      <c r="IC748" s="2909"/>
      <c r="IJ748" s="2907"/>
      <c r="IZ748" s="2907"/>
      <c r="JA748" s="2907"/>
    </row>
    <row r="749" spans="1:262" ht="11.25" customHeight="1">
      <c r="B749" s="521" t="s">
        <v>780</v>
      </c>
      <c r="C749" s="2985">
        <f>'Part VI-Revenues &amp; Expenses'!C129</f>
        <v>0</v>
      </c>
      <c r="D749" s="2985"/>
      <c r="E749" s="2985"/>
      <c r="F749" s="2985"/>
      <c r="G749" s="2984">
        <f>'Part VI-Revenues &amp; Expenses'!G129</f>
        <v>0</v>
      </c>
      <c r="H749" s="2984">
        <f>'Part VI-Revenues &amp; Expenses'!H129</f>
        <v>0</v>
      </c>
      <c r="I749" s="2984">
        <f>'Part VI-Revenues &amp; Expenses'!I129</f>
        <v>0</v>
      </c>
      <c r="J749" s="2984">
        <f>'Part VI-Revenues &amp; Expenses'!J129</f>
        <v>0</v>
      </c>
      <c r="K749" s="2984">
        <f>'Part VI-Revenues &amp; Expenses'!K129</f>
        <v>0</v>
      </c>
      <c r="L749" s="2984">
        <f>'Part VI-Revenues &amp; Expenses'!L129</f>
        <v>0</v>
      </c>
      <c r="M749" s="2984">
        <f>'Part VI-Revenues &amp; Expenses'!M129</f>
        <v>0</v>
      </c>
      <c r="N749" s="2984">
        <f>'Part VI-Revenues &amp; Expenses'!N129</f>
        <v>0</v>
      </c>
      <c r="O749" s="2984">
        <f>'Part VI-Revenues &amp; Expenses'!O129</f>
        <v>0</v>
      </c>
      <c r="P749" s="2984">
        <f>'Part VI-Revenues &amp; Expenses'!P129</f>
        <v>0</v>
      </c>
      <c r="T749" s="2944"/>
      <c r="U749" s="2944"/>
      <c r="GS749" s="2909"/>
      <c r="GX749" s="2909"/>
      <c r="GY749" s="2909"/>
      <c r="GZ749" s="2909"/>
      <c r="HA749" s="2909"/>
      <c r="HB749" s="2909"/>
      <c r="HC749" s="2909"/>
      <c r="HD749" s="2909"/>
      <c r="HE749" s="2909"/>
      <c r="HF749" s="2909"/>
      <c r="HG749" s="2909"/>
      <c r="HH749" s="2909"/>
      <c r="HI749" s="2909"/>
      <c r="HJ749" s="2909"/>
      <c r="HK749" s="2909"/>
      <c r="HL749" s="2909"/>
      <c r="HM749" s="2909"/>
      <c r="HN749" s="2909"/>
      <c r="HO749" s="2909"/>
      <c r="HP749" s="2909"/>
      <c r="HQ749" s="2909"/>
      <c r="HR749" s="2909"/>
      <c r="HS749" s="2909"/>
      <c r="HT749" s="2909"/>
      <c r="HU749" s="2909"/>
      <c r="HV749" s="2909"/>
      <c r="HW749" s="2909"/>
      <c r="HX749" s="2909"/>
      <c r="HY749" s="2909"/>
      <c r="HZ749" s="2909"/>
      <c r="IA749" s="2909"/>
      <c r="IB749" s="2909"/>
      <c r="IC749" s="2909"/>
      <c r="IJ749" s="2907"/>
      <c r="IZ749" s="2907"/>
      <c r="JA749" s="2907"/>
    </row>
    <row r="750" spans="1:262" ht="11.25" customHeight="1">
      <c r="B750" s="521"/>
      <c r="C750" s="525" t="s">
        <v>971</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44"/>
      <c r="U750" s="2944"/>
      <c r="GS750" s="2909"/>
      <c r="GX750" s="2909"/>
      <c r="GY750" s="2909"/>
      <c r="GZ750" s="2909"/>
      <c r="HA750" s="2909"/>
      <c r="HB750" s="2909"/>
      <c r="HC750" s="2909"/>
      <c r="HD750" s="2909"/>
      <c r="HE750" s="2909"/>
      <c r="HF750" s="2909"/>
      <c r="HG750" s="2909"/>
      <c r="HH750" s="2909"/>
      <c r="HI750" s="2909"/>
      <c r="HJ750" s="2909"/>
      <c r="HK750" s="2909"/>
      <c r="HL750" s="2909"/>
      <c r="HM750" s="2909"/>
      <c r="HN750" s="2909"/>
      <c r="HO750" s="2909"/>
      <c r="HP750" s="2909"/>
      <c r="HQ750" s="2909"/>
      <c r="HR750" s="2909"/>
      <c r="HS750" s="2909"/>
      <c r="HT750" s="2909"/>
      <c r="HU750" s="2909"/>
      <c r="HV750" s="2909"/>
      <c r="HW750" s="2909"/>
      <c r="HX750" s="2909"/>
      <c r="HY750" s="2909"/>
      <c r="HZ750" s="2909"/>
      <c r="IA750" s="2909"/>
      <c r="IB750" s="2909"/>
      <c r="IC750" s="2909"/>
      <c r="IJ750" s="2907"/>
      <c r="IZ750" s="2907"/>
      <c r="JA750" s="2907"/>
    </row>
    <row r="751" spans="1:262" ht="12" customHeight="1">
      <c r="B751" s="2982" t="s">
        <v>4607</v>
      </c>
      <c r="G751" s="2986"/>
      <c r="T751" s="521" t="str">
        <f>B751</f>
        <v>NOT Included in Mgt Fee:</v>
      </c>
      <c r="GS751" s="2909"/>
      <c r="GX751" s="2909"/>
      <c r="GY751" s="2909"/>
      <c r="GZ751" s="2909"/>
      <c r="HA751" s="2909"/>
      <c r="HB751" s="2909"/>
      <c r="HC751" s="2909"/>
      <c r="HD751" s="2909"/>
      <c r="HE751" s="2909"/>
      <c r="HF751" s="2909"/>
      <c r="HG751" s="2909"/>
      <c r="HH751" s="2909"/>
      <c r="HI751" s="2909"/>
      <c r="HJ751" s="2909"/>
      <c r="HK751" s="2909"/>
      <c r="HL751" s="2909"/>
      <c r="HM751" s="2909"/>
      <c r="HN751" s="2909"/>
      <c r="HO751" s="2909"/>
      <c r="HP751" s="2909"/>
      <c r="HQ751" s="2909"/>
      <c r="HR751" s="2909"/>
      <c r="HS751" s="2909"/>
      <c r="HT751" s="2909"/>
      <c r="HU751" s="2909"/>
      <c r="HV751" s="2909"/>
      <c r="HW751" s="2909"/>
      <c r="HX751" s="2909"/>
      <c r="HY751" s="2909"/>
      <c r="HZ751" s="2909"/>
      <c r="IA751" s="2909"/>
      <c r="IB751" s="2909"/>
      <c r="IC751" s="2909"/>
      <c r="IJ751" s="2907"/>
      <c r="IZ751" s="2907"/>
      <c r="JA751" s="2907"/>
    </row>
    <row r="752" spans="1:262" ht="11.25" customHeight="1">
      <c r="B752" s="521" t="s">
        <v>556</v>
      </c>
      <c r="C752" s="521"/>
      <c r="D752" s="521"/>
      <c r="E752" s="521"/>
      <c r="F752" s="521"/>
      <c r="G752" s="2984">
        <f>'Part VI-Revenues &amp; Expenses'!G132</f>
        <v>0</v>
      </c>
      <c r="H752" s="2984">
        <f>'Part VI-Revenues &amp; Expenses'!H132</f>
        <v>0</v>
      </c>
      <c r="I752" s="2984">
        <f>'Part VI-Revenues &amp; Expenses'!I132</f>
        <v>0</v>
      </c>
      <c r="J752" s="2984">
        <f>'Part VI-Revenues &amp; Expenses'!J132</f>
        <v>0</v>
      </c>
      <c r="K752" s="2984">
        <f>'Part VI-Revenues &amp; Expenses'!K132</f>
        <v>0</v>
      </c>
      <c r="L752" s="2984">
        <f>'Part VI-Revenues &amp; Expenses'!L132</f>
        <v>0</v>
      </c>
      <c r="M752" s="2984">
        <f>'Part VI-Revenues &amp; Expenses'!M132</f>
        <v>0</v>
      </c>
      <c r="N752" s="2984">
        <f>'Part VI-Revenues &amp; Expenses'!N132</f>
        <v>0</v>
      </c>
      <c r="O752" s="2984">
        <f>'Part VI-Revenues &amp; Expenses'!O132</f>
        <v>0</v>
      </c>
      <c r="P752" s="2984">
        <f>'Part VI-Revenues &amp; Expenses'!P132</f>
        <v>0</v>
      </c>
      <c r="T752" s="2869">
        <f>'Part VI-Revenues &amp; Expenses'!U132</f>
        <v>0</v>
      </c>
      <c r="U752" s="2944"/>
      <c r="GS752" s="2909"/>
      <c r="GX752" s="2909"/>
      <c r="GY752" s="2909"/>
      <c r="GZ752" s="2909"/>
      <c r="HA752" s="2909"/>
      <c r="HB752" s="2909"/>
      <c r="HC752" s="2909"/>
      <c r="HD752" s="2909"/>
      <c r="HE752" s="2909"/>
      <c r="HF752" s="2909"/>
      <c r="HG752" s="2909"/>
      <c r="HH752" s="2909"/>
      <c r="HI752" s="2909"/>
      <c r="HJ752" s="2909"/>
      <c r="HK752" s="2909"/>
      <c r="HL752" s="2909"/>
      <c r="HM752" s="2909"/>
      <c r="HN752" s="2909"/>
      <c r="HO752" s="2909"/>
      <c r="HP752" s="2909"/>
      <c r="HQ752" s="2909"/>
      <c r="HR752" s="2909"/>
      <c r="HS752" s="2909"/>
      <c r="HT752" s="2909"/>
      <c r="HU752" s="2909"/>
      <c r="HV752" s="2909"/>
      <c r="HW752" s="2909"/>
      <c r="HX752" s="2909"/>
      <c r="HY752" s="2909"/>
      <c r="HZ752" s="2909"/>
      <c r="IA752" s="2909"/>
      <c r="IB752" s="2909"/>
      <c r="IC752" s="2909"/>
      <c r="IJ752" s="2907"/>
      <c r="IZ752" s="2907"/>
      <c r="JA752" s="2907"/>
    </row>
    <row r="753" spans="2:261" ht="11.25" customHeight="1">
      <c r="B753" s="521" t="s">
        <v>780</v>
      </c>
      <c r="C753" s="2985" t="str">
        <f>'Part VI-Revenues &amp; Expenses'!C133</f>
        <v>USDA Rent Increase to meet DCR</v>
      </c>
      <c r="D753" s="2985"/>
      <c r="E753" s="2985"/>
      <c r="F753" s="2985"/>
      <c r="G753" s="2984">
        <f>'Part VI-Revenues &amp; Expenses'!G133</f>
        <v>16800</v>
      </c>
      <c r="H753" s="2984">
        <f>'Part VI-Revenues &amp; Expenses'!H133</f>
        <v>17800</v>
      </c>
      <c r="I753" s="2984">
        <f>'Part VI-Revenues &amp; Expenses'!I133</f>
        <v>18800</v>
      </c>
      <c r="J753" s="2984">
        <f>'Part VI-Revenues &amp; Expenses'!J133</f>
        <v>19800</v>
      </c>
      <c r="K753" s="2984">
        <f>'Part VI-Revenues &amp; Expenses'!K133</f>
        <v>21000</v>
      </c>
      <c r="L753" s="2984">
        <f>'Part VI-Revenues &amp; Expenses'!L133</f>
        <v>22300</v>
      </c>
      <c r="M753" s="2984">
        <f>'Part VI-Revenues &amp; Expenses'!M133</f>
        <v>23800</v>
      </c>
      <c r="N753" s="2984">
        <f>'Part VI-Revenues &amp; Expenses'!N133</f>
        <v>25300</v>
      </c>
      <c r="O753" s="2984">
        <f>'Part VI-Revenues &amp; Expenses'!O133</f>
        <v>27000</v>
      </c>
      <c r="P753" s="2984">
        <f>'Part VI-Revenues &amp; Expenses'!P133</f>
        <v>28500</v>
      </c>
      <c r="T753" s="2944"/>
      <c r="U753" s="2944"/>
      <c r="GS753" s="2909"/>
      <c r="GX753" s="2909"/>
      <c r="GY753" s="2909"/>
      <c r="GZ753" s="2909"/>
      <c r="HA753" s="2909"/>
      <c r="HB753" s="2909"/>
      <c r="HC753" s="2909"/>
      <c r="HD753" s="2909"/>
      <c r="HE753" s="2909"/>
      <c r="HF753" s="2909"/>
      <c r="HG753" s="2909"/>
      <c r="HH753" s="2909"/>
      <c r="HI753" s="2909"/>
      <c r="HJ753" s="2909"/>
      <c r="HK753" s="2909"/>
      <c r="HL753" s="2909"/>
      <c r="HM753" s="2909"/>
      <c r="HN753" s="2909"/>
      <c r="HO753" s="2909"/>
      <c r="HP753" s="2909"/>
      <c r="HQ753" s="2909"/>
      <c r="HR753" s="2909"/>
      <c r="HS753" s="2909"/>
      <c r="HT753" s="2909"/>
      <c r="HU753" s="2909"/>
      <c r="HV753" s="2909"/>
      <c r="HW753" s="2909"/>
      <c r="HX753" s="2909"/>
      <c r="HY753" s="2909"/>
      <c r="HZ753" s="2909"/>
      <c r="IA753" s="2909"/>
      <c r="IB753" s="2909"/>
      <c r="IC753" s="2909"/>
      <c r="IJ753" s="2907"/>
      <c r="IZ753" s="2907"/>
      <c r="JA753" s="2907"/>
    </row>
    <row r="754" spans="2:261" ht="11.25" customHeight="1">
      <c r="B754" s="521"/>
      <c r="C754" s="525" t="s">
        <v>4608</v>
      </c>
      <c r="D754" s="521"/>
      <c r="E754" s="521"/>
      <c r="F754" s="521"/>
      <c r="G754" s="523">
        <f t="shared" ref="G754:P754" si="276">SUM(G752:G753)</f>
        <v>16800</v>
      </c>
      <c r="H754" s="523">
        <f t="shared" si="276"/>
        <v>17800</v>
      </c>
      <c r="I754" s="523">
        <f t="shared" si="276"/>
        <v>18800</v>
      </c>
      <c r="J754" s="523">
        <f t="shared" si="276"/>
        <v>19800</v>
      </c>
      <c r="K754" s="523">
        <f t="shared" si="276"/>
        <v>21000</v>
      </c>
      <c r="L754" s="523">
        <f t="shared" si="276"/>
        <v>22300</v>
      </c>
      <c r="M754" s="523">
        <f t="shared" si="276"/>
        <v>23800</v>
      </c>
      <c r="N754" s="523">
        <f t="shared" si="276"/>
        <v>25300</v>
      </c>
      <c r="O754" s="523">
        <f t="shared" si="276"/>
        <v>27000</v>
      </c>
      <c r="P754" s="523">
        <f t="shared" si="276"/>
        <v>28500</v>
      </c>
      <c r="T754" s="2944"/>
      <c r="U754" s="2944"/>
      <c r="GS754" s="2909"/>
      <c r="GX754" s="2909"/>
      <c r="GY754" s="2909"/>
      <c r="GZ754" s="2909"/>
      <c r="HA754" s="2909"/>
      <c r="HB754" s="2909"/>
      <c r="HC754" s="2909"/>
      <c r="HD754" s="2909"/>
      <c r="HE754" s="2909"/>
      <c r="HF754" s="2909"/>
      <c r="HG754" s="2909"/>
      <c r="HH754" s="2909"/>
      <c r="HI754" s="2909"/>
      <c r="HJ754" s="2909"/>
      <c r="HK754" s="2909"/>
      <c r="HL754" s="2909"/>
      <c r="HM754" s="2909"/>
      <c r="HN754" s="2909"/>
      <c r="HO754" s="2909"/>
      <c r="HP754" s="2909"/>
      <c r="HQ754" s="2909"/>
      <c r="HR754" s="2909"/>
      <c r="HS754" s="2909"/>
      <c r="HT754" s="2909"/>
      <c r="HU754" s="2909"/>
      <c r="HV754" s="2909"/>
      <c r="HW754" s="2909"/>
      <c r="HX754" s="2909"/>
      <c r="HY754" s="2909"/>
      <c r="HZ754" s="2909"/>
      <c r="IA754" s="2909"/>
      <c r="IB754" s="2909"/>
      <c r="IC754" s="2909"/>
      <c r="IJ754" s="2907"/>
      <c r="IZ754" s="2907"/>
      <c r="JA754" s="2907"/>
    </row>
    <row r="755" spans="2:261" ht="6" customHeight="1">
      <c r="B755" s="2907"/>
      <c r="G755" s="2986"/>
      <c r="T755" s="2934" t="s">
        <v>2749</v>
      </c>
      <c r="GS755" s="2909"/>
      <c r="GX755" s="2909"/>
      <c r="GY755" s="2909"/>
      <c r="GZ755" s="2909"/>
      <c r="HA755" s="2909"/>
      <c r="HB755" s="2909"/>
      <c r="HC755" s="2909"/>
      <c r="HD755" s="2909"/>
      <c r="HE755" s="2909"/>
      <c r="HF755" s="2909"/>
      <c r="HG755" s="2909"/>
      <c r="HH755" s="2909"/>
      <c r="HI755" s="2909"/>
      <c r="HJ755" s="2909"/>
      <c r="HK755" s="2909"/>
      <c r="HL755" s="2909"/>
      <c r="HM755" s="2909"/>
      <c r="HN755" s="2909"/>
      <c r="HO755" s="2909"/>
      <c r="HP755" s="2909"/>
      <c r="HQ755" s="2909"/>
      <c r="HR755" s="2909"/>
      <c r="HS755" s="2909"/>
      <c r="HT755" s="2909"/>
      <c r="HU755" s="2909"/>
      <c r="HV755" s="2909"/>
      <c r="HW755" s="2909"/>
      <c r="HX755" s="2909"/>
      <c r="HY755" s="2909"/>
      <c r="HZ755" s="2909"/>
      <c r="IA755" s="2909"/>
      <c r="IB755" s="2909"/>
      <c r="IC755" s="2909"/>
      <c r="IJ755" s="2907"/>
      <c r="IZ755" s="2907"/>
      <c r="JA755" s="2907"/>
    </row>
    <row r="756" spans="2:261" ht="12.75" customHeight="1">
      <c r="B756" s="2982" t="s">
        <v>2394</v>
      </c>
      <c r="G756" s="2983">
        <v>11</v>
      </c>
      <c r="H756" s="2983">
        <v>12</v>
      </c>
      <c r="I756" s="2983">
        <v>13</v>
      </c>
      <c r="J756" s="2983">
        <v>14</v>
      </c>
      <c r="K756" s="2983">
        <v>15</v>
      </c>
      <c r="L756" s="2983">
        <v>16</v>
      </c>
      <c r="M756" s="2983">
        <v>17</v>
      </c>
      <c r="N756" s="2983">
        <v>18</v>
      </c>
      <c r="O756" s="2983">
        <v>19</v>
      </c>
      <c r="P756" s="2983">
        <v>20</v>
      </c>
      <c r="T756" s="521" t="str">
        <f>B756</f>
        <v>Included in Mgt Fee:</v>
      </c>
      <c r="GS756" s="2909"/>
      <c r="GX756" s="2909"/>
      <c r="GY756" s="2909"/>
      <c r="GZ756" s="2909"/>
      <c r="HA756" s="2909"/>
      <c r="HB756" s="2909"/>
      <c r="HC756" s="2909"/>
      <c r="HD756" s="2909"/>
      <c r="HE756" s="2909"/>
      <c r="HF756" s="2909"/>
      <c r="HG756" s="2909"/>
      <c r="HH756" s="2909"/>
      <c r="HI756" s="2909"/>
      <c r="HJ756" s="2909"/>
      <c r="HK756" s="2909"/>
      <c r="HL756" s="2909"/>
      <c r="HM756" s="2909"/>
      <c r="HN756" s="2909"/>
      <c r="HO756" s="2909"/>
      <c r="HP756" s="2909"/>
      <c r="HQ756" s="2909"/>
      <c r="HR756" s="2909"/>
      <c r="HS756" s="2909"/>
      <c r="HT756" s="2909"/>
      <c r="HU756" s="2909"/>
      <c r="HV756" s="2909"/>
      <c r="HW756" s="2909"/>
      <c r="HX756" s="2909"/>
      <c r="HY756" s="2909"/>
      <c r="HZ756" s="2909"/>
      <c r="IA756" s="2909"/>
      <c r="IB756" s="2909"/>
      <c r="IC756" s="2909"/>
      <c r="IJ756" s="2907"/>
      <c r="IZ756" s="2907"/>
      <c r="JA756" s="2907"/>
    </row>
    <row r="757" spans="2:261" ht="11.25" customHeight="1">
      <c r="B757" s="521" t="s">
        <v>1066</v>
      </c>
      <c r="C757" s="521"/>
      <c r="D757" s="521"/>
      <c r="E757" s="521"/>
      <c r="F757" s="521"/>
      <c r="G757" s="2984">
        <f>'Part VI-Revenues &amp; Expenses'!G137</f>
        <v>0</v>
      </c>
      <c r="H757" s="2984">
        <f>'Part VI-Revenues &amp; Expenses'!H137</f>
        <v>0</v>
      </c>
      <c r="I757" s="2984">
        <f>'Part VI-Revenues &amp; Expenses'!I137</f>
        <v>0</v>
      </c>
      <c r="J757" s="2984">
        <f>'Part VI-Revenues &amp; Expenses'!J137</f>
        <v>0</v>
      </c>
      <c r="K757" s="2984">
        <f>'Part VI-Revenues &amp; Expenses'!K137</f>
        <v>0</v>
      </c>
      <c r="L757" s="2984">
        <f>'Part VI-Revenues &amp; Expenses'!L137</f>
        <v>0</v>
      </c>
      <c r="M757" s="2984">
        <f>'Part VI-Revenues &amp; Expenses'!M137</f>
        <v>0</v>
      </c>
      <c r="N757" s="2984">
        <f>'Part VI-Revenues &amp; Expenses'!N137</f>
        <v>0</v>
      </c>
      <c r="O757" s="2984">
        <f>'Part VI-Revenues &amp; Expenses'!O137</f>
        <v>0</v>
      </c>
      <c r="P757" s="2984">
        <f>'Part VI-Revenues &amp; Expenses'!P137</f>
        <v>0</v>
      </c>
      <c r="T757" s="2869">
        <f>'Part VI-Revenues &amp; Expenses'!U137</f>
        <v>0</v>
      </c>
      <c r="U757" s="2944"/>
      <c r="GS757" s="2909"/>
      <c r="GX757" s="2909"/>
      <c r="GY757" s="2909"/>
      <c r="GZ757" s="2909"/>
      <c r="HA757" s="2909"/>
      <c r="HB757" s="2909"/>
      <c r="HC757" s="2909"/>
      <c r="HD757" s="2909"/>
      <c r="HE757" s="2909"/>
      <c r="HF757" s="2909"/>
      <c r="HG757" s="2909"/>
      <c r="HH757" s="2909"/>
      <c r="HI757" s="2909"/>
      <c r="HJ757" s="2909"/>
      <c r="HK757" s="2909"/>
      <c r="HL757" s="2909"/>
      <c r="HM757" s="2909"/>
      <c r="HN757" s="2909"/>
      <c r="HO757" s="2909"/>
      <c r="HP757" s="2909"/>
      <c r="HQ757" s="2909"/>
      <c r="HR757" s="2909"/>
      <c r="HS757" s="2909"/>
      <c r="HT757" s="2909"/>
      <c r="HU757" s="2909"/>
      <c r="HV757" s="2909"/>
      <c r="HW757" s="2909"/>
      <c r="HX757" s="2909"/>
      <c r="HY757" s="2909"/>
      <c r="HZ757" s="2909"/>
      <c r="IA757" s="2909"/>
      <c r="IB757" s="2909"/>
      <c r="IC757" s="2909"/>
      <c r="IJ757" s="2907"/>
      <c r="IZ757" s="2907"/>
      <c r="JA757" s="2907"/>
    </row>
    <row r="758" spans="2:261" ht="11.25" customHeight="1">
      <c r="B758" s="521" t="s">
        <v>780</v>
      </c>
      <c r="C758" s="2985">
        <f>'Part VI-Revenues &amp; Expenses'!C138</f>
        <v>0</v>
      </c>
      <c r="D758" s="2985"/>
      <c r="E758" s="2985"/>
      <c r="F758" s="2985"/>
      <c r="G758" s="2984">
        <f>'Part VI-Revenues &amp; Expenses'!G138</f>
        <v>0</v>
      </c>
      <c r="H758" s="2984">
        <f>'Part VI-Revenues &amp; Expenses'!H138</f>
        <v>0</v>
      </c>
      <c r="I758" s="2984">
        <f>'Part VI-Revenues &amp; Expenses'!I138</f>
        <v>0</v>
      </c>
      <c r="J758" s="2984">
        <f>'Part VI-Revenues &amp; Expenses'!J138</f>
        <v>0</v>
      </c>
      <c r="K758" s="2984">
        <f>'Part VI-Revenues &amp; Expenses'!K138</f>
        <v>0</v>
      </c>
      <c r="L758" s="2984">
        <f>'Part VI-Revenues &amp; Expenses'!L138</f>
        <v>0</v>
      </c>
      <c r="M758" s="2984">
        <f>'Part VI-Revenues &amp; Expenses'!M138</f>
        <v>0</v>
      </c>
      <c r="N758" s="2984">
        <f>'Part VI-Revenues &amp; Expenses'!N138</f>
        <v>0</v>
      </c>
      <c r="O758" s="2984">
        <f>'Part VI-Revenues &amp; Expenses'!O138</f>
        <v>0</v>
      </c>
      <c r="P758" s="2984">
        <f>'Part VI-Revenues &amp; Expenses'!P138</f>
        <v>0</v>
      </c>
      <c r="T758" s="2944"/>
      <c r="U758" s="2944"/>
      <c r="GS758" s="2909"/>
      <c r="GX758" s="2909"/>
      <c r="GY758" s="2909"/>
      <c r="GZ758" s="2909"/>
      <c r="HA758" s="2909"/>
      <c r="HB758" s="2909"/>
      <c r="HC758" s="2909"/>
      <c r="HD758" s="2909"/>
      <c r="HE758" s="2909"/>
      <c r="HF758" s="2909"/>
      <c r="HG758" s="2909"/>
      <c r="HH758" s="2909"/>
      <c r="HI758" s="2909"/>
      <c r="HJ758" s="2909"/>
      <c r="HK758" s="2909"/>
      <c r="HL758" s="2909"/>
      <c r="HM758" s="2909"/>
      <c r="HN758" s="2909"/>
      <c r="HO758" s="2909"/>
      <c r="HP758" s="2909"/>
      <c r="HQ758" s="2909"/>
      <c r="HR758" s="2909"/>
      <c r="HS758" s="2909"/>
      <c r="HT758" s="2909"/>
      <c r="HU758" s="2909"/>
      <c r="HV758" s="2909"/>
      <c r="HW758" s="2909"/>
      <c r="HX758" s="2909"/>
      <c r="HY758" s="2909"/>
      <c r="HZ758" s="2909"/>
      <c r="IA758" s="2909"/>
      <c r="IB758" s="2909"/>
      <c r="IC758" s="2909"/>
      <c r="IJ758" s="2907"/>
      <c r="IZ758" s="2907"/>
      <c r="JA758" s="2907"/>
    </row>
    <row r="759" spans="2:261" ht="11.25" customHeight="1">
      <c r="B759" s="521"/>
      <c r="C759" s="525" t="s">
        <v>971</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44"/>
      <c r="U759" s="2944"/>
      <c r="GS759" s="2909"/>
      <c r="GX759" s="2909"/>
      <c r="GY759" s="2909"/>
      <c r="GZ759" s="2909"/>
      <c r="HA759" s="2909"/>
      <c r="HB759" s="2909"/>
      <c r="HC759" s="2909"/>
      <c r="HD759" s="2909"/>
      <c r="HE759" s="2909"/>
      <c r="HF759" s="2909"/>
      <c r="HG759" s="2909"/>
      <c r="HH759" s="2909"/>
      <c r="HI759" s="2909"/>
      <c r="HJ759" s="2909"/>
      <c r="HK759" s="2909"/>
      <c r="HL759" s="2909"/>
      <c r="HM759" s="2909"/>
      <c r="HN759" s="2909"/>
      <c r="HO759" s="2909"/>
      <c r="HP759" s="2909"/>
      <c r="HQ759" s="2909"/>
      <c r="HR759" s="2909"/>
      <c r="HS759" s="2909"/>
      <c r="HT759" s="2909"/>
      <c r="HU759" s="2909"/>
      <c r="HV759" s="2909"/>
      <c r="HW759" s="2909"/>
      <c r="HX759" s="2909"/>
      <c r="HY759" s="2909"/>
      <c r="HZ759" s="2909"/>
      <c r="IA759" s="2909"/>
      <c r="IB759" s="2909"/>
      <c r="IC759" s="2909"/>
      <c r="IJ759" s="2907"/>
      <c r="IZ759" s="2907"/>
      <c r="JA759" s="2907"/>
    </row>
    <row r="760" spans="2:261" ht="12" customHeight="1">
      <c r="B760" s="2982" t="s">
        <v>4607</v>
      </c>
      <c r="G760" s="2986"/>
      <c r="T760" s="521" t="str">
        <f>B760</f>
        <v>NOT Included in Mgt Fee:</v>
      </c>
      <c r="GS760" s="2909"/>
      <c r="GX760" s="2909"/>
      <c r="GY760" s="2909"/>
      <c r="GZ760" s="2909"/>
      <c r="HA760" s="2909"/>
      <c r="HB760" s="2909"/>
      <c r="HC760" s="2909"/>
      <c r="HD760" s="2909"/>
      <c r="HE760" s="2909"/>
      <c r="HF760" s="2909"/>
      <c r="HG760" s="2909"/>
      <c r="HH760" s="2909"/>
      <c r="HI760" s="2909"/>
      <c r="HJ760" s="2909"/>
      <c r="HK760" s="2909"/>
      <c r="HL760" s="2909"/>
      <c r="HM760" s="2909"/>
      <c r="HN760" s="2909"/>
      <c r="HO760" s="2909"/>
      <c r="HP760" s="2909"/>
      <c r="HQ760" s="2909"/>
      <c r="HR760" s="2909"/>
      <c r="HS760" s="2909"/>
      <c r="HT760" s="2909"/>
      <c r="HU760" s="2909"/>
      <c r="HV760" s="2909"/>
      <c r="HW760" s="2909"/>
      <c r="HX760" s="2909"/>
      <c r="HY760" s="2909"/>
      <c r="HZ760" s="2909"/>
      <c r="IA760" s="2909"/>
      <c r="IB760" s="2909"/>
      <c r="IC760" s="2909"/>
      <c r="IJ760" s="2907"/>
      <c r="IZ760" s="2907"/>
      <c r="JA760" s="2907"/>
    </row>
    <row r="761" spans="2:261" ht="11.25" customHeight="1">
      <c r="B761" s="521" t="s">
        <v>556</v>
      </c>
      <c r="C761" s="521"/>
      <c r="D761" s="521"/>
      <c r="E761" s="521"/>
      <c r="F761" s="521"/>
      <c r="G761" s="2984">
        <f>'Part VI-Revenues &amp; Expenses'!G141</f>
        <v>0</v>
      </c>
      <c r="H761" s="2984">
        <f>'Part VI-Revenues &amp; Expenses'!H141</f>
        <v>0</v>
      </c>
      <c r="I761" s="2984">
        <f>'Part VI-Revenues &amp; Expenses'!I141</f>
        <v>0</v>
      </c>
      <c r="J761" s="2984">
        <f>'Part VI-Revenues &amp; Expenses'!J141</f>
        <v>0</v>
      </c>
      <c r="K761" s="2984">
        <f>'Part VI-Revenues &amp; Expenses'!K141</f>
        <v>0</v>
      </c>
      <c r="L761" s="2984">
        <f>'Part VI-Revenues &amp; Expenses'!L141</f>
        <v>0</v>
      </c>
      <c r="M761" s="2984">
        <f>'Part VI-Revenues &amp; Expenses'!M141</f>
        <v>0</v>
      </c>
      <c r="N761" s="2984">
        <f>'Part VI-Revenues &amp; Expenses'!N141</f>
        <v>0</v>
      </c>
      <c r="O761" s="2984">
        <f>'Part VI-Revenues &amp; Expenses'!O141</f>
        <v>0</v>
      </c>
      <c r="P761" s="2984">
        <f>'Part VI-Revenues &amp; Expenses'!P141</f>
        <v>0</v>
      </c>
      <c r="T761" s="2869">
        <f>'Part VI-Revenues &amp; Expenses'!U141</f>
        <v>0</v>
      </c>
      <c r="U761" s="2944"/>
      <c r="GS761" s="2909"/>
      <c r="GX761" s="2909"/>
      <c r="GY761" s="2909"/>
      <c r="GZ761" s="2909"/>
      <c r="HA761" s="2909"/>
      <c r="HB761" s="2909"/>
      <c r="HC761" s="2909"/>
      <c r="HD761" s="2909"/>
      <c r="HE761" s="2909"/>
      <c r="HF761" s="2909"/>
      <c r="HG761" s="2909"/>
      <c r="HH761" s="2909"/>
      <c r="HI761" s="2909"/>
      <c r="HJ761" s="2909"/>
      <c r="HK761" s="2909"/>
      <c r="HL761" s="2909"/>
      <c r="HM761" s="2909"/>
      <c r="HN761" s="2909"/>
      <c r="HO761" s="2909"/>
      <c r="HP761" s="2909"/>
      <c r="HQ761" s="2909"/>
      <c r="HR761" s="2909"/>
      <c r="HS761" s="2909"/>
      <c r="HT761" s="2909"/>
      <c r="HU761" s="2909"/>
      <c r="HV761" s="2909"/>
      <c r="HW761" s="2909"/>
      <c r="HX761" s="2909"/>
      <c r="HY761" s="2909"/>
      <c r="HZ761" s="2909"/>
      <c r="IA761" s="2909"/>
      <c r="IB761" s="2909"/>
      <c r="IC761" s="2909"/>
      <c r="IJ761" s="2907"/>
      <c r="IZ761" s="2907"/>
      <c r="JA761" s="2907"/>
    </row>
    <row r="762" spans="2:261" ht="11.25" customHeight="1">
      <c r="B762" s="521" t="s">
        <v>780</v>
      </c>
      <c r="C762" s="2985" t="str">
        <f>'Part VI-Revenues &amp; Expenses'!C142</f>
        <v>USDA Rent Increase to meet DCR</v>
      </c>
      <c r="D762" s="2985"/>
      <c r="E762" s="2985"/>
      <c r="F762" s="2985"/>
      <c r="G762" s="2984">
        <f>'Part VI-Revenues &amp; Expenses'!G142</f>
        <v>30200</v>
      </c>
      <c r="H762" s="2984">
        <f>'Part VI-Revenues &amp; Expenses'!H142</f>
        <v>32000</v>
      </c>
      <c r="I762" s="2984">
        <f>'Part VI-Revenues &amp; Expenses'!I142</f>
        <v>33800</v>
      </c>
      <c r="J762" s="2984">
        <f>'Part VI-Revenues &amp; Expenses'!J142</f>
        <v>36000</v>
      </c>
      <c r="K762" s="2984">
        <f>'Part VI-Revenues &amp; Expenses'!K142</f>
        <v>38000</v>
      </c>
      <c r="L762" s="2984">
        <f>'Part VI-Revenues &amp; Expenses'!L142</f>
        <v>40600</v>
      </c>
      <c r="M762" s="2984">
        <f>'Part VI-Revenues &amp; Expenses'!M142</f>
        <v>42800</v>
      </c>
      <c r="N762" s="2984">
        <f>'Part VI-Revenues &amp; Expenses'!N142</f>
        <v>45200</v>
      </c>
      <c r="O762" s="2984">
        <f>'Part VI-Revenues &amp; Expenses'!O142</f>
        <v>47800</v>
      </c>
      <c r="P762" s="2984">
        <f>'Part VI-Revenues &amp; Expenses'!P142</f>
        <v>50800</v>
      </c>
      <c r="T762" s="2944"/>
      <c r="U762" s="2944"/>
      <c r="GS762" s="2909"/>
      <c r="GX762" s="2909"/>
      <c r="GY762" s="2909"/>
      <c r="GZ762" s="2909"/>
      <c r="HA762" s="2909"/>
      <c r="HB762" s="2909"/>
      <c r="HC762" s="2909"/>
      <c r="HD762" s="2909"/>
      <c r="HE762" s="2909"/>
      <c r="HF762" s="2909"/>
      <c r="HG762" s="2909"/>
      <c r="HH762" s="2909"/>
      <c r="HI762" s="2909"/>
      <c r="HJ762" s="2909"/>
      <c r="HK762" s="2909"/>
      <c r="HL762" s="2909"/>
      <c r="HM762" s="2909"/>
      <c r="HN762" s="2909"/>
      <c r="HO762" s="2909"/>
      <c r="HP762" s="2909"/>
      <c r="HQ762" s="2909"/>
      <c r="HR762" s="2909"/>
      <c r="HS762" s="2909"/>
      <c r="HT762" s="2909"/>
      <c r="HU762" s="2909"/>
      <c r="HV762" s="2909"/>
      <c r="HW762" s="2909"/>
      <c r="HX762" s="2909"/>
      <c r="HY762" s="2909"/>
      <c r="HZ762" s="2909"/>
      <c r="IA762" s="2909"/>
      <c r="IB762" s="2909"/>
      <c r="IC762" s="2909"/>
      <c r="IJ762" s="2907"/>
      <c r="IZ762" s="2907"/>
      <c r="JA762" s="2907"/>
    </row>
    <row r="763" spans="2:261" ht="11.25" customHeight="1">
      <c r="B763" s="521"/>
      <c r="C763" s="525" t="s">
        <v>4608</v>
      </c>
      <c r="D763" s="521"/>
      <c r="E763" s="521"/>
      <c r="F763" s="521"/>
      <c r="G763" s="523">
        <f t="shared" ref="G763:P763" si="278">SUM(G761:G762)</f>
        <v>30200</v>
      </c>
      <c r="H763" s="523">
        <f t="shared" si="278"/>
        <v>32000</v>
      </c>
      <c r="I763" s="523">
        <f t="shared" si="278"/>
        <v>33800</v>
      </c>
      <c r="J763" s="523">
        <f t="shared" si="278"/>
        <v>36000</v>
      </c>
      <c r="K763" s="523">
        <f t="shared" si="278"/>
        <v>38000</v>
      </c>
      <c r="L763" s="523">
        <f t="shared" si="278"/>
        <v>40600</v>
      </c>
      <c r="M763" s="523">
        <f t="shared" si="278"/>
        <v>42800</v>
      </c>
      <c r="N763" s="523">
        <f t="shared" si="278"/>
        <v>45200</v>
      </c>
      <c r="O763" s="523">
        <f t="shared" si="278"/>
        <v>47800</v>
      </c>
      <c r="P763" s="523">
        <f t="shared" si="278"/>
        <v>50800</v>
      </c>
      <c r="T763" s="2944"/>
      <c r="U763" s="2944"/>
      <c r="GS763" s="2909"/>
      <c r="GX763" s="2909"/>
      <c r="GY763" s="2909"/>
      <c r="GZ763" s="2909"/>
      <c r="HA763" s="2909"/>
      <c r="HB763" s="2909"/>
      <c r="HC763" s="2909"/>
      <c r="HD763" s="2909"/>
      <c r="HE763" s="2909"/>
      <c r="HF763" s="2909"/>
      <c r="HG763" s="2909"/>
      <c r="HH763" s="2909"/>
      <c r="HI763" s="2909"/>
      <c r="HJ763" s="2909"/>
      <c r="HK763" s="2909"/>
      <c r="HL763" s="2909"/>
      <c r="HM763" s="2909"/>
      <c r="HN763" s="2909"/>
      <c r="HO763" s="2909"/>
      <c r="HP763" s="2909"/>
      <c r="HQ763" s="2909"/>
      <c r="HR763" s="2909"/>
      <c r="HS763" s="2909"/>
      <c r="HT763" s="2909"/>
      <c r="HU763" s="2909"/>
      <c r="HV763" s="2909"/>
      <c r="HW763" s="2909"/>
      <c r="HX763" s="2909"/>
      <c r="HY763" s="2909"/>
      <c r="HZ763" s="2909"/>
      <c r="IA763" s="2909"/>
      <c r="IB763" s="2909"/>
      <c r="IC763" s="2909"/>
      <c r="IJ763" s="2907"/>
      <c r="IZ763" s="2907"/>
      <c r="JA763" s="2907"/>
    </row>
    <row r="764" spans="2:261" ht="6" customHeight="1">
      <c r="B764" s="2907"/>
      <c r="G764" s="2986"/>
      <c r="T764" s="2934" t="s">
        <v>2750</v>
      </c>
      <c r="GS764" s="2909"/>
      <c r="GX764" s="2909"/>
      <c r="GY764" s="2909"/>
      <c r="GZ764" s="2909"/>
      <c r="HA764" s="2909"/>
      <c r="HB764" s="2909"/>
      <c r="HC764" s="2909"/>
      <c r="HD764" s="2909"/>
      <c r="HE764" s="2909"/>
      <c r="HF764" s="2909"/>
      <c r="HG764" s="2909"/>
      <c r="HH764" s="2909"/>
      <c r="HI764" s="2909"/>
      <c r="HJ764" s="2909"/>
      <c r="HK764" s="2909"/>
      <c r="HL764" s="2909"/>
      <c r="HM764" s="2909"/>
      <c r="HN764" s="2909"/>
      <c r="HO764" s="2909"/>
      <c r="HP764" s="2909"/>
      <c r="HQ764" s="2909"/>
      <c r="HR764" s="2909"/>
      <c r="HS764" s="2909"/>
      <c r="HT764" s="2909"/>
      <c r="HU764" s="2909"/>
      <c r="HV764" s="2909"/>
      <c r="HW764" s="2909"/>
      <c r="HX764" s="2909"/>
      <c r="HY764" s="2909"/>
      <c r="HZ764" s="2909"/>
      <c r="IA764" s="2909"/>
      <c r="IB764" s="2909"/>
      <c r="IC764" s="2909"/>
      <c r="IJ764" s="2907"/>
      <c r="IZ764" s="2907"/>
      <c r="JA764" s="2907"/>
    </row>
    <row r="765" spans="2:261" ht="12.75" customHeight="1">
      <c r="B765" s="2982" t="s">
        <v>2394</v>
      </c>
      <c r="G765" s="2983">
        <v>21</v>
      </c>
      <c r="H765" s="2983">
        <v>22</v>
      </c>
      <c r="I765" s="2983">
        <v>23</v>
      </c>
      <c r="J765" s="2983">
        <v>24</v>
      </c>
      <c r="K765" s="2983">
        <v>25</v>
      </c>
      <c r="L765" s="2983">
        <v>26</v>
      </c>
      <c r="M765" s="2983">
        <v>27</v>
      </c>
      <c r="N765" s="2983">
        <v>28</v>
      </c>
      <c r="O765" s="2983">
        <v>29</v>
      </c>
      <c r="P765" s="2983">
        <v>30</v>
      </c>
      <c r="T765" s="521" t="str">
        <f>B765</f>
        <v>Included in Mgt Fee:</v>
      </c>
      <c r="GS765" s="2909"/>
      <c r="GX765" s="2909"/>
      <c r="GY765" s="2909"/>
      <c r="GZ765" s="2909"/>
      <c r="HA765" s="2909"/>
      <c r="HB765" s="2909"/>
      <c r="HC765" s="2909"/>
      <c r="HD765" s="2909"/>
      <c r="HE765" s="2909"/>
      <c r="HF765" s="2909"/>
      <c r="HG765" s="2909"/>
      <c r="HH765" s="2909"/>
      <c r="HI765" s="2909"/>
      <c r="HJ765" s="2909"/>
      <c r="HK765" s="2909"/>
      <c r="HL765" s="2909"/>
      <c r="HM765" s="2909"/>
      <c r="HN765" s="2909"/>
      <c r="HO765" s="2909"/>
      <c r="HP765" s="2909"/>
      <c r="HQ765" s="2909"/>
      <c r="HR765" s="2909"/>
      <c r="HS765" s="2909"/>
      <c r="HT765" s="2909"/>
      <c r="HU765" s="2909"/>
      <c r="HV765" s="2909"/>
      <c r="HW765" s="2909"/>
      <c r="HX765" s="2909"/>
      <c r="HY765" s="2909"/>
      <c r="HZ765" s="2909"/>
      <c r="IA765" s="2909"/>
      <c r="IB765" s="2909"/>
      <c r="IC765" s="2909"/>
      <c r="IJ765" s="2907"/>
      <c r="IZ765" s="2907"/>
      <c r="JA765" s="2907"/>
    </row>
    <row r="766" spans="2:261" ht="11.25" customHeight="1">
      <c r="B766" s="521" t="s">
        <v>1066</v>
      </c>
      <c r="C766" s="521"/>
      <c r="D766" s="521"/>
      <c r="E766" s="521"/>
      <c r="F766" s="521"/>
      <c r="G766" s="2984">
        <f>'Part VI-Revenues &amp; Expenses'!G146</f>
        <v>0</v>
      </c>
      <c r="H766" s="2984">
        <f>'Part VI-Revenues &amp; Expenses'!H146</f>
        <v>0</v>
      </c>
      <c r="I766" s="2984">
        <f>'Part VI-Revenues &amp; Expenses'!I146</f>
        <v>0</v>
      </c>
      <c r="J766" s="2984">
        <f>'Part VI-Revenues &amp; Expenses'!J146</f>
        <v>0</v>
      </c>
      <c r="K766" s="2984">
        <f>'Part VI-Revenues &amp; Expenses'!K146</f>
        <v>0</v>
      </c>
      <c r="L766" s="2984">
        <f>'Part VI-Revenues &amp; Expenses'!L146</f>
        <v>0</v>
      </c>
      <c r="M766" s="2984">
        <f>'Part VI-Revenues &amp; Expenses'!M146</f>
        <v>0</v>
      </c>
      <c r="N766" s="2984">
        <f>'Part VI-Revenues &amp; Expenses'!N146</f>
        <v>0</v>
      </c>
      <c r="O766" s="2984">
        <f>'Part VI-Revenues &amp; Expenses'!O146</f>
        <v>0</v>
      </c>
      <c r="P766" s="2984">
        <f>'Part VI-Revenues &amp; Expenses'!P146</f>
        <v>0</v>
      </c>
      <c r="T766" s="2869">
        <f>'Part VI-Revenues &amp; Expenses'!U146</f>
        <v>0</v>
      </c>
      <c r="U766" s="2944"/>
      <c r="GS766" s="2909"/>
      <c r="GX766" s="2909"/>
      <c r="GY766" s="2909"/>
      <c r="GZ766" s="2909"/>
      <c r="HA766" s="2909"/>
      <c r="HB766" s="2909"/>
      <c r="HC766" s="2909"/>
      <c r="HD766" s="2909"/>
      <c r="HE766" s="2909"/>
      <c r="HF766" s="2909"/>
      <c r="HG766" s="2909"/>
      <c r="HH766" s="2909"/>
      <c r="HI766" s="2909"/>
      <c r="HJ766" s="2909"/>
      <c r="HK766" s="2909"/>
      <c r="HL766" s="2909"/>
      <c r="HM766" s="2909"/>
      <c r="HN766" s="2909"/>
      <c r="HO766" s="2909"/>
      <c r="HP766" s="2909"/>
      <c r="HQ766" s="2909"/>
      <c r="HR766" s="2909"/>
      <c r="HS766" s="2909"/>
      <c r="HT766" s="2909"/>
      <c r="HU766" s="2909"/>
      <c r="HV766" s="2909"/>
      <c r="HW766" s="2909"/>
      <c r="HX766" s="2909"/>
      <c r="HY766" s="2909"/>
      <c r="HZ766" s="2909"/>
      <c r="IA766" s="2909"/>
      <c r="IB766" s="2909"/>
      <c r="IC766" s="2909"/>
      <c r="IJ766" s="2907"/>
      <c r="IZ766" s="2907"/>
      <c r="JA766" s="2907"/>
    </row>
    <row r="767" spans="2:261" ht="11.25" customHeight="1">
      <c r="B767" s="521" t="s">
        <v>780</v>
      </c>
      <c r="C767" s="2985">
        <f>'Part VI-Revenues &amp; Expenses'!C147</f>
        <v>0</v>
      </c>
      <c r="D767" s="2985"/>
      <c r="E767" s="2985"/>
      <c r="F767" s="2985"/>
      <c r="G767" s="2984">
        <f>'Part VI-Revenues &amp; Expenses'!G147</f>
        <v>0</v>
      </c>
      <c r="H767" s="2984">
        <f>'Part VI-Revenues &amp; Expenses'!H147</f>
        <v>0</v>
      </c>
      <c r="I767" s="2984">
        <f>'Part VI-Revenues &amp; Expenses'!I147</f>
        <v>0</v>
      </c>
      <c r="J767" s="2984">
        <f>'Part VI-Revenues &amp; Expenses'!J147</f>
        <v>0</v>
      </c>
      <c r="K767" s="2984">
        <f>'Part VI-Revenues &amp; Expenses'!K147</f>
        <v>0</v>
      </c>
      <c r="L767" s="2984">
        <f>'Part VI-Revenues &amp; Expenses'!L147</f>
        <v>0</v>
      </c>
      <c r="M767" s="2984">
        <f>'Part VI-Revenues &amp; Expenses'!M147</f>
        <v>0</v>
      </c>
      <c r="N767" s="2984">
        <f>'Part VI-Revenues &amp; Expenses'!N147</f>
        <v>0</v>
      </c>
      <c r="O767" s="2984">
        <f>'Part VI-Revenues &amp; Expenses'!O147</f>
        <v>0</v>
      </c>
      <c r="P767" s="2984">
        <f>'Part VI-Revenues &amp; Expenses'!P147</f>
        <v>0</v>
      </c>
      <c r="T767" s="2944"/>
      <c r="U767" s="2944"/>
      <c r="GS767" s="2909"/>
      <c r="GX767" s="2909"/>
      <c r="GY767" s="2909"/>
      <c r="GZ767" s="2909"/>
      <c r="HA767" s="2909"/>
      <c r="HB767" s="2909"/>
      <c r="HC767" s="2909"/>
      <c r="HD767" s="2909"/>
      <c r="HE767" s="2909"/>
      <c r="HF767" s="2909"/>
      <c r="HG767" s="2909"/>
      <c r="HH767" s="2909"/>
      <c r="HI767" s="2909"/>
      <c r="HJ767" s="2909"/>
      <c r="HK767" s="2909"/>
      <c r="HL767" s="2909"/>
      <c r="HM767" s="2909"/>
      <c r="HN767" s="2909"/>
      <c r="HO767" s="2909"/>
      <c r="HP767" s="2909"/>
      <c r="HQ767" s="2909"/>
      <c r="HR767" s="2909"/>
      <c r="HS767" s="2909"/>
      <c r="HT767" s="2909"/>
      <c r="HU767" s="2909"/>
      <c r="HV767" s="2909"/>
      <c r="HW767" s="2909"/>
      <c r="HX767" s="2909"/>
      <c r="HY767" s="2909"/>
      <c r="HZ767" s="2909"/>
      <c r="IA767" s="2909"/>
      <c r="IB767" s="2909"/>
      <c r="IC767" s="2909"/>
      <c r="IJ767" s="2907"/>
      <c r="IZ767" s="2907"/>
      <c r="JA767" s="2907"/>
    </row>
    <row r="768" spans="2:261" ht="11.25" customHeight="1">
      <c r="B768" s="521"/>
      <c r="C768" s="525" t="s">
        <v>971</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44"/>
      <c r="U768" s="2944"/>
      <c r="GS768" s="2909"/>
      <c r="GX768" s="2909"/>
      <c r="GY768" s="2909"/>
      <c r="GZ768" s="2909"/>
      <c r="HA768" s="2909"/>
      <c r="HB768" s="2909"/>
      <c r="HC768" s="2909"/>
      <c r="HD768" s="2909"/>
      <c r="HE768" s="2909"/>
      <c r="HF768" s="2909"/>
      <c r="HG768" s="2909"/>
      <c r="HH768" s="2909"/>
      <c r="HI768" s="2909"/>
      <c r="HJ768" s="2909"/>
      <c r="HK768" s="2909"/>
      <c r="HL768" s="2909"/>
      <c r="HM768" s="2909"/>
      <c r="HN768" s="2909"/>
      <c r="HO768" s="2909"/>
      <c r="HP768" s="2909"/>
      <c r="HQ768" s="2909"/>
      <c r="HR768" s="2909"/>
      <c r="HS768" s="2909"/>
      <c r="HT768" s="2909"/>
      <c r="HU768" s="2909"/>
      <c r="HV768" s="2909"/>
      <c r="HW768" s="2909"/>
      <c r="HX768" s="2909"/>
      <c r="HY768" s="2909"/>
      <c r="HZ768" s="2909"/>
      <c r="IA768" s="2909"/>
      <c r="IB768" s="2909"/>
      <c r="IC768" s="2909"/>
      <c r="IJ768" s="2907"/>
      <c r="IZ768" s="2907"/>
      <c r="JA768" s="2907"/>
    </row>
    <row r="769" spans="1:261" ht="12" customHeight="1">
      <c r="B769" s="2982" t="s">
        <v>4607</v>
      </c>
      <c r="G769" s="2986"/>
      <c r="T769" s="521" t="str">
        <f>B769</f>
        <v>NOT Included in Mgt Fee:</v>
      </c>
      <c r="GS769" s="2909"/>
      <c r="GX769" s="2909"/>
      <c r="GY769" s="2909"/>
      <c r="GZ769" s="2909"/>
      <c r="HA769" s="2909"/>
      <c r="HB769" s="2909"/>
      <c r="HC769" s="2909"/>
      <c r="HD769" s="2909"/>
      <c r="HE769" s="2909"/>
      <c r="HF769" s="2909"/>
      <c r="HG769" s="2909"/>
      <c r="HH769" s="2909"/>
      <c r="HI769" s="2909"/>
      <c r="HJ769" s="2909"/>
      <c r="HK769" s="2909"/>
      <c r="HL769" s="2909"/>
      <c r="HM769" s="2909"/>
      <c r="HN769" s="2909"/>
      <c r="HO769" s="2909"/>
      <c r="HP769" s="2909"/>
      <c r="HQ769" s="2909"/>
      <c r="HR769" s="2909"/>
      <c r="HS769" s="2909"/>
      <c r="HT769" s="2909"/>
      <c r="HU769" s="2909"/>
      <c r="HV769" s="2909"/>
      <c r="HW769" s="2909"/>
      <c r="HX769" s="2909"/>
      <c r="HY769" s="2909"/>
      <c r="HZ769" s="2909"/>
      <c r="IA769" s="2909"/>
      <c r="IB769" s="2909"/>
      <c r="IC769" s="2909"/>
      <c r="IJ769" s="2907"/>
      <c r="IZ769" s="2907"/>
      <c r="JA769" s="2907"/>
    </row>
    <row r="770" spans="1:261" ht="11.25" customHeight="1">
      <c r="B770" s="521" t="s">
        <v>556</v>
      </c>
      <c r="C770" s="521"/>
      <c r="D770" s="521"/>
      <c r="E770" s="521"/>
      <c r="F770" s="521"/>
      <c r="G770" s="2984">
        <f>'Part VI-Revenues &amp; Expenses'!G150</f>
        <v>0</v>
      </c>
      <c r="H770" s="2984">
        <f>'Part VI-Revenues &amp; Expenses'!H150</f>
        <v>0</v>
      </c>
      <c r="I770" s="2984">
        <f>'Part VI-Revenues &amp; Expenses'!I150</f>
        <v>0</v>
      </c>
      <c r="J770" s="2984">
        <f>'Part VI-Revenues &amp; Expenses'!J150</f>
        <v>0</v>
      </c>
      <c r="K770" s="2984">
        <f>'Part VI-Revenues &amp; Expenses'!K150</f>
        <v>0</v>
      </c>
      <c r="L770" s="2984">
        <f>'Part VI-Revenues &amp; Expenses'!L150</f>
        <v>0</v>
      </c>
      <c r="M770" s="2984">
        <f>'Part VI-Revenues &amp; Expenses'!M150</f>
        <v>0</v>
      </c>
      <c r="N770" s="2984">
        <f>'Part VI-Revenues &amp; Expenses'!N150</f>
        <v>0</v>
      </c>
      <c r="O770" s="2984">
        <f>'Part VI-Revenues &amp; Expenses'!O150</f>
        <v>0</v>
      </c>
      <c r="P770" s="2984">
        <f>'Part VI-Revenues &amp; Expenses'!P150</f>
        <v>0</v>
      </c>
      <c r="T770" s="2869">
        <f>'Part VI-Revenues &amp; Expenses'!U150</f>
        <v>0</v>
      </c>
      <c r="U770" s="2944"/>
      <c r="GS770" s="2909"/>
      <c r="GX770" s="2909"/>
      <c r="GY770" s="2909"/>
      <c r="GZ770" s="2909"/>
      <c r="HA770" s="2909"/>
      <c r="HB770" s="2909"/>
      <c r="HC770" s="2909"/>
      <c r="HD770" s="2909"/>
      <c r="HE770" s="2909"/>
      <c r="HF770" s="2909"/>
      <c r="HG770" s="2909"/>
      <c r="HH770" s="2909"/>
      <c r="HI770" s="2909"/>
      <c r="HJ770" s="2909"/>
      <c r="HK770" s="2909"/>
      <c r="HL770" s="2909"/>
      <c r="HM770" s="2909"/>
      <c r="HN770" s="2909"/>
      <c r="HO770" s="2909"/>
      <c r="HP770" s="2909"/>
      <c r="HQ770" s="2909"/>
      <c r="HR770" s="2909"/>
      <c r="HS770" s="2909"/>
      <c r="HT770" s="2909"/>
      <c r="HU770" s="2909"/>
      <c r="HV770" s="2909"/>
      <c r="HW770" s="2909"/>
      <c r="HX770" s="2909"/>
      <c r="HY770" s="2909"/>
      <c r="HZ770" s="2909"/>
      <c r="IA770" s="2909"/>
      <c r="IB770" s="2909"/>
      <c r="IC770" s="2909"/>
      <c r="IJ770" s="2907"/>
      <c r="IZ770" s="2907"/>
      <c r="JA770" s="2907"/>
    </row>
    <row r="771" spans="1:261" ht="11.25" customHeight="1">
      <c r="B771" s="521" t="s">
        <v>780</v>
      </c>
      <c r="C771" s="2985" t="str">
        <f>'Part VI-Revenues &amp; Expenses'!C151</f>
        <v>USDA Rent Increase to meet DCR</v>
      </c>
      <c r="D771" s="2985"/>
      <c r="E771" s="2985"/>
      <c r="F771" s="2985"/>
      <c r="G771" s="2984">
        <f>'Part VI-Revenues &amp; Expenses'!G151</f>
        <v>53600</v>
      </c>
      <c r="H771" s="2984">
        <f>'Part VI-Revenues &amp; Expenses'!H151</f>
        <v>56600</v>
      </c>
      <c r="I771" s="2984">
        <f>'Part VI-Revenues &amp; Expenses'!I151</f>
        <v>59800</v>
      </c>
      <c r="J771" s="2984">
        <f>'Part VI-Revenues &amp; Expenses'!J151</f>
        <v>63300</v>
      </c>
      <c r="K771" s="2984">
        <f>'Part VI-Revenues &amp; Expenses'!K151</f>
        <v>66800</v>
      </c>
      <c r="L771" s="2984">
        <f>'Part VI-Revenues &amp; Expenses'!L151</f>
        <v>70500</v>
      </c>
      <c r="M771" s="2984">
        <f>'Part VI-Revenues &amp; Expenses'!M151</f>
        <v>74300</v>
      </c>
      <c r="N771" s="2984">
        <f>'Part VI-Revenues &amp; Expenses'!N151</f>
        <v>78300</v>
      </c>
      <c r="O771" s="2984">
        <f>'Part VI-Revenues &amp; Expenses'!O151</f>
        <v>82500</v>
      </c>
      <c r="P771" s="2984">
        <f>'Part VI-Revenues &amp; Expenses'!P151</f>
        <v>86700</v>
      </c>
      <c r="T771" s="2944"/>
      <c r="U771" s="2944"/>
      <c r="GS771" s="2909"/>
      <c r="GX771" s="2909"/>
      <c r="GY771" s="2909"/>
      <c r="GZ771" s="2909"/>
      <c r="HA771" s="2909"/>
      <c r="HB771" s="2909"/>
      <c r="HC771" s="2909"/>
      <c r="HD771" s="2909"/>
      <c r="HE771" s="2909"/>
      <c r="HF771" s="2909"/>
      <c r="HG771" s="2909"/>
      <c r="HH771" s="2909"/>
      <c r="HI771" s="2909"/>
      <c r="HJ771" s="2909"/>
      <c r="HK771" s="2909"/>
      <c r="HL771" s="2909"/>
      <c r="HM771" s="2909"/>
      <c r="HN771" s="2909"/>
      <c r="HO771" s="2909"/>
      <c r="HP771" s="2909"/>
      <c r="HQ771" s="2909"/>
      <c r="HR771" s="2909"/>
      <c r="HS771" s="2909"/>
      <c r="HT771" s="2909"/>
      <c r="HU771" s="2909"/>
      <c r="HV771" s="2909"/>
      <c r="HW771" s="2909"/>
      <c r="HX771" s="2909"/>
      <c r="HY771" s="2909"/>
      <c r="HZ771" s="2909"/>
      <c r="IA771" s="2909"/>
      <c r="IB771" s="2909"/>
      <c r="IC771" s="2909"/>
      <c r="IJ771" s="2907"/>
      <c r="IZ771" s="2907"/>
      <c r="JA771" s="2907"/>
    </row>
    <row r="772" spans="1:261" ht="11.25" customHeight="1">
      <c r="B772" s="521"/>
      <c r="C772" s="525" t="s">
        <v>4608</v>
      </c>
      <c r="D772" s="521"/>
      <c r="E772" s="521"/>
      <c r="F772" s="521"/>
      <c r="G772" s="523">
        <f t="shared" ref="G772:P772" si="280">SUM(G770:G771)</f>
        <v>53600</v>
      </c>
      <c r="H772" s="523">
        <f t="shared" si="280"/>
        <v>56600</v>
      </c>
      <c r="I772" s="523">
        <f t="shared" si="280"/>
        <v>59800</v>
      </c>
      <c r="J772" s="523">
        <f t="shared" si="280"/>
        <v>63300</v>
      </c>
      <c r="K772" s="523">
        <f t="shared" si="280"/>
        <v>66800</v>
      </c>
      <c r="L772" s="523">
        <f t="shared" si="280"/>
        <v>70500</v>
      </c>
      <c r="M772" s="523">
        <f t="shared" si="280"/>
        <v>74300</v>
      </c>
      <c r="N772" s="523">
        <f t="shared" si="280"/>
        <v>78300</v>
      </c>
      <c r="O772" s="523">
        <f t="shared" si="280"/>
        <v>82500</v>
      </c>
      <c r="P772" s="523">
        <f t="shared" si="280"/>
        <v>86700</v>
      </c>
      <c r="T772" s="2944"/>
      <c r="U772" s="2944"/>
      <c r="GS772" s="2909"/>
      <c r="GX772" s="2909"/>
      <c r="GY772" s="2909"/>
      <c r="GZ772" s="2909"/>
      <c r="HA772" s="2909"/>
      <c r="HB772" s="2909"/>
      <c r="HC772" s="2909"/>
      <c r="HD772" s="2909"/>
      <c r="HE772" s="2909"/>
      <c r="HF772" s="2909"/>
      <c r="HG772" s="2909"/>
      <c r="HH772" s="2909"/>
      <c r="HI772" s="2909"/>
      <c r="HJ772" s="2909"/>
      <c r="HK772" s="2909"/>
      <c r="HL772" s="2909"/>
      <c r="HM772" s="2909"/>
      <c r="HN772" s="2909"/>
      <c r="HO772" s="2909"/>
      <c r="HP772" s="2909"/>
      <c r="HQ772" s="2909"/>
      <c r="HR772" s="2909"/>
      <c r="HS772" s="2909"/>
      <c r="HT772" s="2909"/>
      <c r="HU772" s="2909"/>
      <c r="HV772" s="2909"/>
      <c r="HW772" s="2909"/>
      <c r="HX772" s="2909"/>
      <c r="HY772" s="2909"/>
      <c r="HZ772" s="2909"/>
      <c r="IA772" s="2909"/>
      <c r="IB772" s="2909"/>
      <c r="IC772" s="2909"/>
      <c r="IJ772" s="2907"/>
      <c r="IZ772" s="2907"/>
      <c r="JA772" s="2907"/>
    </row>
    <row r="773" spans="1:261" ht="6" customHeight="1">
      <c r="B773" s="2907"/>
      <c r="G773" s="2986"/>
      <c r="T773" s="2934" t="s">
        <v>2750</v>
      </c>
      <c r="GS773" s="2909"/>
      <c r="GX773" s="2909"/>
      <c r="GY773" s="2909"/>
      <c r="GZ773" s="2909"/>
      <c r="HA773" s="2909"/>
      <c r="HB773" s="2909"/>
      <c r="HC773" s="2909"/>
      <c r="HD773" s="2909"/>
      <c r="HE773" s="2909"/>
      <c r="HF773" s="2909"/>
      <c r="HG773" s="2909"/>
      <c r="HH773" s="2909"/>
      <c r="HI773" s="2909"/>
      <c r="HJ773" s="2909"/>
      <c r="HK773" s="2909"/>
      <c r="HL773" s="2909"/>
      <c r="HM773" s="2909"/>
      <c r="HN773" s="2909"/>
      <c r="HO773" s="2909"/>
      <c r="HP773" s="2909"/>
      <c r="HQ773" s="2909"/>
      <c r="HR773" s="2909"/>
      <c r="HS773" s="2909"/>
      <c r="HT773" s="2909"/>
      <c r="HU773" s="2909"/>
      <c r="HV773" s="2909"/>
      <c r="HW773" s="2909"/>
      <c r="HX773" s="2909"/>
      <c r="HY773" s="2909"/>
      <c r="HZ773" s="2909"/>
      <c r="IA773" s="2909"/>
      <c r="IB773" s="2909"/>
      <c r="IC773" s="2909"/>
      <c r="IJ773" s="2907"/>
      <c r="IZ773" s="2907"/>
      <c r="JA773" s="2907"/>
    </row>
    <row r="774" spans="1:261" ht="12.75" customHeight="1">
      <c r="B774" s="2982" t="s">
        <v>2394</v>
      </c>
      <c r="G774" s="2983">
        <v>31</v>
      </c>
      <c r="H774" s="2983">
        <v>32</v>
      </c>
      <c r="I774" s="2983">
        <v>33</v>
      </c>
      <c r="J774" s="2983">
        <v>34</v>
      </c>
      <c r="K774" s="2983">
        <v>35</v>
      </c>
      <c r="T774" s="521" t="str">
        <f>B774</f>
        <v>Included in Mgt Fee:</v>
      </c>
      <c r="GS774" s="2909"/>
      <c r="GX774" s="2909"/>
      <c r="GY774" s="2909"/>
      <c r="GZ774" s="2909"/>
      <c r="HA774" s="2909"/>
      <c r="HB774" s="2909"/>
      <c r="HC774" s="2909"/>
      <c r="HD774" s="2909"/>
      <c r="HE774" s="2909"/>
      <c r="HF774" s="2909"/>
      <c r="HG774" s="2909"/>
      <c r="HH774" s="2909"/>
      <c r="HI774" s="2909"/>
      <c r="HJ774" s="2909"/>
      <c r="HK774" s="2909"/>
      <c r="HL774" s="2909"/>
      <c r="HM774" s="2909"/>
      <c r="HN774" s="2909"/>
      <c r="HO774" s="2909"/>
      <c r="HP774" s="2909"/>
      <c r="HQ774" s="2909"/>
      <c r="HR774" s="2909"/>
      <c r="HS774" s="2909"/>
      <c r="HT774" s="2909"/>
      <c r="HU774" s="2909"/>
      <c r="HV774" s="2909"/>
      <c r="HW774" s="2909"/>
      <c r="HX774" s="2909"/>
      <c r="HY774" s="2909"/>
      <c r="HZ774" s="2909"/>
      <c r="IA774" s="2909"/>
      <c r="IB774" s="2909"/>
      <c r="IC774" s="2909"/>
      <c r="IJ774" s="2907"/>
      <c r="IZ774" s="2907"/>
      <c r="JA774" s="2907"/>
    </row>
    <row r="775" spans="1:261" ht="11.25" customHeight="1">
      <c r="B775" s="521" t="s">
        <v>1066</v>
      </c>
      <c r="C775" s="521"/>
      <c r="D775" s="521"/>
      <c r="E775" s="521"/>
      <c r="F775" s="521"/>
      <c r="G775" s="2984">
        <f>'Part VI-Revenues &amp; Expenses'!G155</f>
        <v>0</v>
      </c>
      <c r="H775" s="2984">
        <f>'Part VI-Revenues &amp; Expenses'!H155</f>
        <v>0</v>
      </c>
      <c r="I775" s="2984">
        <f>'Part VI-Revenues &amp; Expenses'!I155</f>
        <v>0</v>
      </c>
      <c r="J775" s="2984">
        <f>'Part VI-Revenues &amp; Expenses'!J155</f>
        <v>0</v>
      </c>
      <c r="K775" s="2984">
        <f>'Part VI-Revenues &amp; Expenses'!K155</f>
        <v>0</v>
      </c>
      <c r="T775" s="2869">
        <f>'Part VI-Revenues &amp; Expenses'!U155</f>
        <v>0</v>
      </c>
      <c r="U775" s="2944"/>
      <c r="GS775" s="2909"/>
      <c r="GX775" s="2909"/>
      <c r="GY775" s="2909"/>
      <c r="GZ775" s="2909"/>
      <c r="HA775" s="2909"/>
      <c r="HB775" s="2909"/>
      <c r="HC775" s="2909"/>
      <c r="HD775" s="2909"/>
      <c r="HE775" s="2909"/>
      <c r="HF775" s="2909"/>
      <c r="HG775" s="2909"/>
      <c r="HH775" s="2909"/>
      <c r="HI775" s="2909"/>
      <c r="HJ775" s="2909"/>
      <c r="HK775" s="2909"/>
      <c r="HL775" s="2909"/>
      <c r="HM775" s="2909"/>
      <c r="HN775" s="2909"/>
      <c r="HO775" s="2909"/>
      <c r="HP775" s="2909"/>
      <c r="HQ775" s="2909"/>
      <c r="HR775" s="2909"/>
      <c r="HS775" s="2909"/>
      <c r="HT775" s="2909"/>
      <c r="HU775" s="2909"/>
      <c r="HV775" s="2909"/>
      <c r="HW775" s="2909"/>
      <c r="HX775" s="2909"/>
      <c r="HY775" s="2909"/>
      <c r="HZ775" s="2909"/>
      <c r="IA775" s="2909"/>
      <c r="IB775" s="2909"/>
      <c r="IC775" s="2909"/>
      <c r="IJ775" s="2907"/>
      <c r="IZ775" s="2907"/>
      <c r="JA775" s="2907"/>
    </row>
    <row r="776" spans="1:261" ht="11.25" customHeight="1">
      <c r="B776" s="521" t="s">
        <v>780</v>
      </c>
      <c r="C776" s="2985">
        <f>'Part VI-Revenues &amp; Expenses'!C156</f>
        <v>0</v>
      </c>
      <c r="D776" s="2985"/>
      <c r="E776" s="2985"/>
      <c r="F776" s="2985"/>
      <c r="G776" s="2984">
        <f>'Part VI-Revenues &amp; Expenses'!G156</f>
        <v>0</v>
      </c>
      <c r="H776" s="2984">
        <f>'Part VI-Revenues &amp; Expenses'!H156</f>
        <v>0</v>
      </c>
      <c r="I776" s="2984">
        <f>'Part VI-Revenues &amp; Expenses'!I156</f>
        <v>0</v>
      </c>
      <c r="J776" s="2984">
        <f>'Part VI-Revenues &amp; Expenses'!J156</f>
        <v>0</v>
      </c>
      <c r="K776" s="2984">
        <f>'Part VI-Revenues &amp; Expenses'!K156</f>
        <v>0</v>
      </c>
      <c r="T776" s="2944"/>
      <c r="U776" s="2944"/>
      <c r="GS776" s="2909"/>
      <c r="GX776" s="2909"/>
      <c r="GY776" s="2909"/>
      <c r="GZ776" s="2909"/>
      <c r="HA776" s="2909"/>
      <c r="HB776" s="2909"/>
      <c r="HC776" s="2909"/>
      <c r="HD776" s="2909"/>
      <c r="HE776" s="2909"/>
      <c r="HF776" s="2909"/>
      <c r="HG776" s="2909"/>
      <c r="HH776" s="2909"/>
      <c r="HI776" s="2909"/>
      <c r="HJ776" s="2909"/>
      <c r="HK776" s="2909"/>
      <c r="HL776" s="2909"/>
      <c r="HM776" s="2909"/>
      <c r="HN776" s="2909"/>
      <c r="HO776" s="2909"/>
      <c r="HP776" s="2909"/>
      <c r="HQ776" s="2909"/>
      <c r="HR776" s="2909"/>
      <c r="HS776" s="2909"/>
      <c r="HT776" s="2909"/>
      <c r="HU776" s="2909"/>
      <c r="HV776" s="2909"/>
      <c r="HW776" s="2909"/>
      <c r="HX776" s="2909"/>
      <c r="HY776" s="2909"/>
      <c r="HZ776" s="2909"/>
      <c r="IA776" s="2909"/>
      <c r="IB776" s="2909"/>
      <c r="IC776" s="2909"/>
      <c r="IJ776" s="2907"/>
      <c r="IZ776" s="2907"/>
      <c r="JA776" s="2907"/>
    </row>
    <row r="777" spans="1:261" ht="11.25" customHeight="1">
      <c r="B777" s="521"/>
      <c r="C777" s="525" t="s">
        <v>971</v>
      </c>
      <c r="D777" s="521"/>
      <c r="E777" s="521"/>
      <c r="F777" s="521"/>
      <c r="G777" s="523">
        <f>SUM(G775:G776)</f>
        <v>0</v>
      </c>
      <c r="H777" s="523">
        <f>SUM(H775:H776)</f>
        <v>0</v>
      </c>
      <c r="I777" s="523">
        <f>SUM(I775:I776)</f>
        <v>0</v>
      </c>
      <c r="J777" s="523">
        <f>SUM(J775:J776)</f>
        <v>0</v>
      </c>
      <c r="K777" s="523">
        <f>SUM(K775:K776)</f>
        <v>0</v>
      </c>
      <c r="T777" s="2944"/>
      <c r="U777" s="2944"/>
      <c r="GS777" s="2909"/>
      <c r="GX777" s="2909"/>
      <c r="GY777" s="2909"/>
      <c r="GZ777" s="2909"/>
      <c r="HA777" s="2909"/>
      <c r="HB777" s="2909"/>
      <c r="HC777" s="2909"/>
      <c r="HD777" s="2909"/>
      <c r="HE777" s="2909"/>
      <c r="HF777" s="2909"/>
      <c r="HG777" s="2909"/>
      <c r="HH777" s="2909"/>
      <c r="HI777" s="2909"/>
      <c r="HJ777" s="2909"/>
      <c r="HK777" s="2909"/>
      <c r="HL777" s="2909"/>
      <c r="HM777" s="2909"/>
      <c r="HN777" s="2909"/>
      <c r="HO777" s="2909"/>
      <c r="HP777" s="2909"/>
      <c r="HQ777" s="2909"/>
      <c r="HR777" s="2909"/>
      <c r="HS777" s="2909"/>
      <c r="HT777" s="2909"/>
      <c r="HU777" s="2909"/>
      <c r="HV777" s="2909"/>
      <c r="HW777" s="2909"/>
      <c r="HX777" s="2909"/>
      <c r="HY777" s="2909"/>
      <c r="HZ777" s="2909"/>
      <c r="IA777" s="2909"/>
      <c r="IB777" s="2909"/>
      <c r="IC777" s="2909"/>
      <c r="IJ777" s="2907"/>
      <c r="IZ777" s="2907"/>
      <c r="JA777" s="2907"/>
    </row>
    <row r="778" spans="1:261" ht="12" customHeight="1">
      <c r="B778" s="2982" t="s">
        <v>4607</v>
      </c>
      <c r="G778" s="2986"/>
      <c r="T778" s="521" t="str">
        <f>B778</f>
        <v>NOT Included in Mgt Fee:</v>
      </c>
      <c r="GS778" s="2909"/>
      <c r="GX778" s="2909"/>
      <c r="GY778" s="2909"/>
      <c r="GZ778" s="2909"/>
      <c r="HA778" s="2909"/>
      <c r="HB778" s="2909"/>
      <c r="HC778" s="2909"/>
      <c r="HD778" s="2909"/>
      <c r="HE778" s="2909"/>
      <c r="HF778" s="2909"/>
      <c r="HG778" s="2909"/>
      <c r="HH778" s="2909"/>
      <c r="HI778" s="2909"/>
      <c r="HJ778" s="2909"/>
      <c r="HK778" s="2909"/>
      <c r="HL778" s="2909"/>
      <c r="HM778" s="2909"/>
      <c r="HN778" s="2909"/>
      <c r="HO778" s="2909"/>
      <c r="HP778" s="2909"/>
      <c r="HQ778" s="2909"/>
      <c r="HR778" s="2909"/>
      <c r="HS778" s="2909"/>
      <c r="HT778" s="2909"/>
      <c r="HU778" s="2909"/>
      <c r="HV778" s="2909"/>
      <c r="HW778" s="2909"/>
      <c r="HX778" s="2909"/>
      <c r="HY778" s="2909"/>
      <c r="HZ778" s="2909"/>
      <c r="IA778" s="2909"/>
      <c r="IB778" s="2909"/>
      <c r="IC778" s="2909"/>
      <c r="IJ778" s="2907"/>
      <c r="IZ778" s="2907"/>
      <c r="JA778" s="2907"/>
    </row>
    <row r="779" spans="1:261" ht="11.25" customHeight="1">
      <c r="B779" s="521" t="s">
        <v>556</v>
      </c>
      <c r="C779" s="521"/>
      <c r="D779" s="521"/>
      <c r="E779" s="521"/>
      <c r="F779" s="521"/>
      <c r="G779" s="2984">
        <f>'Part VI-Revenues &amp; Expenses'!G159</f>
        <v>0</v>
      </c>
      <c r="H779" s="2984">
        <f>'Part VI-Revenues &amp; Expenses'!H159</f>
        <v>0</v>
      </c>
      <c r="I779" s="2984">
        <f>'Part VI-Revenues &amp; Expenses'!I159</f>
        <v>0</v>
      </c>
      <c r="J779" s="2984">
        <f>'Part VI-Revenues &amp; Expenses'!J159</f>
        <v>0</v>
      </c>
      <c r="K779" s="2984">
        <f>'Part VI-Revenues &amp; Expenses'!K159</f>
        <v>0</v>
      </c>
      <c r="T779" s="2869">
        <f>'Part VI-Revenues &amp; Expenses'!U159</f>
        <v>0</v>
      </c>
      <c r="U779" s="2944"/>
      <c r="GS779" s="2909"/>
      <c r="GX779" s="2909"/>
      <c r="GY779" s="2909"/>
      <c r="GZ779" s="2909"/>
      <c r="HA779" s="2909"/>
      <c r="HB779" s="2909"/>
      <c r="HC779" s="2909"/>
      <c r="HD779" s="2909"/>
      <c r="HE779" s="2909"/>
      <c r="HF779" s="2909"/>
      <c r="HG779" s="2909"/>
      <c r="HH779" s="2909"/>
      <c r="HI779" s="2909"/>
      <c r="HJ779" s="2909"/>
      <c r="HK779" s="2909"/>
      <c r="HL779" s="2909"/>
      <c r="HM779" s="2909"/>
      <c r="HN779" s="2909"/>
      <c r="HO779" s="2909"/>
      <c r="HP779" s="2909"/>
      <c r="HQ779" s="2909"/>
      <c r="HR779" s="2909"/>
      <c r="HS779" s="2909"/>
      <c r="HT779" s="2909"/>
      <c r="HU779" s="2909"/>
      <c r="HV779" s="2909"/>
      <c r="HW779" s="2909"/>
      <c r="HX779" s="2909"/>
      <c r="HY779" s="2909"/>
      <c r="HZ779" s="2909"/>
      <c r="IA779" s="2909"/>
      <c r="IB779" s="2909"/>
      <c r="IC779" s="2909"/>
      <c r="IJ779" s="2907"/>
      <c r="IZ779" s="2907"/>
      <c r="JA779" s="2907"/>
    </row>
    <row r="780" spans="1:261" ht="11.25" customHeight="1">
      <c r="B780" s="521" t="s">
        <v>780</v>
      </c>
      <c r="C780" s="2985" t="str">
        <f>'Part VI-Revenues &amp; Expenses'!C160</f>
        <v>USDA Rent Increase to meet DCR</v>
      </c>
      <c r="D780" s="2985"/>
      <c r="E780" s="2985"/>
      <c r="F780" s="2985"/>
      <c r="G780" s="2984">
        <f>'Part VI-Revenues &amp; Expenses'!G160</f>
        <v>91300</v>
      </c>
      <c r="H780" s="2984">
        <f>'Part VI-Revenues &amp; Expenses'!H160</f>
        <v>96200</v>
      </c>
      <c r="I780" s="2984">
        <f>'Part VI-Revenues &amp; Expenses'!I160</f>
        <v>101200</v>
      </c>
      <c r="J780" s="2984">
        <f>'Part VI-Revenues &amp; Expenses'!J160</f>
        <v>106500</v>
      </c>
      <c r="K780" s="2984">
        <f>'Part VI-Revenues &amp; Expenses'!K160</f>
        <v>112000</v>
      </c>
      <c r="T780" s="2944"/>
      <c r="U780" s="2944"/>
      <c r="GS780" s="2909"/>
      <c r="GX780" s="2909"/>
      <c r="GY780" s="2909"/>
      <c r="GZ780" s="2909"/>
      <c r="HA780" s="2909"/>
      <c r="HB780" s="2909"/>
      <c r="HC780" s="2909"/>
      <c r="HD780" s="2909"/>
      <c r="HE780" s="2909"/>
      <c r="HF780" s="2909"/>
      <c r="HG780" s="2909"/>
      <c r="HH780" s="2909"/>
      <c r="HI780" s="2909"/>
      <c r="HJ780" s="2909"/>
      <c r="HK780" s="2909"/>
      <c r="HL780" s="2909"/>
      <c r="HM780" s="2909"/>
      <c r="HN780" s="2909"/>
      <c r="HO780" s="2909"/>
      <c r="HP780" s="2909"/>
      <c r="HQ780" s="2909"/>
      <c r="HR780" s="2909"/>
      <c r="HS780" s="2909"/>
      <c r="HT780" s="2909"/>
      <c r="HU780" s="2909"/>
      <c r="HV780" s="2909"/>
      <c r="HW780" s="2909"/>
      <c r="HX780" s="2909"/>
      <c r="HY780" s="2909"/>
      <c r="HZ780" s="2909"/>
      <c r="IA780" s="2909"/>
      <c r="IB780" s="2909"/>
      <c r="IC780" s="2909"/>
      <c r="IJ780" s="2907"/>
      <c r="IZ780" s="2907"/>
      <c r="JA780" s="2907"/>
    </row>
    <row r="781" spans="1:261" ht="11.25" customHeight="1">
      <c r="B781" s="521"/>
      <c r="C781" s="525" t="s">
        <v>4608</v>
      </c>
      <c r="D781" s="521"/>
      <c r="E781" s="521"/>
      <c r="F781" s="521"/>
      <c r="G781" s="523">
        <f>SUM(G779:G780)</f>
        <v>91300</v>
      </c>
      <c r="H781" s="523">
        <f>SUM(H779:H780)</f>
        <v>96200</v>
      </c>
      <c r="I781" s="523">
        <f>SUM(I779:I780)</f>
        <v>101200</v>
      </c>
      <c r="J781" s="523">
        <f>SUM(J779:J780)</f>
        <v>106500</v>
      </c>
      <c r="K781" s="523">
        <f>SUM(K779:K780)</f>
        <v>112000</v>
      </c>
      <c r="T781" s="2944"/>
      <c r="U781" s="2944"/>
      <c r="GS781" s="2909"/>
      <c r="GX781" s="2909"/>
      <c r="GY781" s="2909"/>
      <c r="GZ781" s="2909"/>
      <c r="HA781" s="2909"/>
      <c r="HB781" s="2909"/>
      <c r="HC781" s="2909"/>
      <c r="HD781" s="2909"/>
      <c r="HE781" s="2909"/>
      <c r="HF781" s="2909"/>
      <c r="HG781" s="2909"/>
      <c r="HH781" s="2909"/>
      <c r="HI781" s="2909"/>
      <c r="HJ781" s="2909"/>
      <c r="HK781" s="2909"/>
      <c r="HL781" s="2909"/>
      <c r="HM781" s="2909"/>
      <c r="HN781" s="2909"/>
      <c r="HO781" s="2909"/>
      <c r="HP781" s="2909"/>
      <c r="HQ781" s="2909"/>
      <c r="HR781" s="2909"/>
      <c r="HS781" s="2909"/>
      <c r="HT781" s="2909"/>
      <c r="HU781" s="2909"/>
      <c r="HV781" s="2909"/>
      <c r="HW781" s="2909"/>
      <c r="HX781" s="2909"/>
      <c r="HY781" s="2909"/>
      <c r="HZ781" s="2909"/>
      <c r="IA781" s="2909"/>
      <c r="IB781" s="2909"/>
      <c r="IC781" s="2909"/>
      <c r="IJ781" s="2907"/>
      <c r="IZ781" s="2907"/>
      <c r="JA781" s="2907"/>
    </row>
    <row r="782" spans="1:261" ht="2.25" customHeight="1">
      <c r="B782" s="2907"/>
      <c r="F782" s="2986"/>
      <c r="G782" s="2986"/>
      <c r="GS782" s="2909"/>
      <c r="GX782" s="2909"/>
      <c r="GY782" s="2909"/>
      <c r="GZ782" s="2909"/>
      <c r="HA782" s="2909"/>
      <c r="HB782" s="2909"/>
      <c r="HC782" s="2909"/>
      <c r="HD782" s="2909"/>
      <c r="HE782" s="2909"/>
      <c r="HF782" s="2909"/>
      <c r="HG782" s="2909"/>
      <c r="HH782" s="2909"/>
      <c r="HI782" s="2909"/>
      <c r="HJ782" s="2909"/>
      <c r="HK782" s="2909"/>
      <c r="HL782" s="2909"/>
      <c r="HM782" s="2909"/>
      <c r="HN782" s="2909"/>
      <c r="HO782" s="2909"/>
      <c r="HP782" s="2909"/>
      <c r="HQ782" s="2909"/>
      <c r="HR782" s="2909"/>
      <c r="HS782" s="2909"/>
      <c r="HT782" s="2909"/>
      <c r="HU782" s="2909"/>
      <c r="HV782" s="2909"/>
      <c r="HW782" s="2909"/>
      <c r="HX782" s="2909"/>
      <c r="HY782" s="2909"/>
      <c r="HZ782" s="2909"/>
      <c r="IA782" s="2909"/>
      <c r="IB782" s="2909"/>
      <c r="IC782" s="2909"/>
      <c r="IJ782" s="2907"/>
      <c r="IZ782" s="2907"/>
      <c r="JA782" s="2907"/>
    </row>
    <row r="783" spans="1:261" s="521" customFormat="1" ht="11.25" customHeight="1">
      <c r="A783" s="524" t="s">
        <v>1879</v>
      </c>
      <c r="B783" s="2906" t="s">
        <v>1068</v>
      </c>
      <c r="C783" s="2906"/>
      <c r="D783" s="2906"/>
      <c r="E783" s="2906"/>
      <c r="F783" s="2906"/>
      <c r="G783" s="2906"/>
      <c r="H783" s="2906"/>
      <c r="I783" s="2906"/>
      <c r="J783" s="2906"/>
      <c r="K783" s="2906"/>
      <c r="M783" s="2946"/>
      <c r="N783" s="2915"/>
      <c r="O783" s="2915"/>
      <c r="T783" s="524" t="str">
        <f>B783</f>
        <v>ANNUAL OPERATING EXPENSE BUDGET</v>
      </c>
      <c r="U783" s="926"/>
      <c r="V783" s="926"/>
      <c r="W783" s="926"/>
      <c r="X783" s="926"/>
      <c r="GS783" s="2915"/>
      <c r="GX783" s="2915"/>
      <c r="GY783" s="2915"/>
      <c r="GZ783" s="2915"/>
      <c r="HA783" s="2915"/>
      <c r="HB783" s="2915"/>
      <c r="HC783" s="2915"/>
      <c r="HD783" s="2915"/>
      <c r="HE783" s="2915"/>
      <c r="HF783" s="2915"/>
      <c r="HG783" s="2915"/>
      <c r="HH783" s="2915"/>
      <c r="HI783" s="2915"/>
      <c r="HJ783" s="2915"/>
      <c r="HK783" s="2915"/>
      <c r="HL783" s="2915"/>
      <c r="HM783" s="2915"/>
      <c r="HN783" s="2915"/>
      <c r="HO783" s="2915"/>
      <c r="HP783" s="2915"/>
      <c r="HQ783" s="2915"/>
      <c r="HR783" s="2915"/>
      <c r="HS783" s="2915"/>
      <c r="HT783" s="2915"/>
      <c r="HU783" s="2915"/>
      <c r="HV783" s="2915"/>
      <c r="HW783" s="2915"/>
      <c r="HX783" s="2915"/>
      <c r="HY783" s="2915"/>
      <c r="HZ783" s="2915"/>
      <c r="IA783" s="2915"/>
      <c r="IB783" s="2915"/>
      <c r="IC783" s="2915"/>
      <c r="IJ783" s="524"/>
      <c r="IZ783" s="524"/>
      <c r="JA783" s="524"/>
    </row>
    <row r="784" spans="1:261" s="521" customFormat="1" ht="9" customHeight="1">
      <c r="B784" s="2906"/>
      <c r="C784" s="2906"/>
      <c r="D784" s="2906"/>
      <c r="E784" s="2906"/>
      <c r="F784" s="2906"/>
      <c r="G784" s="2906"/>
      <c r="H784" s="2906"/>
      <c r="I784" s="2906"/>
      <c r="J784" s="2906"/>
      <c r="T784" s="2987" t="s">
        <v>1937</v>
      </c>
      <c r="U784" s="2987"/>
      <c r="GS784" s="2915"/>
      <c r="GX784" s="2915"/>
      <c r="GY784" s="2915"/>
      <c r="GZ784" s="2915"/>
      <c r="HA784" s="2915"/>
      <c r="HB784" s="2915"/>
      <c r="HC784" s="2915"/>
      <c r="HD784" s="2915"/>
      <c r="HE784" s="2915"/>
      <c r="HF784" s="2915"/>
      <c r="HG784" s="2915"/>
      <c r="HH784" s="2915"/>
      <c r="HI784" s="2915"/>
      <c r="HJ784" s="2915"/>
      <c r="HK784" s="2915"/>
      <c r="HL784" s="2915"/>
      <c r="HM784" s="2915"/>
      <c r="HN784" s="2915"/>
      <c r="HO784" s="2915"/>
      <c r="HP784" s="2915"/>
      <c r="HQ784" s="2915"/>
      <c r="HR784" s="2915"/>
      <c r="HS784" s="2915"/>
      <c r="HT784" s="2915"/>
      <c r="HU784" s="2915"/>
      <c r="HV784" s="2915"/>
      <c r="HW784" s="2915"/>
      <c r="HX784" s="2915"/>
      <c r="HY784" s="2915"/>
      <c r="HZ784" s="2915"/>
      <c r="IA784" s="2915"/>
      <c r="IB784" s="2915"/>
      <c r="IC784" s="2915"/>
      <c r="IJ784" s="524"/>
      <c r="IZ784" s="524"/>
      <c r="JA784" s="524"/>
    </row>
    <row r="785" spans="2:261" s="521" customFormat="1" ht="13.15" customHeight="1">
      <c r="B785" s="524" t="s">
        <v>1354</v>
      </c>
      <c r="F785" s="926"/>
      <c r="G785" s="926"/>
      <c r="I785" s="524" t="s">
        <v>1442</v>
      </c>
      <c r="N785" s="524" t="s">
        <v>1441</v>
      </c>
      <c r="T785" s="2869">
        <f>'Part VI-Revenues &amp; Expenses'!U165</f>
        <v>0</v>
      </c>
      <c r="U785" s="2944"/>
      <c r="V785" s="926"/>
      <c r="W785" s="926"/>
      <c r="X785" s="926"/>
      <c r="GS785" s="2915"/>
      <c r="GX785" s="2915"/>
      <c r="GY785" s="2915"/>
      <c r="GZ785" s="2915"/>
      <c r="HA785" s="2915"/>
      <c r="HB785" s="2915"/>
      <c r="HC785" s="2915"/>
      <c r="HD785" s="2915"/>
      <c r="HE785" s="2915"/>
      <c r="HF785" s="2915"/>
      <c r="HG785" s="2915"/>
      <c r="HH785" s="2915"/>
      <c r="HI785" s="2915"/>
      <c r="HJ785" s="2915"/>
      <c r="HK785" s="2915"/>
      <c r="HL785" s="2915"/>
      <c r="HM785" s="2915"/>
      <c r="HN785" s="2915"/>
      <c r="HO785" s="2915"/>
      <c r="HP785" s="2915"/>
      <c r="HQ785" s="2915"/>
      <c r="HR785" s="2915"/>
      <c r="HS785" s="2915"/>
      <c r="HT785" s="2915"/>
      <c r="HU785" s="2915"/>
      <c r="HV785" s="2915"/>
      <c r="HW785" s="2915"/>
      <c r="HX785" s="2915"/>
      <c r="HY785" s="2915"/>
      <c r="HZ785" s="2915"/>
      <c r="IA785" s="2915"/>
      <c r="IB785" s="2915"/>
      <c r="IC785" s="2915"/>
      <c r="IJ785" s="524"/>
      <c r="IZ785" s="524"/>
      <c r="JA785" s="524"/>
    </row>
    <row r="786" spans="2:261" s="521" customFormat="1" ht="15.6" customHeight="1">
      <c r="B786" s="521" t="s">
        <v>2298</v>
      </c>
      <c r="F786" s="2988">
        <f>'Part VI-Revenues &amp; Expenses'!F166</f>
        <v>23160</v>
      </c>
      <c r="G786" s="2988"/>
      <c r="I786" s="521" t="s">
        <v>1443</v>
      </c>
      <c r="K786" s="2988">
        <f>'Part VI-Revenues &amp; Expenses'!K166</f>
        <v>0</v>
      </c>
      <c r="L786" s="2988"/>
      <c r="N786" s="521" t="s">
        <v>972</v>
      </c>
      <c r="P786" s="2984">
        <f>'Part VI-Revenues &amp; Expenses'!P166</f>
        <v>16900</v>
      </c>
      <c r="T786" s="2944"/>
      <c r="U786" s="2944"/>
      <c r="V786" s="926"/>
      <c r="W786" s="926"/>
      <c r="X786" s="926"/>
      <c r="GS786" s="2915"/>
      <c r="GX786" s="2915"/>
      <c r="GY786" s="2915"/>
      <c r="GZ786" s="2915"/>
      <c r="HA786" s="2915"/>
      <c r="HB786" s="2915"/>
      <c r="HC786" s="2915"/>
      <c r="HD786" s="2915"/>
      <c r="HE786" s="2915"/>
      <c r="HF786" s="2915"/>
      <c r="HG786" s="2915"/>
      <c r="HH786" s="2915"/>
      <c r="HI786" s="2915"/>
      <c r="HJ786" s="2915"/>
      <c r="HK786" s="2915"/>
      <c r="HL786" s="2915"/>
      <c r="HM786" s="2915"/>
      <c r="HN786" s="2915"/>
      <c r="HO786" s="2915"/>
      <c r="HP786" s="2915"/>
      <c r="HQ786" s="2915"/>
      <c r="HR786" s="2915"/>
      <c r="HS786" s="2915"/>
      <c r="HT786" s="2915"/>
      <c r="HU786" s="2915"/>
      <c r="HV786" s="2915"/>
      <c r="HW786" s="2915"/>
      <c r="HX786" s="2915"/>
      <c r="HY786" s="2915"/>
      <c r="HZ786" s="2915"/>
      <c r="IA786" s="2915"/>
      <c r="IB786" s="2915"/>
      <c r="IC786" s="2915"/>
      <c r="IJ786" s="524"/>
      <c r="IZ786" s="524"/>
      <c r="JA786" s="524"/>
    </row>
    <row r="787" spans="2:261" s="521" customFormat="1" ht="15.6" customHeight="1">
      <c r="B787" s="521" t="s">
        <v>1432</v>
      </c>
      <c r="F787" s="2988">
        <f>'Part VI-Revenues &amp; Expenses'!F167</f>
        <v>15000</v>
      </c>
      <c r="G787" s="2988"/>
      <c r="I787" s="521" t="s">
        <v>1444</v>
      </c>
      <c r="K787" s="2988">
        <f>'Part VI-Revenues &amp; Expenses'!K167</f>
        <v>0</v>
      </c>
      <c r="L787" s="2988"/>
      <c r="N787" s="521" t="s">
        <v>152</v>
      </c>
      <c r="P787" s="2984">
        <f>'Part VI-Revenues &amp; Expenses'!P167</f>
        <v>9460</v>
      </c>
      <c r="T787" s="2944"/>
      <c r="U787" s="2944"/>
      <c r="V787" s="926"/>
      <c r="W787" s="926"/>
      <c r="X787" s="926"/>
      <c r="GS787" s="2915"/>
      <c r="GX787" s="2915"/>
      <c r="GY787" s="2915"/>
      <c r="GZ787" s="2915"/>
      <c r="HA787" s="2915"/>
      <c r="HB787" s="2915"/>
      <c r="HC787" s="2915"/>
      <c r="HD787" s="2915"/>
      <c r="HE787" s="2915"/>
      <c r="HF787" s="2915"/>
      <c r="HG787" s="2915"/>
      <c r="HH787" s="2915"/>
      <c r="HI787" s="2915"/>
      <c r="HJ787" s="2915"/>
      <c r="HK787" s="2915"/>
      <c r="HL787" s="2915"/>
      <c r="HM787" s="2915"/>
      <c r="HN787" s="2915"/>
      <c r="HO787" s="2915"/>
      <c r="HP787" s="2915"/>
      <c r="HQ787" s="2915"/>
      <c r="HR787" s="2915"/>
      <c r="HS787" s="2915"/>
      <c r="HT787" s="2915"/>
      <c r="HU787" s="2915"/>
      <c r="HV787" s="2915"/>
      <c r="HW787" s="2915"/>
      <c r="HX787" s="2915"/>
      <c r="HY787" s="2915"/>
      <c r="HZ787" s="2915"/>
      <c r="IA787" s="2915"/>
      <c r="IB787" s="2915"/>
      <c r="IC787" s="2915"/>
      <c r="IJ787" s="524"/>
      <c r="IZ787" s="524"/>
      <c r="JA787" s="524"/>
    </row>
    <row r="788" spans="2:261" s="521" customFormat="1" ht="15.6" customHeight="1">
      <c r="B788" s="521" t="s">
        <v>1298</v>
      </c>
      <c r="F788" s="2988">
        <f>'Part VI-Revenues &amp; Expenses'!F168</f>
        <v>0</v>
      </c>
      <c r="G788" s="2988"/>
      <c r="J788" s="2989" t="s">
        <v>197</v>
      </c>
      <c r="K788" s="2988">
        <f>SUM(K786:L787)</f>
        <v>0</v>
      </c>
      <c r="L788" s="2988"/>
      <c r="N788" s="2990" t="s">
        <v>53</v>
      </c>
      <c r="O788" s="2990"/>
      <c r="P788" s="2984">
        <f>'Part VI-Revenues &amp; Expenses'!P168</f>
        <v>0</v>
      </c>
      <c r="T788" s="2944"/>
      <c r="U788" s="2944"/>
      <c r="V788" s="926"/>
      <c r="W788" s="926"/>
      <c r="X788" s="926"/>
      <c r="GS788" s="2915"/>
      <c r="GX788" s="2915"/>
      <c r="GY788" s="2915"/>
      <c r="GZ788" s="2915"/>
      <c r="HA788" s="2915"/>
      <c r="HB788" s="2915"/>
      <c r="HC788" s="2915"/>
      <c r="HD788" s="2915"/>
      <c r="HE788" s="2915"/>
      <c r="HF788" s="2915"/>
      <c r="HG788" s="2915"/>
      <c r="HH788" s="2915"/>
      <c r="HI788" s="2915"/>
      <c r="HJ788" s="2915"/>
      <c r="HK788" s="2915"/>
      <c r="HL788" s="2915"/>
      <c r="HM788" s="2915"/>
      <c r="HN788" s="2915"/>
      <c r="HO788" s="2915"/>
      <c r="HP788" s="2915"/>
      <c r="HQ788" s="2915"/>
      <c r="HR788" s="2915"/>
      <c r="HS788" s="2915"/>
      <c r="HT788" s="2915"/>
      <c r="HU788" s="2915"/>
      <c r="HV788" s="2915"/>
      <c r="HW788" s="2915"/>
      <c r="HX788" s="2915"/>
      <c r="HY788" s="2915"/>
      <c r="HZ788" s="2915"/>
      <c r="IA788" s="2915"/>
      <c r="IB788" s="2915"/>
      <c r="IC788" s="2915"/>
      <c r="IJ788" s="524"/>
      <c r="IZ788" s="524"/>
      <c r="JA788" s="524"/>
    </row>
    <row r="789" spans="2:261" s="521" customFormat="1" ht="15.6" customHeight="1">
      <c r="B789" s="2985" t="s">
        <v>53</v>
      </c>
      <c r="C789" s="2985"/>
      <c r="D789" s="2985"/>
      <c r="E789" s="2985"/>
      <c r="F789" s="2988">
        <f>'Part VI-Revenues &amp; Expenses'!F169</f>
        <v>0</v>
      </c>
      <c r="G789" s="2988"/>
      <c r="N789" s="2989" t="s">
        <v>197</v>
      </c>
      <c r="P789" s="2984">
        <f>SUM(P786:P788)</f>
        <v>26360</v>
      </c>
      <c r="T789" s="2944"/>
      <c r="U789" s="2944"/>
      <c r="V789" s="926"/>
      <c r="W789" s="926"/>
      <c r="X789" s="926"/>
      <c r="GS789" s="2915"/>
      <c r="GX789" s="2915"/>
      <c r="GY789" s="2915"/>
      <c r="GZ789" s="2915"/>
      <c r="HA789" s="2915"/>
      <c r="HB789" s="2915"/>
      <c r="HC789" s="2915"/>
      <c r="HD789" s="2915"/>
      <c r="HE789" s="2915"/>
      <c r="HF789" s="2915"/>
      <c r="HG789" s="2915"/>
      <c r="HH789" s="2915"/>
      <c r="HI789" s="2915"/>
      <c r="HJ789" s="2915"/>
      <c r="HK789" s="2915"/>
      <c r="HL789" s="2915"/>
      <c r="HM789" s="2915"/>
      <c r="HN789" s="2915"/>
      <c r="HO789" s="2915"/>
      <c r="HP789" s="2915"/>
      <c r="HQ789" s="2915"/>
      <c r="HR789" s="2915"/>
      <c r="HS789" s="2915"/>
      <c r="HT789" s="2915"/>
      <c r="HU789" s="2915"/>
      <c r="HV789" s="2915"/>
      <c r="HW789" s="2915"/>
      <c r="HX789" s="2915"/>
      <c r="HY789" s="2915"/>
      <c r="HZ789" s="2915"/>
      <c r="IA789" s="2915"/>
      <c r="IB789" s="2915"/>
      <c r="IC789" s="2915"/>
      <c r="IJ789" s="524"/>
      <c r="IZ789" s="524"/>
      <c r="JA789" s="524"/>
    </row>
    <row r="790" spans="2:261" s="521" customFormat="1" ht="15.6" customHeight="1">
      <c r="C790" s="2989" t="s">
        <v>197</v>
      </c>
      <c r="F790" s="2988">
        <f>SUM(F786:G789)</f>
        <v>38160</v>
      </c>
      <c r="G790" s="2988"/>
      <c r="J790" s="2956"/>
      <c r="T790" s="2944"/>
      <c r="U790" s="2944"/>
      <c r="V790" s="926"/>
      <c r="W790" s="926"/>
      <c r="X790" s="926"/>
      <c r="GS790" s="2915"/>
      <c r="GX790" s="2915"/>
      <c r="GY790" s="2915"/>
      <c r="GZ790" s="2915"/>
      <c r="HA790" s="2915"/>
      <c r="HB790" s="2915"/>
      <c r="HC790" s="2915"/>
      <c r="HD790" s="2915"/>
      <c r="HE790" s="2915"/>
      <c r="HF790" s="2915"/>
      <c r="HG790" s="2915"/>
      <c r="HH790" s="2915"/>
      <c r="HI790" s="2915"/>
      <c r="HJ790" s="2915"/>
      <c r="HK790" s="2915"/>
      <c r="HL790" s="2915"/>
      <c r="HM790" s="2915"/>
      <c r="HN790" s="2915"/>
      <c r="HO790" s="2915"/>
      <c r="HP790" s="2915"/>
      <c r="HQ790" s="2915"/>
      <c r="HR790" s="2915"/>
      <c r="HS790" s="2915"/>
      <c r="HT790" s="2915"/>
      <c r="HU790" s="2915"/>
      <c r="HV790" s="2915"/>
      <c r="HW790" s="2915"/>
      <c r="HX790" s="2915"/>
      <c r="HY790" s="2915"/>
      <c r="HZ790" s="2915"/>
      <c r="IA790" s="2915"/>
      <c r="IB790" s="2915"/>
      <c r="IC790" s="2915"/>
      <c r="IJ790" s="524"/>
      <c r="IZ790" s="524"/>
      <c r="JA790" s="524"/>
    </row>
    <row r="791" spans="2:261" s="521" customFormat="1" ht="6" customHeight="1">
      <c r="C791" s="524"/>
      <c r="D791" s="2989"/>
      <c r="F791" s="2956"/>
      <c r="G791" s="2956"/>
      <c r="J791" s="2956"/>
      <c r="M791" s="524"/>
      <c r="O791" s="2989"/>
      <c r="T791" s="2944"/>
      <c r="U791" s="2944"/>
      <c r="GS791" s="2915"/>
      <c r="GX791" s="2915"/>
      <c r="GY791" s="2915"/>
      <c r="GZ791" s="2915"/>
      <c r="HA791" s="2915"/>
      <c r="HB791" s="2915"/>
      <c r="HC791" s="2915"/>
      <c r="HD791" s="2915"/>
      <c r="HE791" s="2915"/>
      <c r="HF791" s="2915"/>
      <c r="HG791" s="2915"/>
      <c r="HH791" s="2915"/>
      <c r="HI791" s="2915"/>
      <c r="HJ791" s="2915"/>
      <c r="HK791" s="2915"/>
      <c r="HL791" s="2915"/>
      <c r="HM791" s="2915"/>
      <c r="HN791" s="2915"/>
      <c r="HO791" s="2915"/>
      <c r="HP791" s="2915"/>
      <c r="HQ791" s="2915"/>
      <c r="HR791" s="2915"/>
      <c r="HS791" s="2915"/>
      <c r="HT791" s="2915"/>
      <c r="HU791" s="2915"/>
      <c r="HV791" s="2915"/>
      <c r="HW791" s="2915"/>
      <c r="HX791" s="2915"/>
      <c r="HY791" s="2915"/>
      <c r="HZ791" s="2915"/>
      <c r="IA791" s="2915"/>
      <c r="IB791" s="2915"/>
      <c r="IC791" s="2915"/>
      <c r="IJ791" s="524"/>
      <c r="IZ791" s="524"/>
      <c r="JA791" s="524"/>
    </row>
    <row r="792" spans="2:261" s="521" customFormat="1" ht="13.15" customHeight="1">
      <c r="B792" s="524" t="s">
        <v>1355</v>
      </c>
      <c r="D792" s="2991"/>
      <c r="I792" s="524" t="s">
        <v>1356</v>
      </c>
      <c r="N792" s="524" t="s">
        <v>1445</v>
      </c>
      <c r="P792" s="2992">
        <f>IF(OR('Part VII-Pro Forma'!$B$20 = "Choose Mgt Fee",'Part VII-Pro Forma'!$B$20 = "Choose One!"), 0,- 'Part VII-Pro Forma'!$B$20)</f>
        <v>23184</v>
      </c>
      <c r="T792" s="2944"/>
      <c r="U792" s="2944"/>
      <c r="V792" s="926"/>
      <c r="W792" s="926"/>
      <c r="X792" s="926"/>
      <c r="GS792" s="2915"/>
      <c r="GX792" s="2915"/>
      <c r="GY792" s="2915"/>
      <c r="GZ792" s="2915"/>
      <c r="HA792" s="2915"/>
      <c r="HB792" s="2915"/>
      <c r="HC792" s="2915"/>
      <c r="HD792" s="2915"/>
      <c r="HE792" s="2915"/>
      <c r="HF792" s="2915"/>
      <c r="HG792" s="2915"/>
      <c r="HH792" s="2915"/>
      <c r="HI792" s="2915"/>
      <c r="HJ792" s="2915"/>
      <c r="HK792" s="2915"/>
      <c r="HL792" s="2915"/>
      <c r="HM792" s="2915"/>
      <c r="HN792" s="2915"/>
      <c r="HO792" s="2915"/>
      <c r="HP792" s="2915"/>
      <c r="HQ792" s="2915"/>
      <c r="HR792" s="2915"/>
      <c r="HS792" s="2915"/>
      <c r="HT792" s="2915"/>
      <c r="HU792" s="2915"/>
      <c r="HV792" s="2915"/>
      <c r="HW792" s="2915"/>
      <c r="HX792" s="2915"/>
      <c r="HY792" s="2915"/>
      <c r="HZ792" s="2915"/>
      <c r="IA792" s="2915"/>
      <c r="IB792" s="2915"/>
      <c r="IC792" s="2915"/>
      <c r="IJ792" s="524"/>
      <c r="IZ792" s="524"/>
      <c r="JA792" s="524"/>
    </row>
    <row r="793" spans="2:261" s="521" customFormat="1" ht="15.6" customHeight="1">
      <c r="B793" s="521" t="s">
        <v>1437</v>
      </c>
      <c r="D793" s="2991"/>
      <c r="F793" s="2988">
        <f>'Part VI-Revenues &amp; Expenses'!F173</f>
        <v>2300</v>
      </c>
      <c r="G793" s="2988"/>
      <c r="I793" s="521" t="s">
        <v>1679</v>
      </c>
      <c r="K793" s="2988">
        <f>'Part VI-Revenues &amp; Expenses'!K173</f>
        <v>1000</v>
      </c>
      <c r="L793" s="2988"/>
      <c r="N793" s="2993">
        <f>+P792/(M682*0.93)</f>
        <v>593.54838709677415</v>
      </c>
      <c r="O793" s="2994" t="s">
        <v>3020</v>
      </c>
      <c r="T793" s="2944"/>
      <c r="U793" s="2944"/>
      <c r="V793" s="926"/>
      <c r="W793" s="926"/>
      <c r="X793" s="926"/>
      <c r="GS793" s="2915"/>
      <c r="GX793" s="2915"/>
      <c r="GY793" s="2915"/>
      <c r="GZ793" s="2915"/>
      <c r="HA793" s="2915"/>
      <c r="HB793" s="2915"/>
      <c r="HC793" s="2915"/>
      <c r="HD793" s="2915"/>
      <c r="HE793" s="2915"/>
      <c r="HF793" s="2915"/>
      <c r="HG793" s="2915"/>
      <c r="HH793" s="2915"/>
      <c r="HI793" s="2915"/>
      <c r="HJ793" s="2915"/>
      <c r="HK793" s="2915"/>
      <c r="HL793" s="2915"/>
      <c r="HM793" s="2915"/>
      <c r="HN793" s="2915"/>
      <c r="HO793" s="2915"/>
      <c r="HP793" s="2915"/>
      <c r="HQ793" s="2915"/>
      <c r="HR793" s="2915"/>
      <c r="HS793" s="2915"/>
      <c r="HT793" s="2915"/>
      <c r="HU793" s="2915"/>
      <c r="HV793" s="2915"/>
      <c r="HW793" s="2915"/>
      <c r="HX793" s="2915"/>
      <c r="HY793" s="2915"/>
      <c r="HZ793" s="2915"/>
      <c r="IA793" s="2915"/>
      <c r="IB793" s="2915"/>
      <c r="IC793" s="2915"/>
      <c r="IJ793" s="524"/>
      <c r="IZ793" s="524"/>
      <c r="JA793" s="524"/>
    </row>
    <row r="794" spans="2:261" s="521" customFormat="1" ht="15.6" customHeight="1">
      <c r="B794" s="521" t="s">
        <v>1438</v>
      </c>
      <c r="D794" s="2991"/>
      <c r="F794" s="2988">
        <f>'Part VI-Revenues &amp; Expenses'!F174</f>
        <v>2100</v>
      </c>
      <c r="G794" s="2988"/>
      <c r="I794" s="521" t="s">
        <v>2149</v>
      </c>
      <c r="K794" s="2988">
        <f>'Part VI-Revenues &amp; Expenses'!K174</f>
        <v>4000</v>
      </c>
      <c r="L794" s="2988"/>
      <c r="N794" s="2993">
        <f>+P792/(M682*0.93)/12</f>
        <v>49.462365591397848</v>
      </c>
      <c r="O794" s="2994" t="s">
        <v>3021</v>
      </c>
      <c r="T794" s="2944"/>
      <c r="U794" s="2944"/>
      <c r="V794" s="926"/>
      <c r="W794" s="926"/>
      <c r="X794" s="926"/>
      <c r="GS794" s="2915"/>
      <c r="GX794" s="2915"/>
      <c r="GY794" s="2915"/>
      <c r="GZ794" s="2915"/>
      <c r="HA794" s="2915"/>
      <c r="HB794" s="2915"/>
      <c r="HC794" s="2915"/>
      <c r="HD794" s="2915"/>
      <c r="HE794" s="2915"/>
      <c r="HF794" s="2915"/>
      <c r="HG794" s="2915"/>
      <c r="HH794" s="2915"/>
      <c r="HI794" s="2915"/>
      <c r="HJ794" s="2915"/>
      <c r="HK794" s="2915"/>
      <c r="HL794" s="2915"/>
      <c r="HM794" s="2915"/>
      <c r="HN794" s="2915"/>
      <c r="HO794" s="2915"/>
      <c r="HP794" s="2915"/>
      <c r="HQ794" s="2915"/>
      <c r="HR794" s="2915"/>
      <c r="HS794" s="2915"/>
      <c r="HT794" s="2915"/>
      <c r="HU794" s="2915"/>
      <c r="HV794" s="2915"/>
      <c r="HW794" s="2915"/>
      <c r="HX794" s="2915"/>
      <c r="HY794" s="2915"/>
      <c r="HZ794" s="2915"/>
      <c r="IA794" s="2915"/>
      <c r="IB794" s="2915"/>
      <c r="IC794" s="2915"/>
      <c r="IJ794" s="524"/>
      <c r="IZ794" s="524"/>
      <c r="JA794" s="524"/>
    </row>
    <row r="795" spans="2:261" s="521" customFormat="1" ht="15.6" customHeight="1">
      <c r="B795" s="521" t="s">
        <v>1439</v>
      </c>
      <c r="D795" s="2991"/>
      <c r="F795" s="2988">
        <f>'Part VI-Revenues &amp; Expenses'!F175</f>
        <v>1000</v>
      </c>
      <c r="G795" s="2988"/>
      <c r="I795" s="521" t="s">
        <v>1680</v>
      </c>
      <c r="K795" s="2988">
        <f>'Part VI-Revenues &amp; Expenses'!K175</f>
        <v>1000</v>
      </c>
      <c r="L795" s="2988"/>
      <c r="N795" s="2957" t="s">
        <v>2582</v>
      </c>
      <c r="O795" s="2957"/>
      <c r="P795" s="2957"/>
      <c r="T795" s="2944"/>
      <c r="U795" s="2944"/>
      <c r="V795" s="926"/>
      <c r="W795" s="926"/>
      <c r="X795" s="926"/>
      <c r="GS795" s="2915"/>
      <c r="GX795" s="2915"/>
      <c r="GY795" s="2915"/>
      <c r="GZ795" s="2915"/>
      <c r="HA795" s="2915"/>
      <c r="HB795" s="2915"/>
      <c r="HC795" s="2915"/>
      <c r="HD795" s="2915"/>
      <c r="HE795" s="2915"/>
      <c r="HF795" s="2915"/>
      <c r="HG795" s="2915"/>
      <c r="HH795" s="2915"/>
      <c r="HI795" s="2915"/>
      <c r="HJ795" s="2915"/>
      <c r="HK795" s="2915"/>
      <c r="HL795" s="2915"/>
      <c r="HM795" s="2915"/>
      <c r="HN795" s="2915"/>
      <c r="HO795" s="2915"/>
      <c r="HP795" s="2915"/>
      <c r="HQ795" s="2915"/>
      <c r="HR795" s="2915"/>
      <c r="HS795" s="2915"/>
      <c r="HT795" s="2915"/>
      <c r="HU795" s="2915"/>
      <c r="HV795" s="2915"/>
      <c r="HW795" s="2915"/>
      <c r="HX795" s="2915"/>
      <c r="HY795" s="2915"/>
      <c r="HZ795" s="2915"/>
      <c r="IA795" s="2915"/>
      <c r="IB795" s="2915"/>
      <c r="IC795" s="2915"/>
      <c r="IJ795" s="524"/>
      <c r="IZ795" s="524"/>
      <c r="JA795" s="524"/>
    </row>
    <row r="796" spans="2:261" s="521" customFormat="1" ht="15.6" customHeight="1">
      <c r="B796" s="521" t="s">
        <v>2450</v>
      </c>
      <c r="D796" s="2991"/>
      <c r="F796" s="2988">
        <f>'Part VI-Revenues &amp; Expenses'!F176</f>
        <v>1000</v>
      </c>
      <c r="G796" s="2988"/>
      <c r="I796" s="2990" t="s">
        <v>53</v>
      </c>
      <c r="J796" s="2990"/>
      <c r="K796" s="2988">
        <f>'Part VI-Revenues &amp; Expenses'!K176</f>
        <v>0</v>
      </c>
      <c r="L796" s="2988"/>
      <c r="N796" s="2957"/>
      <c r="O796" s="2957"/>
      <c r="P796" s="2957"/>
      <c r="T796" s="2944"/>
      <c r="U796" s="2944"/>
      <c r="V796" s="926"/>
      <c r="W796" s="926"/>
      <c r="X796" s="926"/>
      <c r="GS796" s="2915"/>
      <c r="GX796" s="2915"/>
      <c r="GY796" s="2915"/>
      <c r="GZ796" s="2915"/>
      <c r="HA796" s="2915"/>
      <c r="HB796" s="2915"/>
      <c r="HC796" s="2915"/>
      <c r="HD796" s="2915"/>
      <c r="HE796" s="2915"/>
      <c r="HF796" s="2915"/>
      <c r="HG796" s="2915"/>
      <c r="HH796" s="2915"/>
      <c r="HI796" s="2915"/>
      <c r="HJ796" s="2915"/>
      <c r="HK796" s="2915"/>
      <c r="HL796" s="2915"/>
      <c r="HM796" s="2915"/>
      <c r="HN796" s="2915"/>
      <c r="HO796" s="2915"/>
      <c r="HP796" s="2915"/>
      <c r="HQ796" s="2915"/>
      <c r="HR796" s="2915"/>
      <c r="HS796" s="2915"/>
      <c r="HT796" s="2915"/>
      <c r="HU796" s="2915"/>
      <c r="HV796" s="2915"/>
      <c r="HW796" s="2915"/>
      <c r="HX796" s="2915"/>
      <c r="HY796" s="2915"/>
      <c r="HZ796" s="2915"/>
      <c r="IA796" s="2915"/>
      <c r="IB796" s="2915"/>
      <c r="IC796" s="2915"/>
      <c r="IJ796" s="524"/>
      <c r="IZ796" s="524"/>
      <c r="JA796" s="524"/>
    </row>
    <row r="797" spans="2:261" s="521" customFormat="1" ht="15.6" customHeight="1">
      <c r="B797" s="521" t="s">
        <v>1677</v>
      </c>
      <c r="D797" s="2991"/>
      <c r="F797" s="2988">
        <f>'Part VI-Revenues &amp; Expenses'!F177</f>
        <v>0</v>
      </c>
      <c r="G797" s="2988"/>
      <c r="I797" s="524"/>
      <c r="J797" s="2989" t="s">
        <v>197</v>
      </c>
      <c r="K797" s="2995">
        <f>SUM(K793:K796)</f>
        <v>6000</v>
      </c>
      <c r="L797" s="2995"/>
      <c r="T797" s="2944"/>
      <c r="U797" s="2944"/>
      <c r="V797" s="926"/>
      <c r="W797" s="926"/>
      <c r="X797" s="926"/>
      <c r="GS797" s="2915"/>
      <c r="GX797" s="2915"/>
      <c r="GY797" s="2915"/>
      <c r="GZ797" s="2915"/>
      <c r="HA797" s="2915"/>
      <c r="HB797" s="2915"/>
      <c r="HC797" s="2915"/>
      <c r="HD797" s="2915"/>
      <c r="HE797" s="2915"/>
      <c r="HF797" s="2915"/>
      <c r="HG797" s="2915"/>
      <c r="HH797" s="2915"/>
      <c r="HI797" s="2915"/>
      <c r="HJ797" s="2915"/>
      <c r="HK797" s="2915"/>
      <c r="HL797" s="2915"/>
      <c r="HM797" s="2915"/>
      <c r="HN797" s="2915"/>
      <c r="HO797" s="2915"/>
      <c r="HP797" s="2915"/>
      <c r="HQ797" s="2915"/>
      <c r="HR797" s="2915"/>
      <c r="HS797" s="2915"/>
      <c r="HT797" s="2915"/>
      <c r="HU797" s="2915"/>
      <c r="HV797" s="2915"/>
      <c r="HW797" s="2915"/>
      <c r="HX797" s="2915"/>
      <c r="HY797" s="2915"/>
      <c r="HZ797" s="2915"/>
      <c r="IA797" s="2915"/>
      <c r="IB797" s="2915"/>
      <c r="IC797" s="2915"/>
      <c r="IJ797" s="524"/>
      <c r="IZ797" s="524"/>
      <c r="JA797" s="524"/>
    </row>
    <row r="798" spans="2:261" s="521" customFormat="1" ht="15.6" customHeight="1">
      <c r="B798" s="2985" t="s">
        <v>53</v>
      </c>
      <c r="C798" s="2985"/>
      <c r="D798" s="2985"/>
      <c r="E798" s="2985"/>
      <c r="F798" s="2988">
        <f>'Part VI-Revenues &amp; Expenses'!F178</f>
        <v>0</v>
      </c>
      <c r="G798" s="2988"/>
      <c r="J798" s="2956"/>
      <c r="N798" s="524" t="s">
        <v>2288</v>
      </c>
      <c r="P798" s="2984">
        <f>F790+F799+F810+K788+K797+K807+P789+P792</f>
        <v>147054</v>
      </c>
      <c r="T798" s="2869">
        <f>'Part VI-Revenues &amp; Expenses'!U178</f>
        <v>0</v>
      </c>
      <c r="U798" s="2944"/>
      <c r="V798" s="926"/>
      <c r="W798" s="926"/>
      <c r="X798" s="926"/>
      <c r="GS798" s="2915"/>
      <c r="GX798" s="2915"/>
      <c r="GY798" s="2915"/>
      <c r="GZ798" s="2915"/>
      <c r="HA798" s="2915"/>
      <c r="HB798" s="2915"/>
      <c r="HC798" s="2915"/>
      <c r="HD798" s="2915"/>
      <c r="HE798" s="2915"/>
      <c r="HF798" s="2915"/>
      <c r="HG798" s="2915"/>
      <c r="HH798" s="2915"/>
      <c r="HI798" s="2915"/>
      <c r="HJ798" s="2915"/>
      <c r="HK798" s="2915"/>
      <c r="HL798" s="2915"/>
      <c r="HM798" s="2915"/>
      <c r="HN798" s="2915"/>
      <c r="HO798" s="2915"/>
      <c r="HP798" s="2915"/>
      <c r="HQ798" s="2915"/>
      <c r="HR798" s="2915"/>
      <c r="HS798" s="2915"/>
      <c r="HT798" s="2915"/>
      <c r="HU798" s="2915"/>
      <c r="HV798" s="2915"/>
      <c r="HW798" s="2915"/>
      <c r="HX798" s="2915"/>
      <c r="HY798" s="2915"/>
      <c r="HZ798" s="2915"/>
      <c r="IA798" s="2915"/>
      <c r="IB798" s="2915"/>
      <c r="IC798" s="2915"/>
      <c r="IJ798" s="524"/>
      <c r="IZ798" s="524"/>
      <c r="JA798" s="524"/>
    </row>
    <row r="799" spans="2:261" s="521" customFormat="1" ht="15.6" customHeight="1">
      <c r="C799" s="2989" t="s">
        <v>197</v>
      </c>
      <c r="F799" s="2988">
        <f>SUM(F793:G798)</f>
        <v>6400</v>
      </c>
      <c r="G799" s="2988"/>
      <c r="J799" s="2956"/>
      <c r="N799" s="2993">
        <f>+P798/M682</f>
        <v>3501.2857142857142</v>
      </c>
      <c r="O799" s="2994" t="s">
        <v>3022</v>
      </c>
      <c r="T799" s="2944"/>
      <c r="U799" s="2944"/>
      <c r="V799" s="926"/>
      <c r="W799" s="926"/>
      <c r="X799" s="926"/>
      <c r="GS799" s="2915"/>
      <c r="GX799" s="2915"/>
      <c r="GY799" s="2915"/>
      <c r="GZ799" s="2915"/>
      <c r="HA799" s="2915"/>
      <c r="HB799" s="2915"/>
      <c r="HC799" s="2915"/>
      <c r="HD799" s="2915"/>
      <c r="HE799" s="2915"/>
      <c r="HF799" s="2915"/>
      <c r="HG799" s="2915"/>
      <c r="HH799" s="2915"/>
      <c r="HI799" s="2915"/>
      <c r="HJ799" s="2915"/>
      <c r="HK799" s="2915"/>
      <c r="HL799" s="2915"/>
      <c r="HM799" s="2915"/>
      <c r="HN799" s="2915"/>
      <c r="HO799" s="2915"/>
      <c r="HP799" s="2915"/>
      <c r="HQ799" s="2915"/>
      <c r="HR799" s="2915"/>
      <c r="HS799" s="2915"/>
      <c r="HT799" s="2915"/>
      <c r="HU799" s="2915"/>
      <c r="HV799" s="2915"/>
      <c r="HW799" s="2915"/>
      <c r="HX799" s="2915"/>
      <c r="HY799" s="2915"/>
      <c r="HZ799" s="2915"/>
      <c r="IA799" s="2915"/>
      <c r="IB799" s="2915"/>
      <c r="IC799" s="2915"/>
      <c r="IJ799" s="524"/>
      <c r="IZ799" s="524"/>
      <c r="JA799" s="524"/>
    </row>
    <row r="800" spans="2:261" s="521" customFormat="1" ht="6" customHeight="1">
      <c r="D800" s="2989"/>
      <c r="F800" s="2956"/>
      <c r="G800" s="2956"/>
      <c r="J800" s="2956"/>
      <c r="T800" s="2944"/>
      <c r="U800" s="2944"/>
      <c r="GS800" s="2915"/>
      <c r="GX800" s="2915"/>
      <c r="GY800" s="2915"/>
      <c r="GZ800" s="2915"/>
      <c r="HA800" s="2915"/>
      <c r="HB800" s="2915"/>
      <c r="HC800" s="2915"/>
      <c r="HD800" s="2915"/>
      <c r="HE800" s="2915"/>
      <c r="HF800" s="2915"/>
      <c r="HG800" s="2915"/>
      <c r="HH800" s="2915"/>
      <c r="HI800" s="2915"/>
      <c r="HJ800" s="2915"/>
      <c r="HK800" s="2915"/>
      <c r="HL800" s="2915"/>
      <c r="HM800" s="2915"/>
      <c r="HN800" s="2915"/>
      <c r="HO800" s="2915"/>
      <c r="HP800" s="2915"/>
      <c r="HQ800" s="2915"/>
      <c r="HR800" s="2915"/>
      <c r="HS800" s="2915"/>
      <c r="HT800" s="2915"/>
      <c r="HU800" s="2915"/>
      <c r="HV800" s="2915"/>
      <c r="HW800" s="2915"/>
      <c r="HX800" s="2915"/>
      <c r="HY800" s="2915"/>
      <c r="HZ800" s="2915"/>
      <c r="IA800" s="2915"/>
      <c r="IB800" s="2915"/>
      <c r="IC800" s="2915"/>
      <c r="IJ800" s="524"/>
      <c r="IZ800" s="524"/>
      <c r="JA800" s="524"/>
    </row>
    <row r="801" spans="1:261" s="521" customFormat="1" ht="15.75" customHeight="1">
      <c r="B801" s="524" t="s">
        <v>1357</v>
      </c>
      <c r="D801" s="2991"/>
      <c r="I801" s="524" t="s">
        <v>1440</v>
      </c>
      <c r="J801" s="2717" t="s">
        <v>3019</v>
      </c>
      <c r="N801" s="524" t="s">
        <v>4222</v>
      </c>
      <c r="O801" s="524"/>
      <c r="P801" s="2992">
        <f>P802*M682</f>
        <v>14700</v>
      </c>
      <c r="T801" s="2944"/>
      <c r="U801" s="2944"/>
      <c r="V801" s="926"/>
      <c r="W801" s="926"/>
      <c r="X801" s="926"/>
      <c r="GS801" s="2915"/>
      <c r="GX801" s="2915"/>
      <c r="GY801" s="2915"/>
      <c r="GZ801" s="2915"/>
      <c r="HA801" s="2915"/>
      <c r="HB801" s="2915"/>
      <c r="HC801" s="2915"/>
      <c r="HD801" s="2915"/>
      <c r="HE801" s="2915"/>
      <c r="HF801" s="2915"/>
      <c r="HG801" s="2915"/>
      <c r="HH801" s="2915"/>
      <c r="HI801" s="2915"/>
      <c r="HJ801" s="2915"/>
      <c r="HK801" s="2915"/>
      <c r="HL801" s="2915"/>
      <c r="HM801" s="2915"/>
      <c r="HN801" s="2915"/>
      <c r="HO801" s="2915"/>
      <c r="HP801" s="2915"/>
      <c r="HQ801" s="2915"/>
      <c r="HR801" s="2915"/>
      <c r="HS801" s="2915"/>
      <c r="HT801" s="2915"/>
      <c r="HU801" s="2915"/>
      <c r="HV801" s="2915"/>
      <c r="HW801" s="2915"/>
      <c r="HX801" s="2915"/>
      <c r="HY801" s="2915"/>
      <c r="HZ801" s="2915"/>
      <c r="IA801" s="2915"/>
      <c r="IB801" s="2915"/>
      <c r="IC801" s="2915"/>
      <c r="IJ801" s="524"/>
      <c r="IZ801" s="524"/>
      <c r="JA801" s="524"/>
    </row>
    <row r="802" spans="1:261" s="521" customFormat="1" ht="15.6" customHeight="1">
      <c r="B802" s="521" t="s">
        <v>1681</v>
      </c>
      <c r="D802" s="2991"/>
      <c r="F802" s="2988">
        <f>'Part VI-Revenues &amp; Expenses'!F182</f>
        <v>8000</v>
      </c>
      <c r="G802" s="2988"/>
      <c r="I802" s="521" t="s">
        <v>1433</v>
      </c>
      <c r="J802" s="2877">
        <f>K802/12/M682</f>
        <v>10.912698412698413</v>
      </c>
      <c r="K802" s="2988">
        <f>'Part VI-Revenues &amp; Expenses'!K182</f>
        <v>5500</v>
      </c>
      <c r="L802" s="2988"/>
      <c r="N802" s="525" t="s">
        <v>4223</v>
      </c>
      <c r="P802" s="2996">
        <f>'Part VI-Revenues &amp; Expenses'!P182</f>
        <v>350</v>
      </c>
      <c r="T802" s="2944"/>
      <c r="U802" s="2944"/>
      <c r="V802" s="926"/>
      <c r="W802" s="926"/>
      <c r="X802" s="926"/>
      <c r="GS802" s="2915"/>
      <c r="GX802" s="2915"/>
      <c r="GY802" s="2915"/>
      <c r="GZ802" s="2915"/>
      <c r="HA802" s="2915"/>
      <c r="HB802" s="2915"/>
      <c r="HC802" s="2915"/>
      <c r="HD802" s="2915"/>
      <c r="HE802" s="2915"/>
      <c r="HF802" s="2915"/>
      <c r="HG802" s="2915"/>
      <c r="HH802" s="2915"/>
      <c r="HI802" s="2915"/>
      <c r="HJ802" s="2915"/>
      <c r="HK802" s="2915"/>
      <c r="HL802" s="2915"/>
      <c r="HM802" s="2915"/>
      <c r="HN802" s="2915"/>
      <c r="HO802" s="2915"/>
      <c r="HP802" s="2915"/>
      <c r="HQ802" s="2915"/>
      <c r="HR802" s="2915"/>
      <c r="HS802" s="2915"/>
      <c r="HT802" s="2915"/>
      <c r="HU802" s="2915"/>
      <c r="HV802" s="2915"/>
      <c r="HW802" s="2915"/>
      <c r="HX802" s="2915"/>
      <c r="HY802" s="2915"/>
      <c r="HZ802" s="2915"/>
      <c r="IA802" s="2915"/>
      <c r="IB802" s="2915"/>
      <c r="IC802" s="2915"/>
      <c r="IJ802" s="524"/>
      <c r="IZ802" s="524"/>
      <c r="JA802" s="524"/>
    </row>
    <row r="803" spans="1:261" s="521" customFormat="1" ht="15.6" customHeight="1">
      <c r="B803" s="521" t="s">
        <v>1682</v>
      </c>
      <c r="D803" s="2991"/>
      <c r="F803" s="2988">
        <f>'Part VI-Revenues &amp; Expenses'!F183</f>
        <v>3500</v>
      </c>
      <c r="G803" s="2988"/>
      <c r="I803" s="521" t="s">
        <v>1434</v>
      </c>
      <c r="J803" s="2877">
        <f>K803/12/M682</f>
        <v>0</v>
      </c>
      <c r="K803" s="2988">
        <f>'Part VI-Revenues &amp; Expenses'!K183</f>
        <v>0</v>
      </c>
      <c r="L803" s="2988"/>
      <c r="N803" s="2997">
        <f>ROUND(P810/M682,0)</f>
        <v>350</v>
      </c>
      <c r="O803" s="2994" t="s">
        <v>3022</v>
      </c>
      <c r="Q803" s="2998"/>
      <c r="T803" s="2944"/>
      <c r="U803" s="2944"/>
      <c r="V803" s="926"/>
      <c r="W803" s="926"/>
      <c r="X803" s="926"/>
      <c r="GS803" s="2915"/>
      <c r="GX803" s="2915"/>
      <c r="GY803" s="2915"/>
      <c r="GZ803" s="2915"/>
      <c r="HA803" s="2915"/>
      <c r="HB803" s="2915"/>
      <c r="HC803" s="2915"/>
      <c r="HD803" s="2915"/>
      <c r="HE803" s="2915"/>
      <c r="HF803" s="2915"/>
      <c r="HG803" s="2915"/>
      <c r="HH803" s="2915"/>
      <c r="HI803" s="2915"/>
      <c r="HJ803" s="2915"/>
      <c r="HK803" s="2915"/>
      <c r="HL803" s="2915"/>
      <c r="HM803" s="2915"/>
      <c r="HN803" s="2915"/>
      <c r="HO803" s="2915"/>
      <c r="HP803" s="2915"/>
      <c r="HQ803" s="2915"/>
      <c r="HR803" s="2915"/>
      <c r="HS803" s="2915"/>
      <c r="HT803" s="2915"/>
      <c r="HU803" s="2915"/>
      <c r="HV803" s="2915"/>
      <c r="HW803" s="2915"/>
      <c r="HX803" s="2915"/>
      <c r="HY803" s="2915"/>
      <c r="HZ803" s="2915"/>
      <c r="IA803" s="2915"/>
      <c r="IB803" s="2915"/>
      <c r="IC803" s="2915"/>
      <c r="IJ803" s="524"/>
      <c r="IZ803" s="524"/>
      <c r="JA803" s="524"/>
    </row>
    <row r="804" spans="1:261" s="521" customFormat="1" ht="15.6" customHeight="1">
      <c r="B804" s="521" t="s">
        <v>1683</v>
      </c>
      <c r="D804" s="2991"/>
      <c r="F804" s="2988">
        <f>'Part VI-Revenues &amp; Expenses'!F184</f>
        <v>12000</v>
      </c>
      <c r="G804" s="2988"/>
      <c r="I804" s="521" t="s">
        <v>2462</v>
      </c>
      <c r="J804" s="2877">
        <f>K804/12/M682</f>
        <v>1.2896825396825395</v>
      </c>
      <c r="K804" s="2988">
        <f>'Part VI-Revenues &amp; Expenses'!K184</f>
        <v>650</v>
      </c>
      <c r="L804" s="2988"/>
      <c r="N804" s="2998" t="s">
        <v>2885</v>
      </c>
      <c r="O804" s="2999" t="s">
        <v>4014</v>
      </c>
      <c r="P804" s="2999" t="s">
        <v>4015</v>
      </c>
      <c r="T804" s="2944"/>
      <c r="U804" s="2944"/>
      <c r="V804" s="926"/>
      <c r="W804" s="926"/>
      <c r="X804" s="926"/>
      <c r="GS804" s="2915"/>
      <c r="GX804" s="2915"/>
      <c r="GY804" s="2915"/>
      <c r="GZ804" s="2915"/>
      <c r="HA804" s="2915"/>
      <c r="HB804" s="2915"/>
      <c r="HC804" s="2915"/>
      <c r="HD804" s="2915"/>
      <c r="HE804" s="2915"/>
      <c r="HF804" s="2915"/>
      <c r="HG804" s="2915"/>
      <c r="HH804" s="2915"/>
      <c r="HI804" s="2915"/>
      <c r="HJ804" s="2915"/>
      <c r="HK804" s="2915"/>
      <c r="HL804" s="2915"/>
      <c r="HM804" s="2915"/>
      <c r="HN804" s="2915"/>
      <c r="HO804" s="2915"/>
      <c r="HP804" s="2915"/>
      <c r="HQ804" s="2915"/>
      <c r="HR804" s="2915"/>
      <c r="HS804" s="2915"/>
      <c r="HT804" s="2915"/>
      <c r="HU804" s="2915"/>
      <c r="HV804" s="2915"/>
      <c r="HW804" s="2915"/>
      <c r="HX804" s="2915"/>
      <c r="HY804" s="2915"/>
      <c r="HZ804" s="2915"/>
      <c r="IA804" s="2915"/>
      <c r="IB804" s="2915"/>
      <c r="IC804" s="2915"/>
      <c r="IJ804" s="524"/>
      <c r="IZ804" s="524"/>
      <c r="JA804" s="524"/>
    </row>
    <row r="805" spans="1:261" s="521" customFormat="1" ht="15.6" customHeight="1">
      <c r="B805" s="521" t="s">
        <v>1050</v>
      </c>
      <c r="D805" s="2991"/>
      <c r="F805" s="2988">
        <f>'Part VI-Revenues &amp; Expenses'!F185</f>
        <v>2500</v>
      </c>
      <c r="G805" s="2988"/>
      <c r="I805" s="521" t="s">
        <v>1436</v>
      </c>
      <c r="K805" s="2988">
        <f>'Part VI-Revenues &amp; Expenses'!K185</f>
        <v>6800</v>
      </c>
      <c r="L805" s="2988"/>
      <c r="N805" s="3000" t="s">
        <v>41</v>
      </c>
      <c r="T805" s="2944"/>
      <c r="U805" s="2944"/>
      <c r="V805" s="926"/>
      <c r="W805" s="926"/>
      <c r="X805" s="926"/>
      <c r="GS805" s="2915"/>
      <c r="GX805" s="2915"/>
      <c r="GY805" s="2915"/>
      <c r="GZ805" s="2915"/>
      <c r="HA805" s="2915"/>
      <c r="HB805" s="2915"/>
      <c r="HC805" s="2915"/>
      <c r="HD805" s="2915"/>
      <c r="HE805" s="2915"/>
      <c r="HF805" s="2915"/>
      <c r="HG805" s="2915"/>
      <c r="HH805" s="2915"/>
      <c r="HI805" s="2915"/>
      <c r="HJ805" s="2915"/>
      <c r="HK805" s="2915"/>
      <c r="HL805" s="2915"/>
      <c r="HM805" s="2915"/>
      <c r="HN805" s="2915"/>
      <c r="HO805" s="2915"/>
      <c r="HP805" s="2915"/>
      <c r="HQ805" s="2915"/>
      <c r="HR805" s="2915"/>
      <c r="HS805" s="2915"/>
      <c r="HT805" s="2915"/>
      <c r="HU805" s="2915"/>
      <c r="HV805" s="2915"/>
      <c r="HW805" s="2915"/>
      <c r="HX805" s="2915"/>
      <c r="HY805" s="2915"/>
      <c r="HZ805" s="2915"/>
      <c r="IA805" s="2915"/>
      <c r="IB805" s="2915"/>
      <c r="IC805" s="2915"/>
      <c r="IJ805" s="524"/>
      <c r="IZ805" s="524"/>
      <c r="JA805" s="524"/>
    </row>
    <row r="806" spans="1:261" s="521" customFormat="1" ht="15.6" customHeight="1">
      <c r="B806" s="521" t="s">
        <v>1051</v>
      </c>
      <c r="D806" s="2991"/>
      <c r="F806" s="2988">
        <f>'Part VI-Revenues &amp; Expenses'!F186</f>
        <v>6000</v>
      </c>
      <c r="G806" s="2988"/>
      <c r="I806" s="2990" t="s">
        <v>53</v>
      </c>
      <c r="J806" s="2990"/>
      <c r="K806" s="2988">
        <f>'Part VI-Revenues &amp; Expenses'!K186</f>
        <v>0</v>
      </c>
      <c r="L806" s="2988"/>
      <c r="N806" s="2718" t="s">
        <v>4006</v>
      </c>
      <c r="O806" s="3001" t="str">
        <f>CONCATENATE(SUM(JB668:JF668)," units x $",'DCA Underwriting Assumptions'!$Q$53," =")</f>
        <v>42 units x $350 =</v>
      </c>
      <c r="P806" s="3001">
        <f>SUM(JB668:JF668)*'DCA Underwriting Assumptions'!$Q$53</f>
        <v>14700</v>
      </c>
      <c r="T806" s="2944"/>
      <c r="U806" s="2944"/>
      <c r="V806" s="926"/>
      <c r="W806" s="926"/>
      <c r="X806" s="926"/>
      <c r="GS806" s="2915"/>
      <c r="GX806" s="2915"/>
      <c r="GY806" s="2915"/>
      <c r="GZ806" s="2915"/>
      <c r="HA806" s="2915"/>
      <c r="HB806" s="2915"/>
      <c r="HC806" s="2915"/>
      <c r="HD806" s="2915"/>
      <c r="HE806" s="2915"/>
      <c r="HF806" s="2915"/>
      <c r="HG806" s="2915"/>
      <c r="HH806" s="2915"/>
      <c r="HI806" s="2915"/>
      <c r="HJ806" s="2915"/>
      <c r="HK806" s="2915"/>
      <c r="HL806" s="2915"/>
      <c r="HM806" s="2915"/>
      <c r="HN806" s="2915"/>
      <c r="HO806" s="2915"/>
      <c r="HP806" s="2915"/>
      <c r="HQ806" s="2915"/>
      <c r="HR806" s="2915"/>
      <c r="HS806" s="2915"/>
      <c r="HT806" s="2915"/>
      <c r="HU806" s="2915"/>
      <c r="HV806" s="2915"/>
      <c r="HW806" s="2915"/>
      <c r="HX806" s="2915"/>
      <c r="HY806" s="2915"/>
      <c r="HZ806" s="2915"/>
      <c r="IA806" s="2915"/>
      <c r="IB806" s="2915"/>
      <c r="IC806" s="2915"/>
      <c r="IJ806" s="524"/>
      <c r="IZ806" s="524"/>
      <c r="JA806" s="524"/>
    </row>
    <row r="807" spans="1:261" s="521" customFormat="1" ht="15.6" customHeight="1">
      <c r="B807" s="521" t="s">
        <v>1052</v>
      </c>
      <c r="D807" s="2991"/>
      <c r="F807" s="2988">
        <f>'Part VI-Revenues &amp; Expenses'!F187</f>
        <v>0</v>
      </c>
      <c r="G807" s="2988"/>
      <c r="J807" s="2989" t="s">
        <v>197</v>
      </c>
      <c r="K807" s="2995">
        <f>SUM(K802:K806)</f>
        <v>12950</v>
      </c>
      <c r="L807" s="2995"/>
      <c r="N807" s="2718" t="s">
        <v>4005</v>
      </c>
      <c r="O807" s="3001" t="str">
        <f>CONCATENATE(SUM(JG668:JK668)," units x $",'DCA Underwriting Assumptions'!$Q$54," =")</f>
        <v>0 units x $250 =</v>
      </c>
      <c r="P807" s="3001">
        <f>SUM(JG668:JK668)*'DCA Underwriting Assumptions'!$Q$54</f>
        <v>0</v>
      </c>
      <c r="T807" s="2944"/>
      <c r="U807" s="2944"/>
      <c r="V807" s="926"/>
      <c r="W807" s="926"/>
      <c r="X807" s="926"/>
      <c r="GS807" s="2915"/>
      <c r="GX807" s="2915"/>
      <c r="GY807" s="2915"/>
      <c r="GZ807" s="2915"/>
      <c r="HA807" s="2915"/>
      <c r="HB807" s="2915"/>
      <c r="HC807" s="2915"/>
      <c r="HD807" s="2915"/>
      <c r="HE807" s="2915"/>
      <c r="HF807" s="2915"/>
      <c r="HG807" s="2915"/>
      <c r="HH807" s="2915"/>
      <c r="HI807" s="2915"/>
      <c r="HJ807" s="2915"/>
      <c r="HK807" s="2915"/>
      <c r="HL807" s="2915"/>
      <c r="HM807" s="2915"/>
      <c r="HN807" s="2915"/>
      <c r="HO807" s="2915"/>
      <c r="HP807" s="2915"/>
      <c r="HQ807" s="2915"/>
      <c r="HR807" s="2915"/>
      <c r="HS807" s="2915"/>
      <c r="HT807" s="2915"/>
      <c r="HU807" s="2915"/>
      <c r="HV807" s="2915"/>
      <c r="HW807" s="2915"/>
      <c r="HX807" s="2915"/>
      <c r="HY807" s="2915"/>
      <c r="HZ807" s="2915"/>
      <c r="IA807" s="2915"/>
      <c r="IB807" s="2915"/>
      <c r="IC807" s="2915"/>
      <c r="IJ807" s="524"/>
      <c r="IZ807" s="524"/>
      <c r="JA807" s="524"/>
    </row>
    <row r="808" spans="1:261" s="521" customFormat="1" ht="15.6" customHeight="1">
      <c r="B808" s="521" t="s">
        <v>909</v>
      </c>
      <c r="D808" s="2991"/>
      <c r="F808" s="2988">
        <f>'Part VI-Revenues &amp; Expenses'!F188</f>
        <v>2000</v>
      </c>
      <c r="G808" s="2988"/>
      <c r="J808" s="2956"/>
      <c r="N808" s="3002" t="s">
        <v>4009</v>
      </c>
      <c r="O808" s="3001" t="str">
        <f>CONCATENATE(SUM(JL668:JP668)," units x $",'DCA Underwriting Assumptions'!$Q$55," =")</f>
        <v>0 units x $420 =</v>
      </c>
      <c r="P808" s="3001">
        <f>SUM(JL668:JP668)*'DCA Underwriting Assumptions'!$Q$55</f>
        <v>0</v>
      </c>
      <c r="T808" s="2944"/>
      <c r="U808" s="2944"/>
      <c r="V808" s="926"/>
      <c r="W808" s="926"/>
      <c r="X808" s="926"/>
      <c r="GS808" s="2915"/>
      <c r="GX808" s="2915"/>
      <c r="GY808" s="2915"/>
      <c r="GZ808" s="2915"/>
      <c r="HA808" s="2915"/>
      <c r="HB808" s="2915"/>
      <c r="HC808" s="2915"/>
      <c r="HD808" s="2915"/>
      <c r="HE808" s="2915"/>
      <c r="HF808" s="2915"/>
      <c r="HG808" s="2915"/>
      <c r="HH808" s="2915"/>
      <c r="HI808" s="2915"/>
      <c r="HJ808" s="2915"/>
      <c r="HK808" s="2915"/>
      <c r="HL808" s="2915"/>
      <c r="HM808" s="2915"/>
      <c r="HN808" s="2915"/>
      <c r="HO808" s="2915"/>
      <c r="HP808" s="2915"/>
      <c r="HQ808" s="2915"/>
      <c r="HR808" s="2915"/>
      <c r="HS808" s="2915"/>
      <c r="HT808" s="2915"/>
      <c r="HU808" s="2915"/>
      <c r="HV808" s="2915"/>
      <c r="HW808" s="2915"/>
      <c r="HX808" s="2915"/>
      <c r="HY808" s="2915"/>
      <c r="HZ808" s="2915"/>
      <c r="IA808" s="2915"/>
      <c r="IB808" s="2915"/>
      <c r="IC808" s="2915"/>
      <c r="IJ808" s="524"/>
      <c r="IZ808" s="524"/>
      <c r="JA808" s="524"/>
    </row>
    <row r="809" spans="1:261" s="521" customFormat="1" ht="15.6" customHeight="1">
      <c r="B809" s="2985" t="s">
        <v>53</v>
      </c>
      <c r="C809" s="2985"/>
      <c r="D809" s="2985"/>
      <c r="E809" s="2985"/>
      <c r="F809" s="2988">
        <f>'Part VI-Revenues &amp; Expenses'!F189</f>
        <v>0</v>
      </c>
      <c r="G809" s="2988"/>
      <c r="J809" s="2956"/>
      <c r="N809" s="3002" t="s">
        <v>4004</v>
      </c>
      <c r="O809" s="3001" t="str">
        <f>CONCATENATE(M704," units x $",'DCA Underwriting Assumptions'!$Q$55," =")</f>
        <v>0 units x $420 =</v>
      </c>
      <c r="P809" s="3001">
        <f>M704*'DCA Underwriting Assumptions'!$Q$55</f>
        <v>0</v>
      </c>
      <c r="T809" s="2944"/>
      <c r="U809" s="2944"/>
      <c r="V809" s="926"/>
      <c r="W809" s="926"/>
      <c r="X809" s="926"/>
      <c r="GS809" s="2915"/>
      <c r="GX809" s="2915"/>
      <c r="GY809" s="2915"/>
      <c r="GZ809" s="2915"/>
      <c r="HA809" s="2915"/>
      <c r="HB809" s="2915"/>
      <c r="HC809" s="2915"/>
      <c r="HD809" s="2915"/>
      <c r="HE809" s="2915"/>
      <c r="HF809" s="2915"/>
      <c r="HG809" s="2915"/>
      <c r="HH809" s="2915"/>
      <c r="HI809" s="2915"/>
      <c r="HJ809" s="2915"/>
      <c r="HK809" s="2915"/>
      <c r="HL809" s="2915"/>
      <c r="HM809" s="2915"/>
      <c r="HN809" s="2915"/>
      <c r="HO809" s="2915"/>
      <c r="HP809" s="2915"/>
      <c r="HQ809" s="2915"/>
      <c r="HR809" s="2915"/>
      <c r="HS809" s="2915"/>
      <c r="HT809" s="2915"/>
      <c r="HU809" s="2915"/>
      <c r="HV809" s="2915"/>
      <c r="HW809" s="2915"/>
      <c r="HX809" s="2915"/>
      <c r="HY809" s="2915"/>
      <c r="HZ809" s="2915"/>
      <c r="IA809" s="2915"/>
      <c r="IB809" s="2915"/>
      <c r="IC809" s="2915"/>
      <c r="IJ809" s="524"/>
      <c r="IZ809" s="524"/>
      <c r="JA809" s="524"/>
    </row>
    <row r="810" spans="1:261" s="521" customFormat="1" ht="15.6" customHeight="1">
      <c r="B810" s="524"/>
      <c r="C810" s="2989" t="s">
        <v>197</v>
      </c>
      <c r="F810" s="2988">
        <f>SUM(F802:G809)</f>
        <v>34000</v>
      </c>
      <c r="G810" s="2988"/>
      <c r="J810" s="2956"/>
      <c r="N810" s="3003" t="s">
        <v>2888</v>
      </c>
      <c r="O810" s="3001">
        <f>SUM(JB668:JF668)+SUM(JG668:JK668)+SUM(JL668:JP668)+M704</f>
        <v>42</v>
      </c>
      <c r="P810" s="3001">
        <f>SUM(P806:P809)</f>
        <v>14700</v>
      </c>
      <c r="T810" s="2944"/>
      <c r="U810" s="2944"/>
      <c r="V810" s="926"/>
      <c r="W810" s="926"/>
      <c r="X810" s="926"/>
      <c r="GS810" s="2915"/>
      <c r="GX810" s="2915"/>
      <c r="GY810" s="2915"/>
      <c r="GZ810" s="2915"/>
      <c r="HA810" s="2915"/>
      <c r="HB810" s="2915"/>
      <c r="HC810" s="2915"/>
      <c r="HD810" s="2915"/>
      <c r="HE810" s="2915"/>
      <c r="HF810" s="2915"/>
      <c r="HG810" s="2915"/>
      <c r="HH810" s="2915"/>
      <c r="HI810" s="2915"/>
      <c r="HJ810" s="2915"/>
      <c r="HK810" s="2915"/>
      <c r="HL810" s="2915"/>
      <c r="HM810" s="2915"/>
      <c r="HN810" s="2915"/>
      <c r="HO810" s="2915"/>
      <c r="HP810" s="2915"/>
      <c r="HQ810" s="2915"/>
      <c r="HR810" s="2915"/>
      <c r="HS810" s="2915"/>
      <c r="HT810" s="2915"/>
      <c r="HU810" s="2915"/>
      <c r="HV810" s="2915"/>
      <c r="HW810" s="2915"/>
      <c r="HX810" s="2915"/>
      <c r="HY810" s="2915"/>
      <c r="HZ810" s="2915"/>
      <c r="IA810" s="2915"/>
      <c r="IB810" s="2915"/>
      <c r="IC810" s="2915"/>
      <c r="IJ810" s="524"/>
      <c r="IZ810" s="524"/>
      <c r="JA810" s="524"/>
    </row>
    <row r="811" spans="1:261" s="521" customFormat="1" ht="6" customHeight="1">
      <c r="B811" s="524"/>
      <c r="C811" s="2989"/>
      <c r="F811" s="2956"/>
      <c r="G811" s="2956"/>
      <c r="J811" s="2956"/>
      <c r="V811" s="926"/>
      <c r="W811" s="926"/>
      <c r="X811" s="926"/>
      <c r="GS811" s="2915"/>
      <c r="GX811" s="2915"/>
      <c r="GY811" s="2915"/>
      <c r="GZ811" s="2915"/>
      <c r="HA811" s="2915"/>
      <c r="HB811" s="2915"/>
      <c r="HC811" s="2915"/>
      <c r="HD811" s="2915"/>
      <c r="HE811" s="2915"/>
      <c r="HF811" s="2915"/>
      <c r="HG811" s="2915"/>
      <c r="HH811" s="2915"/>
      <c r="HI811" s="2915"/>
      <c r="HJ811" s="2915"/>
      <c r="HK811" s="2915"/>
      <c r="HL811" s="2915"/>
      <c r="HM811" s="2915"/>
      <c r="HN811" s="2915"/>
      <c r="HO811" s="2915"/>
      <c r="HP811" s="2915"/>
      <c r="HQ811" s="2915"/>
      <c r="HR811" s="2915"/>
      <c r="HS811" s="2915"/>
      <c r="HT811" s="2915"/>
      <c r="HU811" s="2915"/>
      <c r="HV811" s="2915"/>
      <c r="HW811" s="2915"/>
      <c r="HX811" s="2915"/>
      <c r="HY811" s="2915"/>
      <c r="HZ811" s="2915"/>
      <c r="IA811" s="2915"/>
      <c r="IB811" s="2915"/>
      <c r="IC811" s="2915"/>
      <c r="IJ811" s="524"/>
      <c r="IZ811" s="524"/>
      <c r="JA811" s="524"/>
    </row>
    <row r="812" spans="1:261" s="521" customFormat="1" ht="15.6" customHeight="1">
      <c r="B812" s="524"/>
      <c r="C812" s="2989"/>
      <c r="F812" s="2956"/>
      <c r="G812" s="2956"/>
      <c r="J812" s="2956"/>
      <c r="N812" s="524" t="s">
        <v>2289</v>
      </c>
      <c r="P812" s="2984">
        <f>P798+P801</f>
        <v>161754</v>
      </c>
      <c r="V812" s="926"/>
      <c r="W812" s="926"/>
      <c r="X812" s="926"/>
      <c r="GS812" s="2915"/>
      <c r="GX812" s="2915"/>
      <c r="GY812" s="2915"/>
      <c r="GZ812" s="2915"/>
      <c r="HA812" s="2915"/>
      <c r="HB812" s="2915"/>
      <c r="HC812" s="2915"/>
      <c r="HD812" s="2915"/>
      <c r="HE812" s="2915"/>
      <c r="HF812" s="2915"/>
      <c r="HG812" s="2915"/>
      <c r="HH812" s="2915"/>
      <c r="HI812" s="2915"/>
      <c r="HJ812" s="2915"/>
      <c r="HK812" s="2915"/>
      <c r="HL812" s="2915"/>
      <c r="HM812" s="2915"/>
      <c r="HN812" s="2915"/>
      <c r="HO812" s="2915"/>
      <c r="HP812" s="2915"/>
      <c r="HQ812" s="2915"/>
      <c r="HR812" s="2915"/>
      <c r="HS812" s="2915"/>
      <c r="HT812" s="2915"/>
      <c r="HU812" s="2915"/>
      <c r="HV812" s="2915"/>
      <c r="HW812" s="2915"/>
      <c r="HX812" s="2915"/>
      <c r="HY812" s="2915"/>
      <c r="HZ812" s="2915"/>
      <c r="IA812" s="2915"/>
      <c r="IB812" s="2915"/>
      <c r="IC812" s="2915"/>
      <c r="IJ812" s="524"/>
      <c r="IZ812" s="524"/>
      <c r="JA812" s="524"/>
    </row>
    <row r="813" spans="1:261" s="521" customFormat="1" ht="10.9" customHeight="1">
      <c r="B813" s="524"/>
      <c r="D813" s="2989"/>
      <c r="F813" s="2956"/>
      <c r="G813" s="2956"/>
      <c r="GS813" s="2915"/>
      <c r="GX813" s="2915"/>
      <c r="GY813" s="2915"/>
      <c r="GZ813" s="2915"/>
      <c r="HA813" s="2915"/>
      <c r="HB813" s="2915"/>
      <c r="HC813" s="2915"/>
      <c r="HD813" s="2915"/>
      <c r="HE813" s="2915"/>
      <c r="HF813" s="2915"/>
      <c r="HG813" s="2915"/>
      <c r="HH813" s="2915"/>
      <c r="HI813" s="2915"/>
      <c r="HJ813" s="2915"/>
      <c r="HK813" s="2915"/>
      <c r="HL813" s="2915"/>
      <c r="HM813" s="2915"/>
      <c r="HN813" s="2915"/>
      <c r="HO813" s="2915"/>
      <c r="HP813" s="2915"/>
      <c r="HQ813" s="2915"/>
      <c r="HR813" s="2915"/>
      <c r="HS813" s="2915"/>
      <c r="HT813" s="2915"/>
      <c r="HU813" s="2915"/>
      <c r="HV813" s="2915"/>
      <c r="HW813" s="2915"/>
      <c r="HX813" s="2915"/>
      <c r="HY813" s="2915"/>
      <c r="HZ813" s="2915"/>
      <c r="IA813" s="2915"/>
      <c r="IB813" s="2915"/>
      <c r="IC813" s="2915"/>
      <c r="IJ813" s="524"/>
      <c r="IZ813" s="524"/>
      <c r="JA813" s="524"/>
    </row>
    <row r="814" spans="1:261" ht="12" customHeight="1">
      <c r="A814" s="2907" t="s">
        <v>1881</v>
      </c>
      <c r="B814" s="2907" t="s">
        <v>598</v>
      </c>
      <c r="K814" s="2907" t="s">
        <v>553</v>
      </c>
      <c r="L814" s="2907" t="s">
        <v>1937</v>
      </c>
      <c r="GS814" s="2909"/>
      <c r="GX814" s="2909"/>
      <c r="GY814" s="2909"/>
      <c r="GZ814" s="2909"/>
      <c r="HA814" s="2909"/>
      <c r="HB814" s="2909"/>
      <c r="HC814" s="2909"/>
      <c r="HD814" s="2909"/>
      <c r="HE814" s="2909"/>
      <c r="HF814" s="2909"/>
      <c r="HG814" s="2909"/>
      <c r="HH814" s="2909"/>
      <c r="HI814" s="2909"/>
      <c r="HJ814" s="2909"/>
      <c r="HK814" s="2909"/>
      <c r="HL814" s="2909"/>
      <c r="HM814" s="2909"/>
      <c r="HN814" s="2909"/>
      <c r="HO814" s="2909"/>
      <c r="HP814" s="2909"/>
      <c r="HQ814" s="2909"/>
      <c r="HR814" s="2909"/>
      <c r="HS814" s="2909"/>
      <c r="HT814" s="2909"/>
      <c r="HU814" s="2909"/>
      <c r="HV814" s="2909"/>
      <c r="HW814" s="2909"/>
      <c r="HX814" s="2909"/>
      <c r="HY814" s="2909"/>
      <c r="HZ814" s="2909"/>
      <c r="IA814" s="2909"/>
      <c r="IB814" s="2909"/>
      <c r="IC814" s="2909"/>
      <c r="IJ814" s="2907"/>
      <c r="IZ814" s="2907"/>
      <c r="JA814" s="2907"/>
    </row>
    <row r="815" spans="1:261" ht="145.5" customHeight="1">
      <c r="A815" s="2786" t="str">
        <f>'Part VI-Revenues &amp; Expenses'!A195</f>
        <v>*The utility allowances used are the USDA approved allowances effective 1/1/15.  Because we are using 2015 utility allowance, we've also used the 2015 maximum rents.     
***  The  proposed gross rents used in this budget are  the current (2015) USDA approved rents (except for the 1 1BR-50% unit which is lower to meet tax credit rent limits).                                                                                                                                                                                                                                                                           *** The USDA Rent Increase budgeted amount above represents the annual rent increase approved by USDA to offset the increase in expenses and meet the required 1.25 debt coverage ratio.    USDA has agreed to adjust the rents annually by a sufficient amount to offset any increase in actual expenses and maintain a debt service coverage ratio of 1.25 on all debt.  Confirmation is included in TAB  01 .   This budget is prepared with DCA's required operating expenses of $3500/unit when the property has been operating with actual operating expenses of $3135/unit for the past 3 years so the actual amounts needed in the USDA Rent Increase colum would be less.                                                                                         
  **** Property taxes are calculated by using the actual 2014 property taxes and then increasing by 9% (3% per year) to reach an estimate for 2017 taxes.                                                                                                                                                                                                                      ***** Insurance premiums are calculated by using the actual 2015 insurance cost per unit and increasing that cost by 6% (3% per year).                                                                                                                                                                                                                                                                ******Operating Budget based on similiar properties managed by agent in the same area.
*******Wiavers are being  requested for unit square footages with less that 10% differential from required included in TAB 15.
********There is 1 one bedroom handicapped unit with a square footage of 637.  We included it under the 50% limit but it could be a 50% or 60% unit.</v>
      </c>
      <c r="B815" s="2786"/>
      <c r="C815" s="2786"/>
      <c r="D815" s="2786"/>
      <c r="E815" s="2786"/>
      <c r="F815" s="2786"/>
      <c r="G815" s="2786"/>
      <c r="H815" s="2786"/>
      <c r="I815" s="2786"/>
      <c r="J815" s="2786"/>
      <c r="K815" s="2786">
        <f>'Part VI-Revenues &amp; Expenses'!K195</f>
        <v>0</v>
      </c>
      <c r="L815" s="2786"/>
      <c r="M815" s="2786"/>
      <c r="N815" s="2786"/>
      <c r="O815" s="2786"/>
      <c r="P815" s="2786"/>
      <c r="T815" s="2904" t="s">
        <v>2853</v>
      </c>
      <c r="U815" s="2904"/>
      <c r="GS815" s="2909"/>
      <c r="GX815" s="2909"/>
      <c r="GY815" s="2909"/>
      <c r="GZ815" s="2909"/>
      <c r="HA815" s="2909"/>
      <c r="HB815" s="2909"/>
      <c r="HC815" s="2909"/>
      <c r="HD815" s="2909"/>
      <c r="HE815" s="2909"/>
      <c r="HF815" s="2909"/>
      <c r="HG815" s="2909"/>
      <c r="HH815" s="2909"/>
      <c r="HI815" s="2909"/>
      <c r="HJ815" s="2909"/>
      <c r="HK815" s="2909"/>
      <c r="HL815" s="2909"/>
      <c r="HM815" s="2909"/>
      <c r="HN815" s="2909"/>
      <c r="HO815" s="2909"/>
      <c r="HP815" s="2909"/>
      <c r="HQ815" s="2909"/>
      <c r="HR815" s="2909"/>
      <c r="HS815" s="2909"/>
      <c r="HT815" s="2909"/>
      <c r="HU815" s="2909"/>
      <c r="HV815" s="2909"/>
      <c r="HW815" s="2909"/>
      <c r="HX815" s="2909"/>
      <c r="HY815" s="2909"/>
      <c r="HZ815" s="2909"/>
      <c r="IA815" s="2909"/>
      <c r="IB815" s="2909"/>
      <c r="IC815" s="2909"/>
      <c r="IJ815" s="2907"/>
      <c r="IZ815" s="2907"/>
      <c r="JA815" s="2907"/>
    </row>
    <row r="816" spans="1:261" ht="11.25" customHeight="1">
      <c r="GS816" s="2909"/>
      <c r="GX816" s="2909"/>
      <c r="GY816" s="2909"/>
      <c r="GZ816" s="2909"/>
      <c r="HA816" s="2909"/>
      <c r="HB816" s="2909"/>
      <c r="HC816" s="2909"/>
      <c r="HD816" s="2909"/>
      <c r="HE816" s="2909"/>
      <c r="HF816" s="2909"/>
      <c r="HG816" s="2909"/>
      <c r="HH816" s="2909"/>
      <c r="HI816" s="2909"/>
      <c r="HJ816" s="2909"/>
      <c r="HK816" s="2909"/>
      <c r="HL816" s="2909"/>
      <c r="HM816" s="2909"/>
      <c r="HN816" s="2909"/>
      <c r="HO816" s="2909"/>
      <c r="HP816" s="2909"/>
      <c r="HQ816" s="2909"/>
      <c r="HR816" s="2909"/>
      <c r="HS816" s="2909"/>
      <c r="HT816" s="2909"/>
      <c r="HU816" s="2909"/>
      <c r="HV816" s="2909"/>
      <c r="HW816" s="2909"/>
      <c r="HX816" s="2909"/>
      <c r="HY816" s="2909"/>
      <c r="HZ816" s="2909"/>
      <c r="IA816" s="2909"/>
      <c r="IB816" s="2909"/>
      <c r="IC816" s="2909"/>
      <c r="IJ816" s="2907"/>
      <c r="IZ816" s="2907"/>
      <c r="JA816" s="2907"/>
    </row>
    <row r="818" spans="1:14">
      <c r="A818" s="2905" t="str">
        <f>CONCATENATE("PART SEVEN - OPERATING PRO FORMA","  -  ",'Part I-Project Information'!$O$4," ",'Part I-Project Information'!$F$24,", ",'Part I-Project Information'!F845,", ",'Part I-Project Information'!J846," County")</f>
        <v>PART SEVEN - OPERATING PRO FORMA  -  2015-026 Arbor Trace Apartments Phase II, ,  County</v>
      </c>
      <c r="B818" s="2745"/>
      <c r="C818" s="2745"/>
      <c r="D818" s="2745"/>
      <c r="E818" s="2745"/>
      <c r="F818" s="2745"/>
      <c r="G818" s="2745"/>
      <c r="H818" s="2745"/>
      <c r="I818" s="2745"/>
      <c r="J818" s="2745"/>
      <c r="K818" s="2745"/>
      <c r="L818" s="524"/>
      <c r="M818" s="2905" t="str">
        <f>A818</f>
        <v>PART SEVEN - OPERATING PRO FORMA  -  2015-026 Arbor Trace Apartments Phase II, ,  County</v>
      </c>
      <c r="N818" s="2905"/>
    </row>
    <row r="819" spans="1:14">
      <c r="A819" s="3004"/>
      <c r="B819" s="3004"/>
      <c r="C819" s="3004"/>
      <c r="D819" s="3004"/>
      <c r="E819" s="3004"/>
      <c r="F819" s="3004"/>
      <c r="G819" s="3004"/>
      <c r="H819" s="3004"/>
      <c r="I819" s="3004"/>
      <c r="J819" s="3004"/>
      <c r="K819" s="3004"/>
      <c r="M819" s="2910" t="s">
        <v>1937</v>
      </c>
      <c r="N819" s="2910"/>
    </row>
    <row r="820" spans="1:14" ht="13.5">
      <c r="A820" s="2907" t="s">
        <v>92</v>
      </c>
      <c r="D820" s="2907" t="s">
        <v>82</v>
      </c>
      <c r="E820" s="2924"/>
      <c r="F820" s="2715" t="s">
        <v>4609</v>
      </c>
      <c r="M820" s="2907" t="str">
        <f>A820</f>
        <v>I.  OPERATING ASSUMPTIONS</v>
      </c>
      <c r="N820" s="3004"/>
    </row>
    <row r="822" spans="1:14">
      <c r="A822" s="926" t="s">
        <v>2290</v>
      </c>
      <c r="B822" s="3005">
        <v>0.02</v>
      </c>
      <c r="D822" s="2842" t="s">
        <v>4610</v>
      </c>
      <c r="E822" s="2842"/>
      <c r="F822" s="2842"/>
      <c r="G822" s="3006">
        <f>'Part VII-Pro Forma'!G5</f>
        <v>0</v>
      </c>
      <c r="H822" s="3007" t="s">
        <v>2003</v>
      </c>
      <c r="K822" s="3008" t="e">
        <f>IF(($B$14+$B$15+$B$16+$B$17)=0,"",B845/($B$14+$B$15+$B$16+$B$17))</f>
        <v>#VALUE!</v>
      </c>
      <c r="M822" s="2869">
        <f>'Part VII-Pro Forma'!M5</f>
        <v>0</v>
      </c>
      <c r="N822" s="2944"/>
    </row>
    <row r="823" spans="1:14">
      <c r="A823" s="926" t="s">
        <v>2291</v>
      </c>
      <c r="B823" s="3005">
        <v>0.03</v>
      </c>
      <c r="D823" s="2842"/>
      <c r="E823" s="2842"/>
      <c r="F823" s="2842"/>
      <c r="M823" s="2944"/>
      <c r="N823" s="2944"/>
    </row>
    <row r="824" spans="1:14">
      <c r="A824" s="926" t="s">
        <v>2293</v>
      </c>
      <c r="B824" s="3005">
        <v>0.03</v>
      </c>
      <c r="D824" s="521" t="s">
        <v>282</v>
      </c>
      <c r="G824" s="3009"/>
      <c r="H824" s="3007" t="s">
        <v>2487</v>
      </c>
      <c r="K824" s="3008" t="e">
        <f>IF(($B$14+$B$15+$B$16+$B$17)=0,"",-B837/($B$14+$B$15+$B$16+$B$17))</f>
        <v>#VALUE!</v>
      </c>
      <c r="M824" s="2944"/>
      <c r="N824" s="2944"/>
    </row>
    <row r="825" spans="1:14">
      <c r="A825" s="926" t="s">
        <v>2292</v>
      </c>
      <c r="B825" s="3005">
        <f>'Part VII-Pro Forma'!B8</f>
        <v>7.0000000000000007E-2</v>
      </c>
      <c r="D825" s="521" t="s">
        <v>2631</v>
      </c>
      <c r="G825" s="3010" t="str">
        <f>'Part VII-Pro Forma'!G8</f>
        <v>Yes</v>
      </c>
      <c r="H825" s="3011" t="s">
        <v>1517</v>
      </c>
      <c r="K825" s="3012">
        <f>'Part VII-Pro Forma'!K8</f>
        <v>23184</v>
      </c>
      <c r="M825" s="2944"/>
      <c r="N825" s="2944"/>
    </row>
    <row r="826" spans="1:14">
      <c r="A826" s="926" t="s">
        <v>1488</v>
      </c>
      <c r="B826" s="3005">
        <v>0.02</v>
      </c>
      <c r="D826" s="521" t="s">
        <v>1804</v>
      </c>
      <c r="G826" s="3010">
        <f>'Part VII-Pro Forma'!G9</f>
        <v>0</v>
      </c>
      <c r="H826" s="3011" t="s">
        <v>2467</v>
      </c>
      <c r="K826" s="3013">
        <f>'Part VII-Pro Forma'!K9</f>
        <v>0</v>
      </c>
      <c r="M826" s="2944"/>
      <c r="N826" s="2944"/>
    </row>
    <row r="828" spans="1:14">
      <c r="A828" s="2907" t="s">
        <v>93</v>
      </c>
      <c r="M828" s="2907" t="str">
        <f>A828</f>
        <v>II.  OPERATING PRO FORMA</v>
      </c>
    </row>
    <row r="830" spans="1:14">
      <c r="A830" s="2907" t="s">
        <v>2602</v>
      </c>
      <c r="B830" s="2907">
        <v>1</v>
      </c>
      <c r="C830" s="2907">
        <f t="shared" ref="C830:K830" si="281">B830+1</f>
        <v>2</v>
      </c>
      <c r="D830" s="2907">
        <f t="shared" si="281"/>
        <v>3</v>
      </c>
      <c r="E830" s="2907">
        <f t="shared" si="281"/>
        <v>4</v>
      </c>
      <c r="F830" s="2907">
        <f t="shared" si="281"/>
        <v>5</v>
      </c>
      <c r="G830" s="2907">
        <f t="shared" si="281"/>
        <v>6</v>
      </c>
      <c r="H830" s="2907">
        <f t="shared" si="281"/>
        <v>7</v>
      </c>
      <c r="I830" s="2907">
        <f t="shared" si="281"/>
        <v>8</v>
      </c>
      <c r="J830" s="2907">
        <f t="shared" si="281"/>
        <v>9</v>
      </c>
      <c r="K830" s="2907">
        <f t="shared" si="281"/>
        <v>10</v>
      </c>
      <c r="M830" s="3004" t="s">
        <v>2751</v>
      </c>
      <c r="N830" s="3004"/>
    </row>
    <row r="831" spans="1:14">
      <c r="A831" s="926" t="s">
        <v>2521</v>
      </c>
      <c r="B831" s="3014">
        <f>'Part VII-Pro Forma'!B14</f>
        <v>202800</v>
      </c>
      <c r="C831" s="3014">
        <f>'Part VII-Pro Forma'!C14</f>
        <v>206856</v>
      </c>
      <c r="D831" s="3014">
        <f>'Part VII-Pro Forma'!D14</f>
        <v>210993.12</v>
      </c>
      <c r="E831" s="3014">
        <f>'Part VII-Pro Forma'!E14</f>
        <v>215212.98239999998</v>
      </c>
      <c r="F831" s="3014">
        <f>'Part VII-Pro Forma'!F14</f>
        <v>219517.24204799999</v>
      </c>
      <c r="G831" s="3014">
        <f>'Part VII-Pro Forma'!G14</f>
        <v>223907.58688896001</v>
      </c>
      <c r="H831" s="3014">
        <f>'Part VII-Pro Forma'!H14</f>
        <v>228385.73862673921</v>
      </c>
      <c r="I831" s="3014">
        <f>'Part VII-Pro Forma'!I14</f>
        <v>232953.45339927395</v>
      </c>
      <c r="J831" s="3014">
        <f>'Part VII-Pro Forma'!J14</f>
        <v>237612.52246725943</v>
      </c>
      <c r="K831" s="3014">
        <f>'Part VII-Pro Forma'!K14</f>
        <v>242364.77291660465</v>
      </c>
      <c r="M831" s="2869">
        <f>'Part VII-Pro Forma'!M14</f>
        <v>0</v>
      </c>
      <c r="N831" s="2944"/>
    </row>
    <row r="832" spans="1:14">
      <c r="A832" s="926" t="s">
        <v>1065</v>
      </c>
      <c r="B832" s="3014">
        <f>'Part VII-Pro Forma'!B15</f>
        <v>4056</v>
      </c>
      <c r="C832" s="3014">
        <f>'Part VII-Pro Forma'!C15</f>
        <v>4137.12</v>
      </c>
      <c r="D832" s="3014">
        <f>'Part VII-Pro Forma'!D15</f>
        <v>4219.8624</v>
      </c>
      <c r="E832" s="3014">
        <f>'Part VII-Pro Forma'!E15</f>
        <v>4304.2596479999993</v>
      </c>
      <c r="F832" s="3014">
        <f>'Part VII-Pro Forma'!F15</f>
        <v>4390.3448409599996</v>
      </c>
      <c r="G832" s="3014">
        <f>'Part VII-Pro Forma'!G15</f>
        <v>4478.1517377791997</v>
      </c>
      <c r="H832" s="3014">
        <f>'Part VII-Pro Forma'!H15</f>
        <v>4567.7147725347841</v>
      </c>
      <c r="I832" s="3014">
        <f>'Part VII-Pro Forma'!I15</f>
        <v>4659.0690679854788</v>
      </c>
      <c r="J832" s="3014">
        <f>'Part VII-Pro Forma'!J15</f>
        <v>4752.2504493451888</v>
      </c>
      <c r="K832" s="3014">
        <f>'Part VII-Pro Forma'!K15</f>
        <v>4847.2954583320925</v>
      </c>
      <c r="M832" s="2944"/>
      <c r="N832" s="2944"/>
    </row>
    <row r="833" spans="1:14">
      <c r="A833" s="926" t="s">
        <v>2522</v>
      </c>
      <c r="B833" s="3014">
        <f>'Part VII-Pro Forma'!B16</f>
        <v>-14479.920000000002</v>
      </c>
      <c r="C833" s="3014">
        <f>'Part VII-Pro Forma'!C16</f>
        <v>-14769.518400000001</v>
      </c>
      <c r="D833" s="3014">
        <f>'Part VII-Pro Forma'!D16</f>
        <v>-15064.908768000001</v>
      </c>
      <c r="E833" s="3014">
        <f>'Part VII-Pro Forma'!E16</f>
        <v>-15366.206943360001</v>
      </c>
      <c r="F833" s="3014">
        <f>'Part VII-Pro Forma'!F16</f>
        <v>-15673.5310822272</v>
      </c>
      <c r="G833" s="3014">
        <f>'Part VII-Pro Forma'!G16</f>
        <v>-15987.001703871747</v>
      </c>
      <c r="H833" s="3014">
        <f>'Part VII-Pro Forma'!H16</f>
        <v>-16306.741737949182</v>
      </c>
      <c r="I833" s="3014">
        <f>'Part VII-Pro Forma'!I16</f>
        <v>-16632.876572708163</v>
      </c>
      <c r="J833" s="3014">
        <f>'Part VII-Pro Forma'!J16</f>
        <v>-16965.534104162325</v>
      </c>
      <c r="K833" s="3014">
        <f>'Part VII-Pro Forma'!K16</f>
        <v>-17304.844786245572</v>
      </c>
      <c r="M833" s="2944"/>
      <c r="N833" s="2944"/>
    </row>
    <row r="834" spans="1:14">
      <c r="A834" s="926" t="s">
        <v>54</v>
      </c>
      <c r="B834" s="3014">
        <f>'Part VII-Pro Forma'!B17</f>
        <v>0</v>
      </c>
      <c r="C834" s="3014">
        <f>'Part VII-Pro Forma'!C17</f>
        <v>0</v>
      </c>
      <c r="D834" s="3014">
        <f>'Part VII-Pro Forma'!D17</f>
        <v>0</v>
      </c>
      <c r="E834" s="3014">
        <f>'Part VII-Pro Forma'!E17</f>
        <v>0</v>
      </c>
      <c r="F834" s="3014">
        <f>'Part VII-Pro Forma'!F17</f>
        <v>0</v>
      </c>
      <c r="G834" s="3014">
        <f>'Part VII-Pro Forma'!G17</f>
        <v>0</v>
      </c>
      <c r="H834" s="3014">
        <f>'Part VII-Pro Forma'!H17</f>
        <v>0</v>
      </c>
      <c r="I834" s="3014">
        <f>'Part VII-Pro Forma'!I17</f>
        <v>0</v>
      </c>
      <c r="J834" s="3014">
        <f>'Part VII-Pro Forma'!J17</f>
        <v>0</v>
      </c>
      <c r="K834" s="3014">
        <f>'Part VII-Pro Forma'!K17</f>
        <v>0</v>
      </c>
      <c r="M834" s="2944"/>
      <c r="N834" s="2944"/>
    </row>
    <row r="835" spans="1:14">
      <c r="A835" s="926" t="s">
        <v>55</v>
      </c>
      <c r="B835" s="3014">
        <f>'Part VII-Pro Forma'!B18</f>
        <v>16800</v>
      </c>
      <c r="C835" s="3014">
        <f>'Part VII-Pro Forma'!C18</f>
        <v>17800</v>
      </c>
      <c r="D835" s="3014">
        <f>'Part VII-Pro Forma'!D18</f>
        <v>18800</v>
      </c>
      <c r="E835" s="3014">
        <f>'Part VII-Pro Forma'!E18</f>
        <v>19800</v>
      </c>
      <c r="F835" s="3014">
        <f>'Part VII-Pro Forma'!F18</f>
        <v>21000</v>
      </c>
      <c r="G835" s="3014">
        <f>'Part VII-Pro Forma'!G18</f>
        <v>22300</v>
      </c>
      <c r="H835" s="3014">
        <f>'Part VII-Pro Forma'!H18</f>
        <v>23800</v>
      </c>
      <c r="I835" s="3014">
        <f>'Part VII-Pro Forma'!I18</f>
        <v>25300</v>
      </c>
      <c r="J835" s="3014">
        <f>'Part VII-Pro Forma'!J18</f>
        <v>27000</v>
      </c>
      <c r="K835" s="3014">
        <f>'Part VII-Pro Forma'!K18</f>
        <v>28500</v>
      </c>
      <c r="M835" s="2944"/>
      <c r="N835" s="2944"/>
    </row>
    <row r="836" spans="1:14">
      <c r="A836" s="926" t="s">
        <v>644</v>
      </c>
      <c r="B836" s="3014">
        <f>'Part VII-Pro Forma'!B19</f>
        <v>-123870</v>
      </c>
      <c r="C836" s="3014">
        <f>'Part VII-Pro Forma'!C19</f>
        <v>-127586.1</v>
      </c>
      <c r="D836" s="3014">
        <f>'Part VII-Pro Forma'!D19</f>
        <v>-131413.68299999999</v>
      </c>
      <c r="E836" s="3014">
        <f>'Part VII-Pro Forma'!E19</f>
        <v>-135356.09349</v>
      </c>
      <c r="F836" s="3014">
        <f>'Part VII-Pro Forma'!F19</f>
        <v>-139416.77629469999</v>
      </c>
      <c r="G836" s="3014">
        <f>'Part VII-Pro Forma'!G19</f>
        <v>-143599.27958354098</v>
      </c>
      <c r="H836" s="3014">
        <f>'Part VII-Pro Forma'!H19</f>
        <v>-147907.25797104722</v>
      </c>
      <c r="I836" s="3014">
        <f>'Part VII-Pro Forma'!I19</f>
        <v>-152344.47571017864</v>
      </c>
      <c r="J836" s="3014">
        <f>'Part VII-Pro Forma'!J19</f>
        <v>-156914.809981484</v>
      </c>
      <c r="K836" s="3014">
        <f>'Part VII-Pro Forma'!K19</f>
        <v>-161622.25428092852</v>
      </c>
      <c r="M836" s="2944"/>
      <c r="N836" s="2944"/>
    </row>
    <row r="837" spans="1:14">
      <c r="A837" s="926" t="s">
        <v>1165</v>
      </c>
      <c r="B837" s="3014">
        <f>'Part VII-Pro Forma'!B20</f>
        <v>-23184</v>
      </c>
      <c r="C837" s="3014">
        <f>'Part VII-Pro Forma'!C20</f>
        <v>-23880</v>
      </c>
      <c r="D837" s="3014">
        <f>'Part VII-Pro Forma'!D20</f>
        <v>-24596</v>
      </c>
      <c r="E837" s="3014">
        <f>'Part VII-Pro Forma'!E20</f>
        <v>-25334</v>
      </c>
      <c r="F837" s="3014">
        <f>'Part VII-Pro Forma'!F20</f>
        <v>-26094</v>
      </c>
      <c r="G837" s="3014">
        <f>'Part VII-Pro Forma'!G20</f>
        <v>-26877</v>
      </c>
      <c r="H837" s="3014">
        <f>'Part VII-Pro Forma'!H20</f>
        <v>-27683</v>
      </c>
      <c r="I837" s="3014">
        <f>'Part VII-Pro Forma'!I20</f>
        <v>-28513</v>
      </c>
      <c r="J837" s="3014">
        <f>'Part VII-Pro Forma'!J20</f>
        <v>-29369</v>
      </c>
      <c r="K837" s="3014">
        <f>'Part VII-Pro Forma'!K20</f>
        <v>-30250</v>
      </c>
      <c r="M837" s="2944"/>
      <c r="N837" s="2944"/>
    </row>
    <row r="838" spans="1:14">
      <c r="A838" s="926" t="s">
        <v>1259</v>
      </c>
      <c r="B838" s="3014">
        <f>'Part VII-Pro Forma'!B21</f>
        <v>-14700</v>
      </c>
      <c r="C838" s="3014">
        <f>'Part VII-Pro Forma'!C21</f>
        <v>-15141</v>
      </c>
      <c r="D838" s="3014">
        <f>'Part VII-Pro Forma'!D21</f>
        <v>-15595.23</v>
      </c>
      <c r="E838" s="3014">
        <f>'Part VII-Pro Forma'!E21</f>
        <v>-16063.0869</v>
      </c>
      <c r="F838" s="3014">
        <f>'Part VII-Pro Forma'!F21</f>
        <v>-16544.979507</v>
      </c>
      <c r="G838" s="3014">
        <f>'Part VII-Pro Forma'!G21</f>
        <v>-17041.328892209996</v>
      </c>
      <c r="H838" s="3014">
        <f>'Part VII-Pro Forma'!H21</f>
        <v>-17552.5687589763</v>
      </c>
      <c r="I838" s="3014">
        <f>'Part VII-Pro Forma'!I21</f>
        <v>-18079.145821745587</v>
      </c>
      <c r="J838" s="3014">
        <f>'Part VII-Pro Forma'!J21</f>
        <v>-18621.520196397953</v>
      </c>
      <c r="K838" s="3014">
        <f>'Part VII-Pro Forma'!K21</f>
        <v>-19180.165802289892</v>
      </c>
      <c r="M838" s="2944"/>
      <c r="N838" s="2944"/>
    </row>
    <row r="839" spans="1:14">
      <c r="A839" s="926" t="s">
        <v>1260</v>
      </c>
      <c r="B839" s="3014">
        <f>'Part VII-Pro Forma'!B22</f>
        <v>47422.079999999987</v>
      </c>
      <c r="C839" s="3014">
        <f>'Part VII-Pro Forma'!C22</f>
        <v>47416.501599999989</v>
      </c>
      <c r="D839" s="3014">
        <f>'Part VII-Pro Forma'!D22</f>
        <v>47343.160632000028</v>
      </c>
      <c r="E839" s="3014">
        <f>'Part VII-Pro Forma'!E22</f>
        <v>47197.854714639972</v>
      </c>
      <c r="F839" s="3014">
        <f>'Part VII-Pro Forma'!F22</f>
        <v>47178.300005032812</v>
      </c>
      <c r="G839" s="3014">
        <f>'Part VII-Pro Forma'!G22</f>
        <v>47181.128447116505</v>
      </c>
      <c r="H839" s="3014">
        <f>'Part VII-Pro Forma'!H22</f>
        <v>47303.88493130132</v>
      </c>
      <c r="I839" s="3014">
        <f>'Part VII-Pro Forma'!I22</f>
        <v>47343.024362627046</v>
      </c>
      <c r="J839" s="3014">
        <f>'Part VII-Pro Forma'!J22</f>
        <v>47493.908634560343</v>
      </c>
      <c r="K839" s="3014">
        <f>'Part VII-Pro Forma'!K22</f>
        <v>47354.803505472737</v>
      </c>
      <c r="M839" s="2944"/>
      <c r="N839" s="2944"/>
    </row>
    <row r="840" spans="1:14">
      <c r="A840" s="926" t="s">
        <v>1667</v>
      </c>
      <c r="B840" s="3014">
        <f>'Part VII-Pro Forma'!B23</f>
        <v>-37855</v>
      </c>
      <c r="C840" s="3014">
        <f>'Part VII-Pro Forma'!C23</f>
        <v>-37855</v>
      </c>
      <c r="D840" s="3014">
        <f>'Part VII-Pro Forma'!D23</f>
        <v>-37855</v>
      </c>
      <c r="E840" s="3014">
        <f>'Part VII-Pro Forma'!E23</f>
        <v>-37855</v>
      </c>
      <c r="F840" s="3014">
        <f>'Part VII-Pro Forma'!F23</f>
        <v>-37855</v>
      </c>
      <c r="G840" s="3014">
        <f>'Part VII-Pro Forma'!G23</f>
        <v>-37855</v>
      </c>
      <c r="H840" s="3014">
        <f>'Part VII-Pro Forma'!H23</f>
        <v>-37855</v>
      </c>
      <c r="I840" s="3014">
        <f>'Part VII-Pro Forma'!I23</f>
        <v>-37855</v>
      </c>
      <c r="J840" s="3014">
        <f>'Part VII-Pro Forma'!J23</f>
        <v>-37855</v>
      </c>
      <c r="K840" s="3014">
        <f>'Part VII-Pro Forma'!K23</f>
        <v>-37855</v>
      </c>
      <c r="M840" s="2944"/>
      <c r="N840" s="2944"/>
    </row>
    <row r="841" spans="1:14">
      <c r="A841" s="926" t="s">
        <v>1668</v>
      </c>
      <c r="B841" s="3014">
        <f>'Part VII-Pro Forma'!B24</f>
        <v>0</v>
      </c>
      <c r="C841" s="3014">
        <f>'Part VII-Pro Forma'!C24</f>
        <v>0</v>
      </c>
      <c r="D841" s="3014">
        <f>'Part VII-Pro Forma'!D24</f>
        <v>0</v>
      </c>
      <c r="E841" s="3014">
        <f>'Part VII-Pro Forma'!E24</f>
        <v>0</v>
      </c>
      <c r="F841" s="3014">
        <f>'Part VII-Pro Forma'!F24</f>
        <v>0</v>
      </c>
      <c r="G841" s="3014">
        <f>'Part VII-Pro Forma'!G24</f>
        <v>0</v>
      </c>
      <c r="H841" s="3014">
        <f>'Part VII-Pro Forma'!H24</f>
        <v>0</v>
      </c>
      <c r="I841" s="3014">
        <f>'Part VII-Pro Forma'!I24</f>
        <v>0</v>
      </c>
      <c r="J841" s="3014">
        <f>'Part VII-Pro Forma'!J24</f>
        <v>0</v>
      </c>
      <c r="K841" s="3014">
        <f>'Part VII-Pro Forma'!K24</f>
        <v>0</v>
      </c>
      <c r="M841" s="2944"/>
      <c r="N841" s="2944"/>
    </row>
    <row r="842" spans="1:14">
      <c r="A842" s="926" t="s">
        <v>1669</v>
      </c>
      <c r="B842" s="3014">
        <f>'Part VII-Pro Forma'!B25</f>
        <v>0</v>
      </c>
      <c r="C842" s="3014">
        <f>'Part VII-Pro Forma'!C25</f>
        <v>0</v>
      </c>
      <c r="D842" s="3014">
        <f>'Part VII-Pro Forma'!D25</f>
        <v>0</v>
      </c>
      <c r="E842" s="3014">
        <f>'Part VII-Pro Forma'!E25</f>
        <v>0</v>
      </c>
      <c r="F842" s="3014">
        <f>'Part VII-Pro Forma'!F25</f>
        <v>0</v>
      </c>
      <c r="G842" s="3014">
        <f>'Part VII-Pro Forma'!G25</f>
        <v>0</v>
      </c>
      <c r="H842" s="3014">
        <f>'Part VII-Pro Forma'!H25</f>
        <v>0</v>
      </c>
      <c r="I842" s="3014">
        <f>'Part VII-Pro Forma'!I25</f>
        <v>0</v>
      </c>
      <c r="J842" s="3014">
        <f>'Part VII-Pro Forma'!J25</f>
        <v>0</v>
      </c>
      <c r="K842" s="3014">
        <f>'Part VII-Pro Forma'!K25</f>
        <v>0</v>
      </c>
      <c r="M842" s="2944"/>
      <c r="N842" s="2944"/>
    </row>
    <row r="843" spans="1:14">
      <c r="A843" s="926" t="s">
        <v>823</v>
      </c>
      <c r="B843" s="3014">
        <f>'Part VII-Pro Forma'!B26</f>
        <v>0</v>
      </c>
      <c r="C843" s="3014">
        <f>'Part VII-Pro Forma'!C26</f>
        <v>0</v>
      </c>
      <c r="D843" s="3014">
        <f>'Part VII-Pro Forma'!D26</f>
        <v>0</v>
      </c>
      <c r="E843" s="3014">
        <f>'Part VII-Pro Forma'!E26</f>
        <v>0</v>
      </c>
      <c r="F843" s="3014">
        <f>'Part VII-Pro Forma'!F26</f>
        <v>0</v>
      </c>
      <c r="G843" s="3014">
        <f>'Part VII-Pro Forma'!G26</f>
        <v>0</v>
      </c>
      <c r="H843" s="3014">
        <f>'Part VII-Pro Forma'!H26</f>
        <v>0</v>
      </c>
      <c r="I843" s="3014">
        <f>'Part VII-Pro Forma'!I26</f>
        <v>0</v>
      </c>
      <c r="J843" s="3014">
        <f>'Part VII-Pro Forma'!J26</f>
        <v>0</v>
      </c>
      <c r="K843" s="3014">
        <f>'Part VII-Pro Forma'!K26</f>
        <v>0</v>
      </c>
      <c r="M843" s="2944"/>
      <c r="N843" s="2944"/>
    </row>
    <row r="844" spans="1:14">
      <c r="A844" s="926" t="s">
        <v>803</v>
      </c>
      <c r="B844" s="3014">
        <f>'Part VII-Pro Forma'!B27</f>
        <v>0</v>
      </c>
      <c r="C844" s="3014">
        <f>'Part VII-Pro Forma'!C27</f>
        <v>0</v>
      </c>
      <c r="D844" s="3014">
        <f>'Part VII-Pro Forma'!D27</f>
        <v>0</v>
      </c>
      <c r="E844" s="3014">
        <f>'Part VII-Pro Forma'!E27</f>
        <v>0</v>
      </c>
      <c r="F844" s="3014">
        <f>'Part VII-Pro Forma'!F27</f>
        <v>0</v>
      </c>
      <c r="G844" s="3014">
        <f>'Part VII-Pro Forma'!G27</f>
        <v>0</v>
      </c>
      <c r="H844" s="3014">
        <f>'Part VII-Pro Forma'!H27</f>
        <v>0</v>
      </c>
      <c r="I844" s="3014">
        <f>'Part VII-Pro Forma'!I27</f>
        <v>0</v>
      </c>
      <c r="J844" s="3014">
        <f>'Part VII-Pro Forma'!J27</f>
        <v>0</v>
      </c>
      <c r="K844" s="3014">
        <f>'Part VII-Pro Forma'!K27</f>
        <v>0</v>
      </c>
      <c r="M844" s="2944"/>
      <c r="N844" s="2944"/>
    </row>
    <row r="845" spans="1:14">
      <c r="A845" s="926" t="s">
        <v>1218</v>
      </c>
      <c r="B845" s="3014">
        <f>'Part VII-Pro Forma'!B28</f>
        <v>0</v>
      </c>
      <c r="C845" s="3014">
        <f>'Part VII-Pro Forma'!C28</f>
        <v>0</v>
      </c>
      <c r="D845" s="3014">
        <f>'Part VII-Pro Forma'!D28</f>
        <v>0</v>
      </c>
      <c r="E845" s="3014">
        <f>'Part VII-Pro Forma'!E28</f>
        <v>0</v>
      </c>
      <c r="F845" s="3014">
        <f>'Part VII-Pro Forma'!F28</f>
        <v>0</v>
      </c>
      <c r="G845" s="3014">
        <f>'Part VII-Pro Forma'!G28</f>
        <v>0</v>
      </c>
      <c r="H845" s="3014">
        <f>'Part VII-Pro Forma'!H28</f>
        <v>0</v>
      </c>
      <c r="I845" s="3014">
        <f>'Part VII-Pro Forma'!I28</f>
        <v>0</v>
      </c>
      <c r="J845" s="3014">
        <f>'Part VII-Pro Forma'!J28</f>
        <v>0</v>
      </c>
      <c r="K845" s="3014">
        <f>'Part VII-Pro Forma'!K28</f>
        <v>0</v>
      </c>
      <c r="M845" s="2944"/>
      <c r="N845" s="2944"/>
    </row>
    <row r="846" spans="1:14">
      <c r="A846" s="926" t="s">
        <v>1261</v>
      </c>
      <c r="B846" s="3014">
        <f>'Part VII-Pro Forma'!B29</f>
        <v>0</v>
      </c>
      <c r="C846" s="3014">
        <f>'Part VII-Pro Forma'!C29</f>
        <v>0</v>
      </c>
      <c r="D846" s="3014">
        <f>'Part VII-Pro Forma'!D29</f>
        <v>0</v>
      </c>
      <c r="E846" s="3014">
        <f>'Part VII-Pro Forma'!E29</f>
        <v>0</v>
      </c>
      <c r="F846" s="3014">
        <f>'Part VII-Pro Forma'!F29</f>
        <v>0</v>
      </c>
      <c r="G846" s="3014">
        <f>'Part VII-Pro Forma'!G29</f>
        <v>0</v>
      </c>
      <c r="H846" s="3014">
        <f>'Part VII-Pro Forma'!H29</f>
        <v>0</v>
      </c>
      <c r="I846" s="3014">
        <f>'Part VII-Pro Forma'!I29</f>
        <v>0</v>
      </c>
      <c r="J846" s="3014">
        <f>'Part VII-Pro Forma'!J29</f>
        <v>0</v>
      </c>
      <c r="K846" s="3014">
        <f>'Part VII-Pro Forma'!K29</f>
        <v>0</v>
      </c>
      <c r="M846" s="2944"/>
      <c r="N846" s="2944"/>
    </row>
    <row r="847" spans="1:14">
      <c r="A847" s="926" t="s">
        <v>1219</v>
      </c>
      <c r="B847" s="3014">
        <f>'Part VII-Pro Forma'!B30</f>
        <v>9567.0799999999872</v>
      </c>
      <c r="C847" s="3014">
        <f>'Part VII-Pro Forma'!C30</f>
        <v>9561.5015999999887</v>
      </c>
      <c r="D847" s="3014">
        <f>'Part VII-Pro Forma'!D30</f>
        <v>9488.1606320000283</v>
      </c>
      <c r="E847" s="3014">
        <f>'Part VII-Pro Forma'!E30</f>
        <v>9342.8547146399724</v>
      </c>
      <c r="F847" s="3014">
        <f>'Part VII-Pro Forma'!F30</f>
        <v>9323.3000050328119</v>
      </c>
      <c r="G847" s="3014">
        <f>'Part VII-Pro Forma'!G30</f>
        <v>9326.1284471165054</v>
      </c>
      <c r="H847" s="3014">
        <f>'Part VII-Pro Forma'!H30</f>
        <v>9448.8849313013197</v>
      </c>
      <c r="I847" s="3014">
        <f>'Part VII-Pro Forma'!I30</f>
        <v>9488.0243626270458</v>
      </c>
      <c r="J847" s="3014">
        <f>'Part VII-Pro Forma'!J30</f>
        <v>9638.9086345603428</v>
      </c>
      <c r="K847" s="3014">
        <f>'Part VII-Pro Forma'!K30</f>
        <v>9499.803505472737</v>
      </c>
      <c r="M847" s="2944"/>
      <c r="N847" s="2944"/>
    </row>
    <row r="848" spans="1:14">
      <c r="A848" s="926" t="str">
        <f>IF('Part III-Sources of Funds'!$E$36 = "Neither", "", "DCR Mortgage A")</f>
        <v>DCR Mortgage A</v>
      </c>
      <c r="B848" s="3015">
        <f>'Part VII-Pro Forma'!B31</f>
        <v>1.2527296262052565</v>
      </c>
      <c r="C848" s="3015">
        <f>'Part VII-Pro Forma'!C31</f>
        <v>1.2525822639017299</v>
      </c>
      <c r="D848" s="3015">
        <f>'Part VII-Pro Forma'!D31</f>
        <v>1.2506448456478676</v>
      </c>
      <c r="E848" s="3015">
        <f>'Part VII-Pro Forma'!E31</f>
        <v>1.2468063588598592</v>
      </c>
      <c r="F848" s="3015">
        <f>'Part VII-Pro Forma'!F31</f>
        <v>1.2462897901210623</v>
      </c>
      <c r="G848" s="3015">
        <f>'Part VII-Pro Forma'!G31</f>
        <v>1.2463645079148462</v>
      </c>
      <c r="H848" s="3015">
        <f>'Part VII-Pro Forma'!H31</f>
        <v>1.2496073155805394</v>
      </c>
      <c r="I848" s="3015">
        <f>'Part VII-Pro Forma'!I31</f>
        <v>1.2506412458757641</v>
      </c>
      <c r="J848" s="3015">
        <f>'Part VII-Pro Forma'!J31</f>
        <v>1.254627093767279</v>
      </c>
      <c r="K848" s="3015">
        <f>'Part VII-Pro Forma'!K31</f>
        <v>1.2509524106583738</v>
      </c>
      <c r="M848" s="2944"/>
      <c r="N848" s="2944"/>
    </row>
    <row r="849" spans="1:14">
      <c r="A849" s="926" t="str">
        <f>IF('Part III-Sources of Funds'!$E$36 = "Neither", "", "DCR Mortgage B")</f>
        <v>DCR Mortgage B</v>
      </c>
      <c r="B849" s="3015" t="str">
        <f>'Part VII-Pro Forma'!B32</f>
        <v/>
      </c>
      <c r="C849" s="3015" t="str">
        <f>'Part VII-Pro Forma'!C32</f>
        <v/>
      </c>
      <c r="D849" s="3015" t="str">
        <f>'Part VII-Pro Forma'!D32</f>
        <v/>
      </c>
      <c r="E849" s="3015" t="str">
        <f>'Part VII-Pro Forma'!E32</f>
        <v/>
      </c>
      <c r="F849" s="3015" t="str">
        <f>'Part VII-Pro Forma'!F32</f>
        <v/>
      </c>
      <c r="G849" s="3015" t="str">
        <f>'Part VII-Pro Forma'!G32</f>
        <v/>
      </c>
      <c r="H849" s="3015" t="str">
        <f>'Part VII-Pro Forma'!H32</f>
        <v/>
      </c>
      <c r="I849" s="3015" t="str">
        <f>'Part VII-Pro Forma'!I32</f>
        <v/>
      </c>
      <c r="J849" s="3015" t="str">
        <f>'Part VII-Pro Forma'!J32</f>
        <v/>
      </c>
      <c r="K849" s="3015" t="str">
        <f>'Part VII-Pro Forma'!K32</f>
        <v/>
      </c>
      <c r="M849" s="2944"/>
      <c r="N849" s="2944"/>
    </row>
    <row r="850" spans="1:14">
      <c r="A850" s="926" t="str">
        <f>IF('Part III-Sources of Funds'!$E$36 = "Neither", "DCR First Mortgage", "DCR Mortgage C")</f>
        <v>DCR Mortgage C</v>
      </c>
      <c r="B850" s="3015" t="str">
        <f>'Part VII-Pro Forma'!B33</f>
        <v/>
      </c>
      <c r="C850" s="3015" t="str">
        <f>'Part VII-Pro Forma'!C33</f>
        <v/>
      </c>
      <c r="D850" s="3015" t="str">
        <f>'Part VII-Pro Forma'!D33</f>
        <v/>
      </c>
      <c r="E850" s="3015" t="str">
        <f>'Part VII-Pro Forma'!E33</f>
        <v/>
      </c>
      <c r="F850" s="3015" t="str">
        <f>'Part VII-Pro Forma'!F33</f>
        <v/>
      </c>
      <c r="G850" s="3015" t="str">
        <f>'Part VII-Pro Forma'!G33</f>
        <v/>
      </c>
      <c r="H850" s="3015" t="str">
        <f>'Part VII-Pro Forma'!H33</f>
        <v/>
      </c>
      <c r="I850" s="3015" t="str">
        <f>'Part VII-Pro Forma'!I33</f>
        <v/>
      </c>
      <c r="J850" s="3015" t="str">
        <f>'Part VII-Pro Forma'!J33</f>
        <v/>
      </c>
      <c r="K850" s="3015" t="str">
        <f>'Part VII-Pro Forma'!K33</f>
        <v/>
      </c>
      <c r="M850" s="2944"/>
      <c r="N850" s="2944"/>
    </row>
    <row r="851" spans="1:14">
      <c r="A851" s="926" t="s">
        <v>824</v>
      </c>
      <c r="B851" s="3015" t="str">
        <f>'Part VII-Pro Forma'!B34</f>
        <v/>
      </c>
      <c r="C851" s="3015" t="str">
        <f>'Part VII-Pro Forma'!C34</f>
        <v/>
      </c>
      <c r="D851" s="3015" t="str">
        <f>'Part VII-Pro Forma'!D34</f>
        <v/>
      </c>
      <c r="E851" s="3015" t="str">
        <f>'Part VII-Pro Forma'!E34</f>
        <v/>
      </c>
      <c r="F851" s="3015" t="str">
        <f>'Part VII-Pro Forma'!F34</f>
        <v/>
      </c>
      <c r="G851" s="3015" t="str">
        <f>'Part VII-Pro Forma'!G34</f>
        <v/>
      </c>
      <c r="H851" s="3015" t="str">
        <f>'Part VII-Pro Forma'!H34</f>
        <v/>
      </c>
      <c r="I851" s="3015" t="str">
        <f>'Part VII-Pro Forma'!I34</f>
        <v/>
      </c>
      <c r="J851" s="3015" t="str">
        <f>'Part VII-Pro Forma'!J34</f>
        <v/>
      </c>
      <c r="K851" s="3015" t="str">
        <f>'Part VII-Pro Forma'!K34</f>
        <v/>
      </c>
      <c r="M851" s="2944"/>
      <c r="N851" s="2944"/>
    </row>
    <row r="852" spans="1:14">
      <c r="A852" s="926" t="s">
        <v>810</v>
      </c>
      <c r="B852" s="3016">
        <f>'Part VII-Pro Forma'!B35</f>
        <v>1.2931740791572386</v>
      </c>
      <c r="C852" s="3016">
        <f>'Part VII-Pro Forma'!C35</f>
        <v>1.2846007258994363</v>
      </c>
      <c r="D852" s="3016">
        <f>'Part VII-Pro Forma'!D35</f>
        <v>1.2758846457502064</v>
      </c>
      <c r="E852" s="3016">
        <f>'Part VII-Pro Forma'!E35</f>
        <v>1.2670269050350296</v>
      </c>
      <c r="F852" s="3016">
        <f>'Part VII-Pro Forma'!F35</f>
        <v>1.259142040290232</v>
      </c>
      <c r="G852" s="3016">
        <f>'Part VII-Pro Forma'!G35</f>
        <v>1.2516090559741635</v>
      </c>
      <c r="H852" s="3016">
        <f>'Part VII-Pro Forma'!H35</f>
        <v>1.2449166025587015</v>
      </c>
      <c r="I852" s="3016">
        <f>'Part VII-Pro Forma'!I35</f>
        <v>1.2379804381820654</v>
      </c>
      <c r="J852" s="3016">
        <f>'Part VII-Pro Forma'!J35</f>
        <v>1.231784642172705</v>
      </c>
      <c r="K852" s="3016">
        <f>'Part VII-Pro Forma'!K35</f>
        <v>1.2243746055449192</v>
      </c>
      <c r="M852" s="2944"/>
      <c r="N852" s="2944"/>
    </row>
    <row r="853" spans="1:14">
      <c r="A853" s="926" t="s">
        <v>2744</v>
      </c>
      <c r="B853" s="3014">
        <f>'Part VII-Pro Forma'!B36</f>
        <v>1304746.3163842135</v>
      </c>
      <c r="C853" s="3014">
        <f>'Part VII-Pro Forma'!C36</f>
        <v>1279824.7619078802</v>
      </c>
      <c r="D853" s="3014">
        <f>'Part VII-Pro Forma'!D36</f>
        <v>1254652.84647003</v>
      </c>
      <c r="E853" s="3014">
        <f>'Part VII-Pro Forma'!E36</f>
        <v>1229228.0549542357</v>
      </c>
      <c r="F853" s="3014">
        <f>'Part VII-Pro Forma'!F36</f>
        <v>1203547.8469773091</v>
      </c>
      <c r="G853" s="3014">
        <f>'Part VII-Pro Forma'!G36</f>
        <v>1177609.6566354716</v>
      </c>
      <c r="H853" s="3014">
        <f>'Part VII-Pro Forma'!H36</f>
        <v>1151410.8922479758</v>
      </c>
      <c r="I853" s="3014">
        <f>'Part VII-Pro Forma'!I36</f>
        <v>1124948.9360981507</v>
      </c>
      <c r="J853" s="3014">
        <f>'Part VII-Pro Forma'!J36</f>
        <v>1098221.1441718461</v>
      </c>
      <c r="K853" s="3014">
        <f>'Part VII-Pro Forma'!K36</f>
        <v>1071224.8458932491</v>
      </c>
      <c r="M853" s="2944"/>
      <c r="N853" s="2944"/>
    </row>
    <row r="854" spans="1:14">
      <c r="A854" s="926" t="s">
        <v>2745</v>
      </c>
      <c r="B854" s="3014" t="str">
        <f>'Part VII-Pro Forma'!B37</f>
        <v/>
      </c>
      <c r="C854" s="3014" t="str">
        <f>'Part VII-Pro Forma'!C37</f>
        <v/>
      </c>
      <c r="D854" s="3014" t="str">
        <f>'Part VII-Pro Forma'!D37</f>
        <v/>
      </c>
      <c r="E854" s="3014" t="str">
        <f>'Part VII-Pro Forma'!E37</f>
        <v/>
      </c>
      <c r="F854" s="3014" t="str">
        <f>'Part VII-Pro Forma'!F37</f>
        <v/>
      </c>
      <c r="G854" s="3014" t="str">
        <f>'Part VII-Pro Forma'!G37</f>
        <v/>
      </c>
      <c r="H854" s="3014" t="str">
        <f>'Part VII-Pro Forma'!H37</f>
        <v/>
      </c>
      <c r="I854" s="3014" t="str">
        <f>'Part VII-Pro Forma'!I37</f>
        <v/>
      </c>
      <c r="J854" s="3014" t="str">
        <f>'Part VII-Pro Forma'!J37</f>
        <v/>
      </c>
      <c r="K854" s="3014" t="str">
        <f>'Part VII-Pro Forma'!K37</f>
        <v/>
      </c>
      <c r="M854" s="2944"/>
      <c r="N854" s="2944"/>
    </row>
    <row r="855" spans="1:14">
      <c r="A855" s="926" t="s">
        <v>2746</v>
      </c>
      <c r="B855" s="3014" t="str">
        <f>'Part VII-Pro Forma'!B38</f>
        <v/>
      </c>
      <c r="C855" s="3014" t="str">
        <f>'Part VII-Pro Forma'!C38</f>
        <v/>
      </c>
      <c r="D855" s="3014" t="str">
        <f>'Part VII-Pro Forma'!D38</f>
        <v/>
      </c>
      <c r="E855" s="3014" t="str">
        <f>'Part VII-Pro Forma'!E38</f>
        <v/>
      </c>
      <c r="F855" s="3014" t="str">
        <f>'Part VII-Pro Forma'!F38</f>
        <v/>
      </c>
      <c r="G855" s="3014" t="str">
        <f>'Part VII-Pro Forma'!G38</f>
        <v/>
      </c>
      <c r="H855" s="3014" t="str">
        <f>'Part VII-Pro Forma'!H38</f>
        <v/>
      </c>
      <c r="I855" s="3014" t="str">
        <f>'Part VII-Pro Forma'!I38</f>
        <v/>
      </c>
      <c r="J855" s="3014" t="str">
        <f>'Part VII-Pro Forma'!J38</f>
        <v/>
      </c>
      <c r="K855" s="3014" t="str">
        <f>'Part VII-Pro Forma'!K38</f>
        <v/>
      </c>
      <c r="M855" s="2944"/>
      <c r="N855" s="2944"/>
    </row>
    <row r="856" spans="1:14">
      <c r="A856" s="926" t="s">
        <v>825</v>
      </c>
      <c r="B856" s="3014" t="str">
        <f>'Part VII-Pro Forma'!B39</f>
        <v/>
      </c>
      <c r="C856" s="3014" t="str">
        <f>'Part VII-Pro Forma'!C39</f>
        <v/>
      </c>
      <c r="D856" s="3014" t="str">
        <f>'Part VII-Pro Forma'!D39</f>
        <v/>
      </c>
      <c r="E856" s="3014" t="str">
        <f>'Part VII-Pro Forma'!E39</f>
        <v/>
      </c>
      <c r="F856" s="3014" t="str">
        <f>'Part VII-Pro Forma'!F39</f>
        <v/>
      </c>
      <c r="G856" s="3014" t="str">
        <f>'Part VII-Pro Forma'!G39</f>
        <v/>
      </c>
      <c r="H856" s="3014" t="str">
        <f>'Part VII-Pro Forma'!H39</f>
        <v/>
      </c>
      <c r="I856" s="3014" t="str">
        <f>'Part VII-Pro Forma'!I39</f>
        <v/>
      </c>
      <c r="J856" s="3014" t="str">
        <f>'Part VII-Pro Forma'!J39</f>
        <v/>
      </c>
      <c r="K856" s="3014" t="str">
        <f>'Part VII-Pro Forma'!K39</f>
        <v/>
      </c>
      <c r="M856" s="2944"/>
      <c r="N856" s="2944"/>
    </row>
    <row r="857" spans="1:14">
      <c r="A857" s="926" t="s">
        <v>1296</v>
      </c>
      <c r="B857" s="3014" t="str">
        <f>'Part VII-Pro Forma'!B40</f>
        <v/>
      </c>
      <c r="C857" s="3014" t="str">
        <f>'Part VII-Pro Forma'!C40</f>
        <v/>
      </c>
      <c r="D857" s="3014" t="str">
        <f>'Part VII-Pro Forma'!D40</f>
        <v/>
      </c>
      <c r="E857" s="3014" t="str">
        <f>'Part VII-Pro Forma'!E40</f>
        <v/>
      </c>
      <c r="F857" s="3014" t="str">
        <f>'Part VII-Pro Forma'!F40</f>
        <v/>
      </c>
      <c r="G857" s="3014" t="str">
        <f>'Part VII-Pro Forma'!G40</f>
        <v/>
      </c>
      <c r="H857" s="3014" t="str">
        <f>'Part VII-Pro Forma'!H40</f>
        <v/>
      </c>
      <c r="I857" s="3014" t="str">
        <f>'Part VII-Pro Forma'!I40</f>
        <v/>
      </c>
      <c r="J857" s="3014" t="str">
        <f>'Part VII-Pro Forma'!J40</f>
        <v/>
      </c>
      <c r="K857" s="3014" t="str">
        <f>'Part VII-Pro Forma'!K40</f>
        <v/>
      </c>
      <c r="M857" s="2944"/>
      <c r="N857" s="2944"/>
    </row>
    <row r="858" spans="1:14">
      <c r="B858" s="3014"/>
      <c r="C858" s="3014"/>
      <c r="D858" s="3014"/>
      <c r="E858" s="3014"/>
      <c r="F858" s="3014"/>
      <c r="G858" s="3014"/>
      <c r="H858" s="3014"/>
      <c r="I858" s="3014"/>
      <c r="J858" s="3014"/>
      <c r="K858" s="3014"/>
    </row>
    <row r="859" spans="1:14">
      <c r="A859" s="2907" t="s">
        <v>2602</v>
      </c>
      <c r="B859" s="3017">
        <f>K830+1</f>
        <v>11</v>
      </c>
      <c r="C859" s="3017">
        <f t="shared" ref="C859:K859" si="282">B859+1</f>
        <v>12</v>
      </c>
      <c r="D859" s="3017">
        <f t="shared" si="282"/>
        <v>13</v>
      </c>
      <c r="E859" s="3017">
        <f t="shared" si="282"/>
        <v>14</v>
      </c>
      <c r="F859" s="3017">
        <f t="shared" si="282"/>
        <v>15</v>
      </c>
      <c r="G859" s="3017">
        <f t="shared" si="282"/>
        <v>16</v>
      </c>
      <c r="H859" s="3017">
        <f t="shared" si="282"/>
        <v>17</v>
      </c>
      <c r="I859" s="3017">
        <f t="shared" si="282"/>
        <v>18</v>
      </c>
      <c r="J859" s="3017">
        <f t="shared" si="282"/>
        <v>19</v>
      </c>
      <c r="K859" s="3017">
        <f t="shared" si="282"/>
        <v>20</v>
      </c>
      <c r="M859" s="3004" t="s">
        <v>2749</v>
      </c>
      <c r="N859" s="3004"/>
    </row>
    <row r="860" spans="1:14">
      <c r="A860" s="926" t="s">
        <v>2521</v>
      </c>
      <c r="B860" s="3014">
        <f>'Part VII-Pro Forma'!B43</f>
        <v>247212.06837493673</v>
      </c>
      <c r="C860" s="3014">
        <f>'Part VII-Pro Forma'!C43</f>
        <v>252156.30974243543</v>
      </c>
      <c r="D860" s="3014">
        <f>'Part VII-Pro Forma'!D43</f>
        <v>257199.43593728417</v>
      </c>
      <c r="E860" s="3014">
        <f>'Part VII-Pro Forma'!E43</f>
        <v>262343.42465602985</v>
      </c>
      <c r="F860" s="3014">
        <f>'Part VII-Pro Forma'!F43</f>
        <v>267590.2931491505</v>
      </c>
      <c r="G860" s="3014">
        <f>'Part VII-Pro Forma'!G43</f>
        <v>272942.09901213343</v>
      </c>
      <c r="H860" s="3014">
        <f>'Part VII-Pro Forma'!H43</f>
        <v>278400.94099237613</v>
      </c>
      <c r="I860" s="3014">
        <f>'Part VII-Pro Forma'!I43</f>
        <v>283968.95981222368</v>
      </c>
      <c r="J860" s="3014">
        <f>'Part VII-Pro Forma'!J43</f>
        <v>289648.33900846809</v>
      </c>
      <c r="K860" s="3014">
        <f>'Part VII-Pro Forma'!K43</f>
        <v>295441.30578863749</v>
      </c>
      <c r="M860" s="2869">
        <f>'Part VII-Pro Forma'!M43</f>
        <v>0</v>
      </c>
      <c r="N860" s="2944"/>
    </row>
    <row r="861" spans="1:14">
      <c r="A861" s="926" t="s">
        <v>1065</v>
      </c>
      <c r="B861" s="3014">
        <f>'Part VII-Pro Forma'!B44</f>
        <v>4944.2413674987347</v>
      </c>
      <c r="C861" s="3014">
        <f>'Part VII-Pro Forma'!C44</f>
        <v>5043.126194848709</v>
      </c>
      <c r="D861" s="3014">
        <f>'Part VII-Pro Forma'!D44</f>
        <v>5143.9887187456834</v>
      </c>
      <c r="E861" s="3014">
        <f>'Part VII-Pro Forma'!E44</f>
        <v>5246.8684931205971</v>
      </c>
      <c r="F861" s="3014">
        <f>'Part VII-Pro Forma'!F44</f>
        <v>5351.8058629830093</v>
      </c>
      <c r="G861" s="3014">
        <f>'Part VII-Pro Forma'!G44</f>
        <v>5458.8419802426679</v>
      </c>
      <c r="H861" s="3014">
        <f>'Part VII-Pro Forma'!H44</f>
        <v>5568.0188198475225</v>
      </c>
      <c r="I861" s="3014">
        <f>'Part VII-Pro Forma'!I44</f>
        <v>5679.379196244473</v>
      </c>
      <c r="J861" s="3014">
        <f>'Part VII-Pro Forma'!J44</f>
        <v>5792.9667801693622</v>
      </c>
      <c r="K861" s="3014">
        <f>'Part VII-Pro Forma'!K44</f>
        <v>5908.8261157727493</v>
      </c>
      <c r="M861" s="2944"/>
      <c r="N861" s="2944"/>
    </row>
    <row r="862" spans="1:14">
      <c r="A862" s="926" t="s">
        <v>2522</v>
      </c>
      <c r="B862" s="3014">
        <f>'Part VII-Pro Forma'!B45</f>
        <v>-17650.941681970486</v>
      </c>
      <c r="C862" s="3014">
        <f>'Part VII-Pro Forma'!C45</f>
        <v>-18003.960515609891</v>
      </c>
      <c r="D862" s="3014">
        <f>'Part VII-Pro Forma'!D45</f>
        <v>-18364.039725922092</v>
      </c>
      <c r="E862" s="3014">
        <f>'Part VII-Pro Forma'!E45</f>
        <v>-18731.320520440531</v>
      </c>
      <c r="F862" s="3014">
        <f>'Part VII-Pro Forma'!F45</f>
        <v>-19105.946930849346</v>
      </c>
      <c r="G862" s="3014">
        <f>'Part VII-Pro Forma'!G45</f>
        <v>-19488.065869466333</v>
      </c>
      <c r="H862" s="3014">
        <f>'Part VII-Pro Forma'!H45</f>
        <v>-19877.827186855659</v>
      </c>
      <c r="I862" s="3014">
        <f>'Part VII-Pro Forma'!I45</f>
        <v>-20275.383730592774</v>
      </c>
      <c r="J862" s="3014">
        <f>'Part VII-Pro Forma'!J45</f>
        <v>-20680.891405204624</v>
      </c>
      <c r="K862" s="3014">
        <f>'Part VII-Pro Forma'!K45</f>
        <v>-21094.50923330872</v>
      </c>
      <c r="M862" s="2944"/>
      <c r="N862" s="2944"/>
    </row>
    <row r="863" spans="1:14">
      <c r="A863" s="926" t="s">
        <v>54</v>
      </c>
      <c r="B863" s="3014">
        <f>'Part VII-Pro Forma'!B46</f>
        <v>0</v>
      </c>
      <c r="C863" s="3014">
        <f>'Part VII-Pro Forma'!C46</f>
        <v>0</v>
      </c>
      <c r="D863" s="3014">
        <f>'Part VII-Pro Forma'!D46</f>
        <v>0</v>
      </c>
      <c r="E863" s="3014">
        <f>'Part VII-Pro Forma'!E46</f>
        <v>0</v>
      </c>
      <c r="F863" s="3014">
        <f>'Part VII-Pro Forma'!F46</f>
        <v>0</v>
      </c>
      <c r="G863" s="3014">
        <f>'Part VII-Pro Forma'!G46</f>
        <v>0</v>
      </c>
      <c r="H863" s="3014">
        <f>'Part VII-Pro Forma'!H46</f>
        <v>0</v>
      </c>
      <c r="I863" s="3014">
        <f>'Part VII-Pro Forma'!I46</f>
        <v>0</v>
      </c>
      <c r="J863" s="3014">
        <f>'Part VII-Pro Forma'!J46</f>
        <v>0</v>
      </c>
      <c r="K863" s="3014">
        <f>'Part VII-Pro Forma'!K46</f>
        <v>0</v>
      </c>
      <c r="M863" s="2944"/>
      <c r="N863" s="2944"/>
    </row>
    <row r="864" spans="1:14">
      <c r="A864" s="926" t="s">
        <v>55</v>
      </c>
      <c r="B864" s="3014">
        <f>'Part VII-Pro Forma'!B47</f>
        <v>30200</v>
      </c>
      <c r="C864" s="3014">
        <f>'Part VII-Pro Forma'!C47</f>
        <v>32000</v>
      </c>
      <c r="D864" s="3014">
        <f>'Part VII-Pro Forma'!D47</f>
        <v>33800</v>
      </c>
      <c r="E864" s="3014">
        <f>'Part VII-Pro Forma'!E47</f>
        <v>36000</v>
      </c>
      <c r="F864" s="3014">
        <f>'Part VII-Pro Forma'!F47</f>
        <v>38000</v>
      </c>
      <c r="G864" s="3014">
        <f>'Part VII-Pro Forma'!G47</f>
        <v>40600</v>
      </c>
      <c r="H864" s="3014">
        <f>'Part VII-Pro Forma'!H47</f>
        <v>42800</v>
      </c>
      <c r="I864" s="3014">
        <f>'Part VII-Pro Forma'!I47</f>
        <v>45200</v>
      </c>
      <c r="J864" s="3014">
        <f>'Part VII-Pro Forma'!J47</f>
        <v>47800</v>
      </c>
      <c r="K864" s="3014">
        <f>'Part VII-Pro Forma'!K47</f>
        <v>50800</v>
      </c>
      <c r="M864" s="2944"/>
      <c r="N864" s="2944"/>
    </row>
    <row r="865" spans="1:14">
      <c r="A865" s="926" t="s">
        <v>644</v>
      </c>
      <c r="B865" s="3014">
        <f>'Part VII-Pro Forma'!B48</f>
        <v>-166470.92190935637</v>
      </c>
      <c r="C865" s="3014">
        <f>'Part VII-Pro Forma'!C48</f>
        <v>-171465.04956663706</v>
      </c>
      <c r="D865" s="3014">
        <f>'Part VII-Pro Forma'!D48</f>
        <v>-176609.00105363614</v>
      </c>
      <c r="E865" s="3014">
        <f>'Part VII-Pro Forma'!E48</f>
        <v>-181907.27108524521</v>
      </c>
      <c r="F865" s="3014">
        <f>'Part VII-Pro Forma'!F48</f>
        <v>-187364.48921780259</v>
      </c>
      <c r="G865" s="3014">
        <f>'Part VII-Pro Forma'!G48</f>
        <v>-192985.42389433668</v>
      </c>
      <c r="H865" s="3014">
        <f>'Part VII-Pro Forma'!H48</f>
        <v>-198774.98661116677</v>
      </c>
      <c r="I865" s="3014">
        <f>'Part VII-Pro Forma'!I48</f>
        <v>-204738.23620950175</v>
      </c>
      <c r="J865" s="3014">
        <f>'Part VII-Pro Forma'!J48</f>
        <v>-210880.3832957868</v>
      </c>
      <c r="K865" s="3014">
        <f>'Part VII-Pro Forma'!K48</f>
        <v>-217206.79479466041</v>
      </c>
      <c r="M865" s="2944"/>
      <c r="N865" s="2944"/>
    </row>
    <row r="866" spans="1:14">
      <c r="A866" s="926" t="s">
        <v>1165</v>
      </c>
      <c r="B866" s="3014">
        <f>'Part VII-Pro Forma'!B49</f>
        <v>-31157</v>
      </c>
      <c r="C866" s="3014">
        <f>'Part VII-Pro Forma'!C49</f>
        <v>-32092</v>
      </c>
      <c r="D866" s="3014">
        <f>'Part VII-Pro Forma'!D49</f>
        <v>-33055</v>
      </c>
      <c r="E866" s="3014">
        <f>'Part VII-Pro Forma'!E49</f>
        <v>-34046</v>
      </c>
      <c r="F866" s="3014">
        <f>'Part VII-Pro Forma'!F49</f>
        <v>-35068</v>
      </c>
      <c r="G866" s="3014">
        <f>'Part VII-Pro Forma'!G49</f>
        <v>-36120</v>
      </c>
      <c r="H866" s="3014">
        <f>'Part VII-Pro Forma'!H49</f>
        <v>-37204</v>
      </c>
      <c r="I866" s="3014">
        <f>'Part VII-Pro Forma'!I49</f>
        <v>-38320</v>
      </c>
      <c r="J866" s="3014">
        <f>'Part VII-Pro Forma'!J49</f>
        <v>-39469</v>
      </c>
      <c r="K866" s="3014">
        <f>'Part VII-Pro Forma'!K49</f>
        <v>-40653</v>
      </c>
      <c r="M866" s="2944"/>
      <c r="N866" s="2944"/>
    </row>
    <row r="867" spans="1:14">
      <c r="A867" s="926" t="s">
        <v>1259</v>
      </c>
      <c r="B867" s="3014">
        <f>'Part VII-Pro Forma'!B50</f>
        <v>-19755.570776358589</v>
      </c>
      <c r="C867" s="3014">
        <f>'Part VII-Pro Forma'!C50</f>
        <v>-20348.23789964935</v>
      </c>
      <c r="D867" s="3014">
        <f>'Part VII-Pro Forma'!D50</f>
        <v>-20958.685036638824</v>
      </c>
      <c r="E867" s="3014">
        <f>'Part VII-Pro Forma'!E50</f>
        <v>-21587.445587737988</v>
      </c>
      <c r="F867" s="3014">
        <f>'Part VII-Pro Forma'!F50</f>
        <v>-22235.06895537013</v>
      </c>
      <c r="G867" s="3014">
        <f>'Part VII-Pro Forma'!G50</f>
        <v>-22902.121024031236</v>
      </c>
      <c r="H867" s="3014">
        <f>'Part VII-Pro Forma'!H50</f>
        <v>-23589.184654752171</v>
      </c>
      <c r="I867" s="3014">
        <f>'Part VII-Pro Forma'!I50</f>
        <v>-24296.860194394736</v>
      </c>
      <c r="J867" s="3014">
        <f>'Part VII-Pro Forma'!J50</f>
        <v>-25025.766000226577</v>
      </c>
      <c r="K867" s="3014">
        <f>'Part VII-Pro Forma'!K50</f>
        <v>-25776.538980233374</v>
      </c>
      <c r="M867" s="2944"/>
      <c r="N867" s="2944"/>
    </row>
    <row r="868" spans="1:14">
      <c r="A868" s="926" t="s">
        <v>1260</v>
      </c>
      <c r="B868" s="3014">
        <f>'Part VII-Pro Forma'!B51</f>
        <v>47321.875374750009</v>
      </c>
      <c r="C868" s="3014">
        <f>'Part VII-Pro Forma'!C51</f>
        <v>47290.187955387853</v>
      </c>
      <c r="D868" s="3014">
        <f>'Part VII-Pro Forma'!D51</f>
        <v>47156.698839832781</v>
      </c>
      <c r="E868" s="3014">
        <f>'Part VII-Pro Forma'!E51</f>
        <v>47318.255955726716</v>
      </c>
      <c r="F868" s="3014">
        <f>'Part VII-Pro Forma'!F51</f>
        <v>47168.593908111427</v>
      </c>
      <c r="G868" s="3014">
        <f>'Part VII-Pro Forma'!G51</f>
        <v>47505.330204541868</v>
      </c>
      <c r="H868" s="3014">
        <f>'Part VII-Pro Forma'!H51</f>
        <v>47322.96135944908</v>
      </c>
      <c r="I868" s="3014">
        <f>'Part VII-Pro Forma'!I51</f>
        <v>47217.858873978876</v>
      </c>
      <c r="J868" s="3014">
        <f>'Part VII-Pro Forma'!J51</f>
        <v>47185.265087419451</v>
      </c>
      <c r="K868" s="3014">
        <f>'Part VII-Pro Forma'!K51</f>
        <v>47419.288896207749</v>
      </c>
      <c r="M868" s="2944"/>
      <c r="N868" s="2944"/>
    </row>
    <row r="869" spans="1:14">
      <c r="A869" s="926" t="str">
        <f>$A840</f>
        <v>Mortgage A</v>
      </c>
      <c r="B869" s="3014">
        <f>'Part VII-Pro Forma'!B52</f>
        <v>-37855</v>
      </c>
      <c r="C869" s="3014">
        <f>'Part VII-Pro Forma'!C52</f>
        <v>-37855</v>
      </c>
      <c r="D869" s="3014">
        <f>'Part VII-Pro Forma'!D52</f>
        <v>-37855</v>
      </c>
      <c r="E869" s="3014">
        <f>'Part VII-Pro Forma'!E52</f>
        <v>-37855</v>
      </c>
      <c r="F869" s="3014">
        <f>'Part VII-Pro Forma'!F52</f>
        <v>-37855</v>
      </c>
      <c r="G869" s="3014">
        <f>'Part VII-Pro Forma'!G52</f>
        <v>-37855</v>
      </c>
      <c r="H869" s="3014">
        <f>'Part VII-Pro Forma'!H52</f>
        <v>-37855</v>
      </c>
      <c r="I869" s="3014">
        <f>'Part VII-Pro Forma'!I52</f>
        <v>-37855</v>
      </c>
      <c r="J869" s="3014">
        <f>'Part VII-Pro Forma'!J52</f>
        <v>-37855</v>
      </c>
      <c r="K869" s="3014">
        <f>'Part VII-Pro Forma'!K52</f>
        <v>-37855</v>
      </c>
      <c r="M869" s="2944"/>
      <c r="N869" s="2944"/>
    </row>
    <row r="870" spans="1:14">
      <c r="A870" s="926" t="str">
        <f>$A841</f>
        <v>Mortgage B</v>
      </c>
      <c r="B870" s="3014">
        <f>'Part VII-Pro Forma'!B53</f>
        <v>0</v>
      </c>
      <c r="C870" s="3014">
        <f>'Part VII-Pro Forma'!C53</f>
        <v>0</v>
      </c>
      <c r="D870" s="3014">
        <f>'Part VII-Pro Forma'!D53</f>
        <v>0</v>
      </c>
      <c r="E870" s="3014">
        <f>'Part VII-Pro Forma'!E53</f>
        <v>0</v>
      </c>
      <c r="F870" s="3014">
        <f>'Part VII-Pro Forma'!F53</f>
        <v>0</v>
      </c>
      <c r="G870" s="3014">
        <f>'Part VII-Pro Forma'!G53</f>
        <v>0</v>
      </c>
      <c r="H870" s="3014">
        <f>'Part VII-Pro Forma'!H53</f>
        <v>0</v>
      </c>
      <c r="I870" s="3014">
        <f>'Part VII-Pro Forma'!I53</f>
        <v>0</v>
      </c>
      <c r="J870" s="3014">
        <f>'Part VII-Pro Forma'!J53</f>
        <v>0</v>
      </c>
      <c r="K870" s="3014">
        <f>'Part VII-Pro Forma'!K53</f>
        <v>0</v>
      </c>
      <c r="M870" s="2944"/>
      <c r="N870" s="2944"/>
    </row>
    <row r="871" spans="1:14">
      <c r="A871" s="926" t="str">
        <f>$A842</f>
        <v>Mortgage C</v>
      </c>
      <c r="B871" s="3014">
        <f>'Part VII-Pro Forma'!B54</f>
        <v>0</v>
      </c>
      <c r="C871" s="3014">
        <f>'Part VII-Pro Forma'!C54</f>
        <v>0</v>
      </c>
      <c r="D871" s="3014">
        <f>'Part VII-Pro Forma'!D54</f>
        <v>0</v>
      </c>
      <c r="E871" s="3014">
        <f>'Part VII-Pro Forma'!E54</f>
        <v>0</v>
      </c>
      <c r="F871" s="3014">
        <f>'Part VII-Pro Forma'!F54</f>
        <v>0</v>
      </c>
      <c r="G871" s="3014">
        <f>'Part VII-Pro Forma'!G54</f>
        <v>0</v>
      </c>
      <c r="H871" s="3014">
        <f>'Part VII-Pro Forma'!H54</f>
        <v>0</v>
      </c>
      <c r="I871" s="3014">
        <f>'Part VII-Pro Forma'!I54</f>
        <v>0</v>
      </c>
      <c r="J871" s="3014">
        <f>'Part VII-Pro Forma'!J54</f>
        <v>0</v>
      </c>
      <c r="K871" s="3014">
        <f>'Part VII-Pro Forma'!K54</f>
        <v>0</v>
      </c>
      <c r="M871" s="2944"/>
      <c r="N871" s="2944"/>
    </row>
    <row r="872" spans="1:14">
      <c r="A872" s="926" t="str">
        <f>$A843</f>
        <v>D/S Other Source</v>
      </c>
      <c r="B872" s="3014">
        <f>'Part VII-Pro Forma'!B55</f>
        <v>0</v>
      </c>
      <c r="C872" s="3014">
        <f>'Part VII-Pro Forma'!C55</f>
        <v>0</v>
      </c>
      <c r="D872" s="3014">
        <f>'Part VII-Pro Forma'!D55</f>
        <v>0</v>
      </c>
      <c r="E872" s="3014">
        <f>'Part VII-Pro Forma'!E55</f>
        <v>0</v>
      </c>
      <c r="F872" s="3014">
        <f>'Part VII-Pro Forma'!F55</f>
        <v>0</v>
      </c>
      <c r="G872" s="3014">
        <f>'Part VII-Pro Forma'!G55</f>
        <v>0</v>
      </c>
      <c r="H872" s="3014">
        <f>'Part VII-Pro Forma'!H55</f>
        <v>0</v>
      </c>
      <c r="I872" s="3014">
        <f>'Part VII-Pro Forma'!I55</f>
        <v>0</v>
      </c>
      <c r="J872" s="3014">
        <f>'Part VII-Pro Forma'!J55</f>
        <v>0</v>
      </c>
      <c r="K872" s="3014">
        <f>'Part VII-Pro Forma'!K55</f>
        <v>0</v>
      </c>
      <c r="M872" s="2944"/>
      <c r="N872" s="2944"/>
    </row>
    <row r="873" spans="1:14">
      <c r="A873" s="926" t="s">
        <v>803</v>
      </c>
      <c r="B873" s="3014">
        <f>'Part VII-Pro Forma'!B56</f>
        <v>0</v>
      </c>
      <c r="C873" s="3014">
        <f>'Part VII-Pro Forma'!C56</f>
        <v>0</v>
      </c>
      <c r="D873" s="3014">
        <f>'Part VII-Pro Forma'!D56</f>
        <v>0</v>
      </c>
      <c r="E873" s="3014">
        <f>'Part VII-Pro Forma'!E56</f>
        <v>0</v>
      </c>
      <c r="F873" s="3014">
        <f>'Part VII-Pro Forma'!F56</f>
        <v>0</v>
      </c>
      <c r="G873" s="3014">
        <f>'Part VII-Pro Forma'!G56</f>
        <v>0</v>
      </c>
      <c r="H873" s="3014">
        <f>'Part VII-Pro Forma'!H56</f>
        <v>0</v>
      </c>
      <c r="I873" s="3014">
        <f>'Part VII-Pro Forma'!I56</f>
        <v>0</v>
      </c>
      <c r="J873" s="3014">
        <f>'Part VII-Pro Forma'!J56</f>
        <v>0</v>
      </c>
      <c r="K873" s="3014">
        <f>'Part VII-Pro Forma'!K56</f>
        <v>0</v>
      </c>
      <c r="M873" s="2944"/>
      <c r="N873" s="2944"/>
    </row>
    <row r="874" spans="1:14">
      <c r="A874" s="926" t="s">
        <v>1218</v>
      </c>
      <c r="B874" s="3014">
        <f>'Part VII-Pro Forma'!B57</f>
        <v>0</v>
      </c>
      <c r="C874" s="3014">
        <f>'Part VII-Pro Forma'!C57</f>
        <v>0</v>
      </c>
      <c r="D874" s="3014">
        <f>'Part VII-Pro Forma'!D57</f>
        <v>0</v>
      </c>
      <c r="E874" s="3014">
        <f>'Part VII-Pro Forma'!E57</f>
        <v>0</v>
      </c>
      <c r="F874" s="3014">
        <f>'Part VII-Pro Forma'!F57</f>
        <v>0</v>
      </c>
      <c r="G874" s="3014">
        <f>'Part VII-Pro Forma'!G57</f>
        <v>0</v>
      </c>
      <c r="H874" s="3014">
        <f>'Part VII-Pro Forma'!H57</f>
        <v>0</v>
      </c>
      <c r="I874" s="3014">
        <f>'Part VII-Pro Forma'!I57</f>
        <v>0</v>
      </c>
      <c r="J874" s="3014">
        <f>'Part VII-Pro Forma'!J57</f>
        <v>0</v>
      </c>
      <c r="K874" s="3014">
        <f>'Part VII-Pro Forma'!K57</f>
        <v>0</v>
      </c>
      <c r="M874" s="2944"/>
      <c r="N874" s="2944"/>
    </row>
    <row r="875" spans="1:14">
      <c r="A875" s="926" t="s">
        <v>1261</v>
      </c>
      <c r="B875" s="3014">
        <f>'Part VII-Pro Forma'!B58</f>
        <v>0</v>
      </c>
      <c r="C875" s="3014">
        <f>'Part VII-Pro Forma'!C58</f>
        <v>0</v>
      </c>
      <c r="D875" s="3014">
        <f>'Part VII-Pro Forma'!D58</f>
        <v>0</v>
      </c>
      <c r="E875" s="3014">
        <f>'Part VII-Pro Forma'!E58</f>
        <v>0</v>
      </c>
      <c r="F875" s="3014">
        <f>'Part VII-Pro Forma'!F58</f>
        <v>0</v>
      </c>
      <c r="G875" s="3014">
        <f>'Part VII-Pro Forma'!G58</f>
        <v>0</v>
      </c>
      <c r="H875" s="3014">
        <f>'Part VII-Pro Forma'!H58</f>
        <v>0</v>
      </c>
      <c r="I875" s="3014">
        <f>'Part VII-Pro Forma'!I58</f>
        <v>0</v>
      </c>
      <c r="J875" s="3014">
        <f>'Part VII-Pro Forma'!J58</f>
        <v>0</v>
      </c>
      <c r="K875" s="3014">
        <f>'Part VII-Pro Forma'!K58</f>
        <v>0</v>
      </c>
      <c r="M875" s="2944"/>
      <c r="N875" s="2944"/>
    </row>
    <row r="876" spans="1:14">
      <c r="A876" s="926" t="s">
        <v>1219</v>
      </c>
      <c r="B876" s="3014">
        <f>'Part VII-Pro Forma'!B59</f>
        <v>9466.8753747500086</v>
      </c>
      <c r="C876" s="3014">
        <f>'Part VII-Pro Forma'!C59</f>
        <v>9435.1879553878534</v>
      </c>
      <c r="D876" s="3014">
        <f>'Part VII-Pro Forma'!D59</f>
        <v>9301.6988398327812</v>
      </c>
      <c r="E876" s="3014">
        <f>'Part VII-Pro Forma'!E59</f>
        <v>9463.2559557267159</v>
      </c>
      <c r="F876" s="3014">
        <f>'Part VII-Pro Forma'!F59</f>
        <v>9313.5939081114266</v>
      </c>
      <c r="G876" s="3014">
        <f>'Part VII-Pro Forma'!G59</f>
        <v>9650.3302045418677</v>
      </c>
      <c r="H876" s="3014">
        <f>'Part VII-Pro Forma'!H59</f>
        <v>9467.9613594490802</v>
      </c>
      <c r="I876" s="3014">
        <f>'Part VII-Pro Forma'!I59</f>
        <v>9362.8588739788756</v>
      </c>
      <c r="J876" s="3014">
        <f>'Part VII-Pro Forma'!J59</f>
        <v>9330.2650874194514</v>
      </c>
      <c r="K876" s="3014">
        <f>'Part VII-Pro Forma'!K59</f>
        <v>9564.2888962077486</v>
      </c>
      <c r="M876" s="2944"/>
      <c r="N876" s="2944"/>
    </row>
    <row r="877" spans="1:14">
      <c r="A877" s="926" t="str">
        <f>$A848</f>
        <v>DCR Mortgage A</v>
      </c>
      <c r="B877" s="3015">
        <f>'Part VII-Pro Forma'!B60</f>
        <v>1.2500825617421742</v>
      </c>
      <c r="C877" s="3015">
        <f>'Part VII-Pro Forma'!C60</f>
        <v>1.249245488188822</v>
      </c>
      <c r="D877" s="3015">
        <f>'Part VII-Pro Forma'!D60</f>
        <v>1.2457191610046965</v>
      </c>
      <c r="E877" s="3015">
        <f>'Part VII-Pro Forma'!E60</f>
        <v>1.2499869490351794</v>
      </c>
      <c r="F877" s="3015">
        <f>'Part VII-Pro Forma'!F60</f>
        <v>1.2460333881418948</v>
      </c>
      <c r="G877" s="3015">
        <f>'Part VII-Pro Forma'!G60</f>
        <v>1.2549288126942773</v>
      </c>
      <c r="H877" s="3015">
        <f>'Part VII-Pro Forma'!H60</f>
        <v>1.2501112497543014</v>
      </c>
      <c r="I877" s="3015">
        <f>'Part VII-Pro Forma'!I60</f>
        <v>1.2473348005277738</v>
      </c>
      <c r="J877" s="3015">
        <f>'Part VII-Pro Forma'!J60</f>
        <v>1.2464737838441275</v>
      </c>
      <c r="K877" s="3015">
        <f>'Part VII-Pro Forma'!K60</f>
        <v>1.252655894761795</v>
      </c>
      <c r="M877" s="2944"/>
      <c r="N877" s="2944"/>
    </row>
    <row r="878" spans="1:14">
      <c r="A878" s="926" t="str">
        <f>$A849</f>
        <v>DCR Mortgage B</v>
      </c>
      <c r="B878" s="3015" t="str">
        <f>'Part VII-Pro Forma'!B61</f>
        <v/>
      </c>
      <c r="C878" s="3015" t="str">
        <f>'Part VII-Pro Forma'!C61</f>
        <v/>
      </c>
      <c r="D878" s="3015" t="str">
        <f>'Part VII-Pro Forma'!D61</f>
        <v/>
      </c>
      <c r="E878" s="3015" t="str">
        <f>'Part VII-Pro Forma'!E61</f>
        <v/>
      </c>
      <c r="F878" s="3015" t="str">
        <f>'Part VII-Pro Forma'!F61</f>
        <v/>
      </c>
      <c r="G878" s="3015" t="str">
        <f>'Part VII-Pro Forma'!G61</f>
        <v/>
      </c>
      <c r="H878" s="3015" t="str">
        <f>'Part VII-Pro Forma'!H61</f>
        <v/>
      </c>
      <c r="I878" s="3015" t="str">
        <f>'Part VII-Pro Forma'!I61</f>
        <v/>
      </c>
      <c r="J878" s="3015" t="str">
        <f>'Part VII-Pro Forma'!J61</f>
        <v/>
      </c>
      <c r="K878" s="3015" t="str">
        <f>'Part VII-Pro Forma'!K61</f>
        <v/>
      </c>
      <c r="M878" s="2944"/>
      <c r="N878" s="2944"/>
    </row>
    <row r="879" spans="1:14">
      <c r="A879" s="926" t="str">
        <f>$A850</f>
        <v>DCR Mortgage C</v>
      </c>
      <c r="B879" s="3015" t="str">
        <f>'Part VII-Pro Forma'!B62</f>
        <v/>
      </c>
      <c r="C879" s="3015" t="str">
        <f>'Part VII-Pro Forma'!C62</f>
        <v/>
      </c>
      <c r="D879" s="3015" t="str">
        <f>'Part VII-Pro Forma'!D62</f>
        <v/>
      </c>
      <c r="E879" s="3015" t="str">
        <f>'Part VII-Pro Forma'!E62</f>
        <v/>
      </c>
      <c r="F879" s="3015" t="str">
        <f>'Part VII-Pro Forma'!F62</f>
        <v/>
      </c>
      <c r="G879" s="3015" t="str">
        <f>'Part VII-Pro Forma'!G62</f>
        <v/>
      </c>
      <c r="H879" s="3015" t="str">
        <f>'Part VII-Pro Forma'!H62</f>
        <v/>
      </c>
      <c r="I879" s="3015" t="str">
        <f>'Part VII-Pro Forma'!I62</f>
        <v/>
      </c>
      <c r="J879" s="3015" t="str">
        <f>'Part VII-Pro Forma'!J62</f>
        <v/>
      </c>
      <c r="K879" s="3015" t="str">
        <f>'Part VII-Pro Forma'!K62</f>
        <v/>
      </c>
      <c r="M879" s="2944"/>
      <c r="N879" s="2944"/>
    </row>
    <row r="880" spans="1:14">
      <c r="A880" s="926" t="str">
        <f>$A851</f>
        <v>DCR Other Source</v>
      </c>
      <c r="B880" s="3015" t="str">
        <f>'Part VII-Pro Forma'!B63</f>
        <v/>
      </c>
      <c r="C880" s="3015" t="str">
        <f>'Part VII-Pro Forma'!C63</f>
        <v/>
      </c>
      <c r="D880" s="3015" t="str">
        <f>'Part VII-Pro Forma'!D63</f>
        <v/>
      </c>
      <c r="E880" s="3015" t="str">
        <f>'Part VII-Pro Forma'!E63</f>
        <v/>
      </c>
      <c r="F880" s="3015" t="str">
        <f>'Part VII-Pro Forma'!F63</f>
        <v/>
      </c>
      <c r="G880" s="3015" t="str">
        <f>'Part VII-Pro Forma'!G63</f>
        <v/>
      </c>
      <c r="H880" s="3015" t="str">
        <f>'Part VII-Pro Forma'!H63</f>
        <v/>
      </c>
      <c r="I880" s="3015" t="str">
        <f>'Part VII-Pro Forma'!I63</f>
        <v/>
      </c>
      <c r="J880" s="3015" t="str">
        <f>'Part VII-Pro Forma'!J63</f>
        <v/>
      </c>
      <c r="K880" s="3015" t="str">
        <f>'Part VII-Pro Forma'!K63</f>
        <v/>
      </c>
      <c r="M880" s="2944"/>
      <c r="N880" s="2944"/>
    </row>
    <row r="881" spans="1:14">
      <c r="A881" s="926" t="s">
        <v>810</v>
      </c>
      <c r="B881" s="3016">
        <f>'Part VII-Pro Forma'!B64</f>
        <v>1.2176884490634541</v>
      </c>
      <c r="C881" s="3016">
        <f>'Part VII-Pro Forma'!C64</f>
        <v>1.2112062135312833</v>
      </c>
      <c r="D881" s="3016">
        <f>'Part VII-Pro Forma'!D64</f>
        <v>1.2044755424510742</v>
      </c>
      <c r="E881" s="3016">
        <f>'Part VII-Pro Forma'!E64</f>
        <v>1.1992006112403402</v>
      </c>
      <c r="F881" s="3016">
        <f>'Part VII-Pro Forma'!F64</f>
        <v>1.1927864660942342</v>
      </c>
      <c r="G881" s="3016">
        <f>'Part VII-Pro Forma'!G64</f>
        <v>1.188507571152007</v>
      </c>
      <c r="H881" s="3016">
        <f>'Part VII-Pro Forma'!H64</f>
        <v>1.1823141917926767</v>
      </c>
      <c r="I881" s="3016">
        <f>'Part VII-Pro Forma'!I64</f>
        <v>1.1766110297095154</v>
      </c>
      <c r="J881" s="3016">
        <f>'Part VII-Pro Forma'!J64</f>
        <v>1.1713490313415966</v>
      </c>
      <c r="K881" s="3016">
        <f>'Part VII-Pro Forma'!K64</f>
        <v>1.1671834079404009</v>
      </c>
      <c r="M881" s="2944"/>
      <c r="N881" s="2944"/>
    </row>
    <row r="882" spans="1:14">
      <c r="A882" s="926" t="s">
        <v>2744</v>
      </c>
      <c r="B882" s="3014">
        <f>'Part VII-Pro Forma'!B65</f>
        <v>1043957.3438580466</v>
      </c>
      <c r="C882" s="3014">
        <f>'Part VII-Pro Forma'!C65</f>
        <v>1016415.9135639073</v>
      </c>
      <c r="D882" s="3014">
        <f>'Part VII-Pro Forma'!D65</f>
        <v>988597.80313825607</v>
      </c>
      <c r="E882" s="3014">
        <f>'Part VII-Pro Forma'!E65</f>
        <v>960500.23306331353</v>
      </c>
      <c r="F882" s="3014">
        <f>'Part VII-Pro Forma'!F65</f>
        <v>932120.39589837333</v>
      </c>
      <c r="G882" s="3014">
        <f>'Part VII-Pro Forma'!G65</f>
        <v>903455.45599928952</v>
      </c>
      <c r="H882" s="3014">
        <f>'Part VII-Pro Forma'!H65</f>
        <v>874502.54923514614</v>
      </c>
      <c r="I882" s="3014">
        <f>'Part VII-Pro Forma'!I65</f>
        <v>845258.78270207997</v>
      </c>
      <c r="J882" s="3014">
        <f>'Part VII-Pro Forma'!J65</f>
        <v>815721.23443422886</v>
      </c>
      <c r="K882" s="3014">
        <f>'Part VII-Pro Forma'!K65</f>
        <v>785886.95311177569</v>
      </c>
      <c r="M882" s="2944"/>
      <c r="N882" s="2944"/>
    </row>
    <row r="883" spans="1:14">
      <c r="A883" s="926" t="s">
        <v>2745</v>
      </c>
      <c r="B883" s="3014" t="str">
        <f>'Part VII-Pro Forma'!B66</f>
        <v/>
      </c>
      <c r="C883" s="3014" t="str">
        <f>'Part VII-Pro Forma'!C66</f>
        <v/>
      </c>
      <c r="D883" s="3014" t="str">
        <f>'Part VII-Pro Forma'!D66</f>
        <v/>
      </c>
      <c r="E883" s="3014" t="str">
        <f>'Part VII-Pro Forma'!E66</f>
        <v/>
      </c>
      <c r="F883" s="3014" t="str">
        <f>'Part VII-Pro Forma'!F66</f>
        <v/>
      </c>
      <c r="G883" s="3014" t="str">
        <f>'Part VII-Pro Forma'!G66</f>
        <v/>
      </c>
      <c r="H883" s="3014" t="str">
        <f>'Part VII-Pro Forma'!H66</f>
        <v/>
      </c>
      <c r="I883" s="3014" t="str">
        <f>'Part VII-Pro Forma'!I66</f>
        <v/>
      </c>
      <c r="J883" s="3014" t="str">
        <f>'Part VII-Pro Forma'!J66</f>
        <v/>
      </c>
      <c r="K883" s="3014" t="str">
        <f>'Part VII-Pro Forma'!K66</f>
        <v/>
      </c>
      <c r="M883" s="2944"/>
      <c r="N883" s="2944"/>
    </row>
    <row r="884" spans="1:14">
      <c r="A884" s="926" t="s">
        <v>2746</v>
      </c>
      <c r="B884" s="3014" t="str">
        <f>'Part VII-Pro Forma'!B67</f>
        <v/>
      </c>
      <c r="C884" s="3014" t="str">
        <f>'Part VII-Pro Forma'!C67</f>
        <v/>
      </c>
      <c r="D884" s="3014" t="str">
        <f>'Part VII-Pro Forma'!D67</f>
        <v/>
      </c>
      <c r="E884" s="3014" t="str">
        <f>'Part VII-Pro Forma'!E67</f>
        <v/>
      </c>
      <c r="F884" s="3014" t="str">
        <f>'Part VII-Pro Forma'!F67</f>
        <v/>
      </c>
      <c r="G884" s="3014" t="str">
        <f>'Part VII-Pro Forma'!G67</f>
        <v/>
      </c>
      <c r="H884" s="3014" t="str">
        <f>'Part VII-Pro Forma'!H67</f>
        <v/>
      </c>
      <c r="I884" s="3014" t="str">
        <f>'Part VII-Pro Forma'!I67</f>
        <v/>
      </c>
      <c r="J884" s="3014" t="str">
        <f>'Part VII-Pro Forma'!J67</f>
        <v/>
      </c>
      <c r="K884" s="3014" t="str">
        <f>'Part VII-Pro Forma'!K67</f>
        <v/>
      </c>
      <c r="M884" s="2944"/>
      <c r="N884" s="2944"/>
    </row>
    <row r="885" spans="1:14">
      <c r="A885" s="926" t="s">
        <v>825</v>
      </c>
      <c r="B885" s="3014" t="str">
        <f>'Part VII-Pro Forma'!B68</f>
        <v/>
      </c>
      <c r="C885" s="3014" t="str">
        <f>'Part VII-Pro Forma'!C68</f>
        <v/>
      </c>
      <c r="D885" s="3014" t="str">
        <f>'Part VII-Pro Forma'!D68</f>
        <v/>
      </c>
      <c r="E885" s="3014" t="str">
        <f>'Part VII-Pro Forma'!E68</f>
        <v/>
      </c>
      <c r="F885" s="3014" t="str">
        <f>'Part VII-Pro Forma'!F68</f>
        <v/>
      </c>
      <c r="G885" s="3014" t="str">
        <f>'Part VII-Pro Forma'!G68</f>
        <v/>
      </c>
      <c r="H885" s="3014" t="str">
        <f>'Part VII-Pro Forma'!H68</f>
        <v/>
      </c>
      <c r="I885" s="3014" t="str">
        <f>'Part VII-Pro Forma'!I68</f>
        <v/>
      </c>
      <c r="J885" s="3014" t="str">
        <f>'Part VII-Pro Forma'!J68</f>
        <v/>
      </c>
      <c r="K885" s="3014" t="str">
        <f>'Part VII-Pro Forma'!K68</f>
        <v/>
      </c>
      <c r="M885" s="2944"/>
      <c r="N885" s="2944"/>
    </row>
    <row r="886" spans="1:14">
      <c r="A886" s="926" t="s">
        <v>1296</v>
      </c>
      <c r="B886" s="3014" t="str">
        <f>'Part VII-Pro Forma'!B69</f>
        <v/>
      </c>
      <c r="C886" s="3014" t="str">
        <f>'Part VII-Pro Forma'!C69</f>
        <v/>
      </c>
      <c r="D886" s="3014" t="str">
        <f>'Part VII-Pro Forma'!D69</f>
        <v/>
      </c>
      <c r="E886" s="3014" t="str">
        <f>'Part VII-Pro Forma'!E69</f>
        <v/>
      </c>
      <c r="F886" s="3014" t="str">
        <f>'Part VII-Pro Forma'!F69</f>
        <v/>
      </c>
      <c r="G886" s="3014" t="str">
        <f>'Part VII-Pro Forma'!G69</f>
        <v/>
      </c>
      <c r="H886" s="3014" t="str">
        <f>'Part VII-Pro Forma'!H69</f>
        <v/>
      </c>
      <c r="I886" s="3014" t="str">
        <f>'Part VII-Pro Forma'!I69</f>
        <v/>
      </c>
      <c r="J886" s="3014" t="str">
        <f>'Part VII-Pro Forma'!J69</f>
        <v/>
      </c>
      <c r="K886" s="3014" t="str">
        <f>'Part VII-Pro Forma'!K69</f>
        <v/>
      </c>
      <c r="M886" s="2944"/>
      <c r="N886" s="2944"/>
    </row>
    <row r="887" spans="1:14">
      <c r="B887" s="3014"/>
      <c r="C887" s="3014"/>
      <c r="D887" s="3014"/>
      <c r="E887" s="3014"/>
      <c r="F887" s="3014"/>
      <c r="G887" s="3014"/>
      <c r="H887" s="3014"/>
      <c r="I887" s="3014"/>
      <c r="J887" s="3014"/>
      <c r="K887" s="3014"/>
    </row>
    <row r="888" spans="1:14">
      <c r="A888" s="2907" t="s">
        <v>2602</v>
      </c>
      <c r="B888" s="3017">
        <f>K859+1</f>
        <v>21</v>
      </c>
      <c r="C888" s="3017">
        <f t="shared" ref="C888:K888" si="283">B888+1</f>
        <v>22</v>
      </c>
      <c r="D888" s="3017">
        <f t="shared" si="283"/>
        <v>23</v>
      </c>
      <c r="E888" s="3017">
        <f t="shared" si="283"/>
        <v>24</v>
      </c>
      <c r="F888" s="3017">
        <f t="shared" si="283"/>
        <v>25</v>
      </c>
      <c r="G888" s="3017">
        <f t="shared" si="283"/>
        <v>26</v>
      </c>
      <c r="H888" s="3017">
        <f t="shared" si="283"/>
        <v>27</v>
      </c>
      <c r="I888" s="3017">
        <f t="shared" si="283"/>
        <v>28</v>
      </c>
      <c r="J888" s="3017">
        <f t="shared" si="283"/>
        <v>29</v>
      </c>
      <c r="K888" s="3017">
        <f t="shared" si="283"/>
        <v>30</v>
      </c>
      <c r="M888" s="3004" t="s">
        <v>2750</v>
      </c>
      <c r="N888" s="3004"/>
    </row>
    <row r="889" spans="1:14">
      <c r="A889" s="926" t="s">
        <v>2521</v>
      </c>
      <c r="B889" s="3014">
        <f>'Part VII-Pro Forma'!B72</f>
        <v>301350.13190441026</v>
      </c>
      <c r="C889" s="3014">
        <f>'Part VII-Pro Forma'!C72</f>
        <v>307377.13454249845</v>
      </c>
      <c r="D889" s="3014">
        <f>'Part VII-Pro Forma'!D72</f>
        <v>313524.67723334843</v>
      </c>
      <c r="E889" s="3014">
        <f>'Part VII-Pro Forma'!E72</f>
        <v>319795.17077801534</v>
      </c>
      <c r="F889" s="3014">
        <f>'Part VII-Pro Forma'!F72</f>
        <v>326191.07419357565</v>
      </c>
      <c r="G889" s="3014">
        <f>'Part VII-Pro Forma'!G72</f>
        <v>332714.89567744714</v>
      </c>
      <c r="H889" s="3014">
        <f>'Part VII-Pro Forma'!H72</f>
        <v>339369.19359099615</v>
      </c>
      <c r="I889" s="3014">
        <f>'Part VII-Pro Forma'!I72</f>
        <v>346156.57746281597</v>
      </c>
      <c r="J889" s="3014">
        <f>'Part VII-Pro Forma'!J72</f>
        <v>353079.70901207236</v>
      </c>
      <c r="K889" s="3014">
        <f>'Part VII-Pro Forma'!K72</f>
        <v>360141.30319231376</v>
      </c>
      <c r="M889" s="2869">
        <f>'Part VII-Pro Forma'!M72</f>
        <v>0</v>
      </c>
      <c r="N889" s="2944"/>
    </row>
    <row r="890" spans="1:14">
      <c r="A890" s="926" t="s">
        <v>1065</v>
      </c>
      <c r="B890" s="3014">
        <f>'Part VII-Pro Forma'!B73</f>
        <v>6027.0026380882045</v>
      </c>
      <c r="C890" s="3014">
        <f>'Part VII-Pro Forma'!C73</f>
        <v>6147.5426908499685</v>
      </c>
      <c r="D890" s="3014">
        <f>'Part VII-Pro Forma'!D73</f>
        <v>6270.4935446669679</v>
      </c>
      <c r="E890" s="3014">
        <f>'Part VII-Pro Forma'!E73</f>
        <v>6395.9034155603067</v>
      </c>
      <c r="F890" s="3014">
        <f>'Part VII-Pro Forma'!F73</f>
        <v>6523.821483871513</v>
      </c>
      <c r="G890" s="3014">
        <f>'Part VII-Pro Forma'!G73</f>
        <v>6654.2979135489431</v>
      </c>
      <c r="H890" s="3014">
        <f>'Part VII-Pro Forma'!H73</f>
        <v>6787.3838718199222</v>
      </c>
      <c r="I890" s="3014">
        <f>'Part VII-Pro Forma'!I73</f>
        <v>6923.1315492563199</v>
      </c>
      <c r="J890" s="3014">
        <f>'Part VII-Pro Forma'!J73</f>
        <v>7061.5941802414472</v>
      </c>
      <c r="K890" s="3014">
        <f>'Part VII-Pro Forma'!K73</f>
        <v>7202.8260638462752</v>
      </c>
      <c r="M890" s="2944"/>
      <c r="N890" s="2944"/>
    </row>
    <row r="891" spans="1:14">
      <c r="A891" s="926" t="s">
        <v>2522</v>
      </c>
      <c r="B891" s="3014">
        <f>'Part VII-Pro Forma'!B74</f>
        <v>-21516.399417974892</v>
      </c>
      <c r="C891" s="3014">
        <f>'Part VII-Pro Forma'!C74</f>
        <v>-21946.72740633439</v>
      </c>
      <c r="D891" s="3014">
        <f>'Part VII-Pro Forma'!D74</f>
        <v>-22385.66195446108</v>
      </c>
      <c r="E891" s="3014">
        <f>'Part VII-Pro Forma'!E74</f>
        <v>-22833.375193550299</v>
      </c>
      <c r="F891" s="3014">
        <f>'Part VII-Pro Forma'!F74</f>
        <v>-23290.042697421301</v>
      </c>
      <c r="G891" s="3014">
        <f>'Part VII-Pro Forma'!G74</f>
        <v>-23755.84355136973</v>
      </c>
      <c r="H891" s="3014">
        <f>'Part VII-Pro Forma'!H74</f>
        <v>-24230.960422397129</v>
      </c>
      <c r="I891" s="3014">
        <f>'Part VII-Pro Forma'!I74</f>
        <v>-24715.579630845063</v>
      </c>
      <c r="J891" s="3014">
        <f>'Part VII-Pro Forma'!J74</f>
        <v>-25209.891223461971</v>
      </c>
      <c r="K891" s="3014">
        <f>'Part VII-Pro Forma'!K74</f>
        <v>-25714.089047931207</v>
      </c>
      <c r="M891" s="2944"/>
      <c r="N891" s="2944"/>
    </row>
    <row r="892" spans="1:14">
      <c r="A892" s="926" t="s">
        <v>54</v>
      </c>
      <c r="B892" s="3014">
        <f>'Part VII-Pro Forma'!B75</f>
        <v>0</v>
      </c>
      <c r="C892" s="3014">
        <f>'Part VII-Pro Forma'!C75</f>
        <v>0</v>
      </c>
      <c r="D892" s="3014">
        <f>'Part VII-Pro Forma'!D75</f>
        <v>0</v>
      </c>
      <c r="E892" s="3014">
        <f>'Part VII-Pro Forma'!E75</f>
        <v>0</v>
      </c>
      <c r="F892" s="3014">
        <f>'Part VII-Pro Forma'!F75</f>
        <v>0</v>
      </c>
      <c r="G892" s="3014">
        <f>'Part VII-Pro Forma'!G75</f>
        <v>0</v>
      </c>
      <c r="H892" s="3014">
        <f>'Part VII-Pro Forma'!H75</f>
        <v>0</v>
      </c>
      <c r="I892" s="3014">
        <f>'Part VII-Pro Forma'!I75</f>
        <v>0</v>
      </c>
      <c r="J892" s="3014">
        <f>'Part VII-Pro Forma'!J75</f>
        <v>0</v>
      </c>
      <c r="K892" s="3014">
        <f>'Part VII-Pro Forma'!K75</f>
        <v>0</v>
      </c>
      <c r="M892" s="2944"/>
      <c r="N892" s="2944"/>
    </row>
    <row r="893" spans="1:14">
      <c r="A893" s="926" t="s">
        <v>55</v>
      </c>
      <c r="B893" s="3014">
        <f>'Part VII-Pro Forma'!B76</f>
        <v>53600</v>
      </c>
      <c r="C893" s="3014">
        <f>'Part VII-Pro Forma'!C76</f>
        <v>56600</v>
      </c>
      <c r="D893" s="3014">
        <f>'Part VII-Pro Forma'!D76</f>
        <v>59800</v>
      </c>
      <c r="E893" s="3014">
        <f>'Part VII-Pro Forma'!E76</f>
        <v>63300</v>
      </c>
      <c r="F893" s="3014">
        <f>'Part VII-Pro Forma'!F76</f>
        <v>66800</v>
      </c>
      <c r="G893" s="3014">
        <f>'Part VII-Pro Forma'!G76</f>
        <v>70500</v>
      </c>
      <c r="H893" s="3014">
        <f>'Part VII-Pro Forma'!H76</f>
        <v>74300</v>
      </c>
      <c r="I893" s="3014">
        <f>'Part VII-Pro Forma'!I76</f>
        <v>78300</v>
      </c>
      <c r="J893" s="3014">
        <f>'Part VII-Pro Forma'!J76</f>
        <v>82500</v>
      </c>
      <c r="K893" s="3014">
        <f>'Part VII-Pro Forma'!K76</f>
        <v>86700</v>
      </c>
      <c r="M893" s="2944"/>
      <c r="N893" s="2944"/>
    </row>
    <row r="894" spans="1:14">
      <c r="A894" s="926" t="s">
        <v>644</v>
      </c>
      <c r="B894" s="3014">
        <f>'Part VII-Pro Forma'!B77</f>
        <v>-223722.99863850023</v>
      </c>
      <c r="C894" s="3014">
        <f>'Part VII-Pro Forma'!C77</f>
        <v>-230434.68859765519</v>
      </c>
      <c r="D894" s="3014">
        <f>'Part VII-Pro Forma'!D77</f>
        <v>-237347.72925558488</v>
      </c>
      <c r="E894" s="3014">
        <f>'Part VII-Pro Forma'!E77</f>
        <v>-244468.16113325243</v>
      </c>
      <c r="F894" s="3014">
        <f>'Part VII-Pro Forma'!F77</f>
        <v>-251802.20596724996</v>
      </c>
      <c r="G894" s="3014">
        <f>'Part VII-Pro Forma'!G77</f>
        <v>-259356.27214626747</v>
      </c>
      <c r="H894" s="3014">
        <f>'Part VII-Pro Forma'!H77</f>
        <v>-267136.96031065553</v>
      </c>
      <c r="I894" s="3014">
        <f>'Part VII-Pro Forma'!I77</f>
        <v>-275151.06911997515</v>
      </c>
      <c r="J894" s="3014">
        <f>'Part VII-Pro Forma'!J77</f>
        <v>-283405.60119357443</v>
      </c>
      <c r="K894" s="3014">
        <f>'Part VII-Pro Forma'!K77</f>
        <v>-291907.76922938164</v>
      </c>
      <c r="M894" s="2944"/>
      <c r="N894" s="2944"/>
    </row>
    <row r="895" spans="1:14">
      <c r="A895" s="926" t="s">
        <v>1165</v>
      </c>
      <c r="B895" s="3014">
        <f>'Part VII-Pro Forma'!B78</f>
        <v>-41873</v>
      </c>
      <c r="C895" s="3014">
        <f>'Part VII-Pro Forma'!C78</f>
        <v>-43129</v>
      </c>
      <c r="D895" s="3014">
        <f>'Part VII-Pro Forma'!D78</f>
        <v>-44423</v>
      </c>
      <c r="E895" s="3014">
        <f>'Part VII-Pro Forma'!E78</f>
        <v>-45756</v>
      </c>
      <c r="F895" s="3014">
        <f>'Part VII-Pro Forma'!F78</f>
        <v>-47128</v>
      </c>
      <c r="G895" s="3014">
        <f>'Part VII-Pro Forma'!G78</f>
        <v>-48542</v>
      </c>
      <c r="H895" s="3014">
        <f>'Part VII-Pro Forma'!H78</f>
        <v>-49998</v>
      </c>
      <c r="I895" s="3014">
        <f>'Part VII-Pro Forma'!I78</f>
        <v>-51498</v>
      </c>
      <c r="J895" s="3014">
        <f>'Part VII-Pro Forma'!J78</f>
        <v>-53043</v>
      </c>
      <c r="K895" s="3014">
        <f>'Part VII-Pro Forma'!K78</f>
        <v>-54635</v>
      </c>
      <c r="M895" s="2944"/>
      <c r="N895" s="2944"/>
    </row>
    <row r="896" spans="1:14">
      <c r="A896" s="926" t="s">
        <v>1259</v>
      </c>
      <c r="B896" s="3014">
        <f>'Part VII-Pro Forma'!B79</f>
        <v>-26549.835149640374</v>
      </c>
      <c r="C896" s="3014">
        <f>'Part VII-Pro Forma'!C79</f>
        <v>-27346.330204129583</v>
      </c>
      <c r="D896" s="3014">
        <f>'Part VII-Pro Forma'!D79</f>
        <v>-28166.720110253471</v>
      </c>
      <c r="E896" s="3014">
        <f>'Part VII-Pro Forma'!E79</f>
        <v>-29011.721713561077</v>
      </c>
      <c r="F896" s="3014">
        <f>'Part VII-Pro Forma'!F79</f>
        <v>-29882.073364967906</v>
      </c>
      <c r="G896" s="3014">
        <f>'Part VII-Pro Forma'!G79</f>
        <v>-30778.535565916944</v>
      </c>
      <c r="H896" s="3014">
        <f>'Part VII-Pro Forma'!H79</f>
        <v>-31701.891632894458</v>
      </c>
      <c r="I896" s="3014">
        <f>'Part VII-Pro Forma'!I79</f>
        <v>-32652.948381881288</v>
      </c>
      <c r="J896" s="3014">
        <f>'Part VII-Pro Forma'!J79</f>
        <v>-33632.536833337726</v>
      </c>
      <c r="K896" s="3014">
        <f>'Part VII-Pro Forma'!K79</f>
        <v>-34641.512938337852</v>
      </c>
      <c r="M896" s="2944"/>
      <c r="N896" s="2944"/>
    </row>
    <row r="897" spans="1:14">
      <c r="A897" s="926" t="s">
        <v>1260</v>
      </c>
      <c r="B897" s="3014">
        <f>'Part VII-Pro Forma'!B80</f>
        <v>47314.901336382973</v>
      </c>
      <c r="C897" s="3014">
        <f>'Part VII-Pro Forma'!C80</f>
        <v>47267.931025229293</v>
      </c>
      <c r="D897" s="3014">
        <f>'Part VII-Pro Forma'!D80</f>
        <v>47272.059457715965</v>
      </c>
      <c r="E897" s="3014">
        <f>'Part VII-Pro Forma'!E80</f>
        <v>47421.816153211832</v>
      </c>
      <c r="F897" s="3014">
        <f>'Part VII-Pro Forma'!F80</f>
        <v>47412.573647808007</v>
      </c>
      <c r="G897" s="3014">
        <f>'Part VII-Pro Forma'!G80</f>
        <v>47436.542327441945</v>
      </c>
      <c r="H897" s="3014">
        <f>'Part VII-Pro Forma'!H80</f>
        <v>47388.76509686897</v>
      </c>
      <c r="I897" s="3014">
        <f>'Part VII-Pro Forma'!I80</f>
        <v>47362.111879370816</v>
      </c>
      <c r="J897" s="3014">
        <f>'Part VII-Pro Forma'!J80</f>
        <v>47350.273941939711</v>
      </c>
      <c r="K897" s="3014">
        <f>'Part VII-Pro Forma'!K80</f>
        <v>47145.758040509376</v>
      </c>
      <c r="M897" s="2944"/>
      <c r="N897" s="2944"/>
    </row>
    <row r="898" spans="1:14">
      <c r="A898" s="926" t="str">
        <f>$A869</f>
        <v>Mortgage A</v>
      </c>
      <c r="B898" s="3014">
        <f>'Part VII-Pro Forma'!B81</f>
        <v>-37855</v>
      </c>
      <c r="C898" s="3014">
        <f>'Part VII-Pro Forma'!C81</f>
        <v>-37855</v>
      </c>
      <c r="D898" s="3014">
        <f>'Part VII-Pro Forma'!D81</f>
        <v>-37855</v>
      </c>
      <c r="E898" s="3014">
        <f>'Part VII-Pro Forma'!E81</f>
        <v>-37855</v>
      </c>
      <c r="F898" s="3014">
        <f>'Part VII-Pro Forma'!F81</f>
        <v>-37855</v>
      </c>
      <c r="G898" s="3014">
        <f>'Part VII-Pro Forma'!G81</f>
        <v>-37855</v>
      </c>
      <c r="H898" s="3014">
        <f>'Part VII-Pro Forma'!H81</f>
        <v>-37855</v>
      </c>
      <c r="I898" s="3014">
        <f>'Part VII-Pro Forma'!I81</f>
        <v>-37855</v>
      </c>
      <c r="J898" s="3014">
        <f>'Part VII-Pro Forma'!J81</f>
        <v>-37855</v>
      </c>
      <c r="K898" s="3014">
        <f>'Part VII-Pro Forma'!K81</f>
        <v>-37855</v>
      </c>
      <c r="M898" s="2944"/>
      <c r="N898" s="2944"/>
    </row>
    <row r="899" spans="1:14">
      <c r="A899" s="926" t="str">
        <f>$A870</f>
        <v>Mortgage B</v>
      </c>
      <c r="B899" s="3014">
        <f>'Part VII-Pro Forma'!B82</f>
        <v>0</v>
      </c>
      <c r="C899" s="3014">
        <f>'Part VII-Pro Forma'!C82</f>
        <v>0</v>
      </c>
      <c r="D899" s="3014">
        <f>'Part VII-Pro Forma'!D82</f>
        <v>0</v>
      </c>
      <c r="E899" s="3014">
        <f>'Part VII-Pro Forma'!E82</f>
        <v>0</v>
      </c>
      <c r="F899" s="3014">
        <f>'Part VII-Pro Forma'!F82</f>
        <v>0</v>
      </c>
      <c r="G899" s="3014">
        <f>'Part VII-Pro Forma'!G82</f>
        <v>0</v>
      </c>
      <c r="H899" s="3014">
        <f>'Part VII-Pro Forma'!H82</f>
        <v>0</v>
      </c>
      <c r="I899" s="3014">
        <f>'Part VII-Pro Forma'!I82</f>
        <v>0</v>
      </c>
      <c r="J899" s="3014">
        <f>'Part VII-Pro Forma'!J82</f>
        <v>0</v>
      </c>
      <c r="K899" s="3014">
        <f>'Part VII-Pro Forma'!K82</f>
        <v>0</v>
      </c>
      <c r="M899" s="2944"/>
      <c r="N899" s="2944"/>
    </row>
    <row r="900" spans="1:14">
      <c r="A900" s="926" t="str">
        <f>$A871</f>
        <v>Mortgage C</v>
      </c>
      <c r="B900" s="3014">
        <f>'Part VII-Pro Forma'!B83</f>
        <v>0</v>
      </c>
      <c r="C900" s="3014">
        <f>'Part VII-Pro Forma'!C83</f>
        <v>0</v>
      </c>
      <c r="D900" s="3014">
        <f>'Part VII-Pro Forma'!D83</f>
        <v>0</v>
      </c>
      <c r="E900" s="3014">
        <f>'Part VII-Pro Forma'!E83</f>
        <v>0</v>
      </c>
      <c r="F900" s="3014">
        <f>'Part VII-Pro Forma'!F83</f>
        <v>0</v>
      </c>
      <c r="G900" s="3014">
        <f>'Part VII-Pro Forma'!G83</f>
        <v>0</v>
      </c>
      <c r="H900" s="3014">
        <f>'Part VII-Pro Forma'!H83</f>
        <v>0</v>
      </c>
      <c r="I900" s="3014">
        <f>'Part VII-Pro Forma'!I83</f>
        <v>0</v>
      </c>
      <c r="J900" s="3014">
        <f>'Part VII-Pro Forma'!J83</f>
        <v>0</v>
      </c>
      <c r="K900" s="3014">
        <f>'Part VII-Pro Forma'!K83</f>
        <v>0</v>
      </c>
      <c r="M900" s="2944"/>
      <c r="N900" s="2944"/>
    </row>
    <row r="901" spans="1:14">
      <c r="A901" s="926" t="str">
        <f>$A872</f>
        <v>D/S Other Source</v>
      </c>
      <c r="B901" s="3014">
        <f>'Part VII-Pro Forma'!B84</f>
        <v>0</v>
      </c>
      <c r="C901" s="3014">
        <f>'Part VII-Pro Forma'!C84</f>
        <v>0</v>
      </c>
      <c r="D901" s="3014">
        <f>'Part VII-Pro Forma'!D84</f>
        <v>0</v>
      </c>
      <c r="E901" s="3014">
        <f>'Part VII-Pro Forma'!E84</f>
        <v>0</v>
      </c>
      <c r="F901" s="3014">
        <f>'Part VII-Pro Forma'!F84</f>
        <v>0</v>
      </c>
      <c r="G901" s="3014">
        <f>'Part VII-Pro Forma'!G84</f>
        <v>0</v>
      </c>
      <c r="H901" s="3014">
        <f>'Part VII-Pro Forma'!H84</f>
        <v>0</v>
      </c>
      <c r="I901" s="3014">
        <f>'Part VII-Pro Forma'!I84</f>
        <v>0</v>
      </c>
      <c r="J901" s="3014">
        <f>'Part VII-Pro Forma'!J84</f>
        <v>0</v>
      </c>
      <c r="K901" s="3014">
        <f>'Part VII-Pro Forma'!K84</f>
        <v>0</v>
      </c>
      <c r="M901" s="2944"/>
      <c r="N901" s="2944"/>
    </row>
    <row r="902" spans="1:14">
      <c r="A902" s="926" t="s">
        <v>803</v>
      </c>
      <c r="B902" s="3014">
        <f>'Part VII-Pro Forma'!B85</f>
        <v>0</v>
      </c>
      <c r="C902" s="3014">
        <f>'Part VII-Pro Forma'!C85</f>
        <v>0</v>
      </c>
      <c r="D902" s="3014">
        <f>'Part VII-Pro Forma'!D85</f>
        <v>0</v>
      </c>
      <c r="E902" s="3014">
        <f>'Part VII-Pro Forma'!E85</f>
        <v>0</v>
      </c>
      <c r="F902" s="3014">
        <f>'Part VII-Pro Forma'!F85</f>
        <v>0</v>
      </c>
      <c r="G902" s="3014">
        <f>'Part VII-Pro Forma'!G85</f>
        <v>0</v>
      </c>
      <c r="H902" s="3014">
        <f>'Part VII-Pro Forma'!H85</f>
        <v>0</v>
      </c>
      <c r="I902" s="3014">
        <f>'Part VII-Pro Forma'!I85</f>
        <v>0</v>
      </c>
      <c r="J902" s="3014">
        <f>'Part VII-Pro Forma'!J85</f>
        <v>0</v>
      </c>
      <c r="K902" s="3014">
        <f>'Part VII-Pro Forma'!K85</f>
        <v>0</v>
      </c>
      <c r="M902" s="2944"/>
      <c r="N902" s="2944"/>
    </row>
    <row r="903" spans="1:14">
      <c r="A903" s="926" t="s">
        <v>1218</v>
      </c>
      <c r="B903" s="3014">
        <f>'Part VII-Pro Forma'!B86</f>
        <v>0</v>
      </c>
      <c r="C903" s="3014">
        <f>'Part VII-Pro Forma'!C86</f>
        <v>0</v>
      </c>
      <c r="D903" s="3014">
        <f>'Part VII-Pro Forma'!D86</f>
        <v>0</v>
      </c>
      <c r="E903" s="3014">
        <f>'Part VII-Pro Forma'!E86</f>
        <v>0</v>
      </c>
      <c r="F903" s="3014">
        <f>'Part VII-Pro Forma'!F86</f>
        <v>0</v>
      </c>
      <c r="G903" s="3014">
        <f>'Part VII-Pro Forma'!G86</f>
        <v>0</v>
      </c>
      <c r="H903" s="3014">
        <f>'Part VII-Pro Forma'!H86</f>
        <v>0</v>
      </c>
      <c r="I903" s="3014">
        <f>'Part VII-Pro Forma'!I86</f>
        <v>0</v>
      </c>
      <c r="J903" s="3014">
        <f>'Part VII-Pro Forma'!J86</f>
        <v>0</v>
      </c>
      <c r="K903" s="3014">
        <f>'Part VII-Pro Forma'!K86</f>
        <v>0</v>
      </c>
      <c r="M903" s="2944"/>
      <c r="N903" s="2944"/>
    </row>
    <row r="904" spans="1:14">
      <c r="A904" s="926" t="s">
        <v>1261</v>
      </c>
      <c r="B904" s="3014">
        <f>'Part VII-Pro Forma'!B87</f>
        <v>0</v>
      </c>
      <c r="C904" s="3014">
        <f>'Part VII-Pro Forma'!C87</f>
        <v>0</v>
      </c>
      <c r="D904" s="3014">
        <f>'Part VII-Pro Forma'!D87</f>
        <v>0</v>
      </c>
      <c r="E904" s="3014">
        <f>'Part VII-Pro Forma'!E87</f>
        <v>0</v>
      </c>
      <c r="F904" s="3014">
        <f>'Part VII-Pro Forma'!F87</f>
        <v>0</v>
      </c>
      <c r="G904" s="3014">
        <f>'Part VII-Pro Forma'!G87</f>
        <v>0</v>
      </c>
      <c r="H904" s="3014">
        <f>'Part VII-Pro Forma'!H87</f>
        <v>0</v>
      </c>
      <c r="I904" s="3014">
        <f>'Part VII-Pro Forma'!I87</f>
        <v>0</v>
      </c>
      <c r="J904" s="3014">
        <f>'Part VII-Pro Forma'!J87</f>
        <v>0</v>
      </c>
      <c r="K904" s="3014">
        <f>'Part VII-Pro Forma'!K87</f>
        <v>0</v>
      </c>
      <c r="M904" s="2944"/>
      <c r="N904" s="2944"/>
    </row>
    <row r="905" spans="1:14">
      <c r="A905" s="926" t="s">
        <v>1219</v>
      </c>
      <c r="B905" s="3014">
        <f>'Part VII-Pro Forma'!B88</f>
        <v>9459.9013363829727</v>
      </c>
      <c r="C905" s="3014">
        <f>'Part VII-Pro Forma'!C88</f>
        <v>9412.9310252292926</v>
      </c>
      <c r="D905" s="3014">
        <f>'Part VII-Pro Forma'!D88</f>
        <v>9417.0594577159645</v>
      </c>
      <c r="E905" s="3014">
        <f>'Part VII-Pro Forma'!E88</f>
        <v>9566.816153211832</v>
      </c>
      <c r="F905" s="3014">
        <f>'Part VII-Pro Forma'!F88</f>
        <v>9557.5736478080071</v>
      </c>
      <c r="G905" s="3014">
        <f>'Part VII-Pro Forma'!G88</f>
        <v>9581.5423274419445</v>
      </c>
      <c r="H905" s="3014">
        <f>'Part VII-Pro Forma'!H88</f>
        <v>9533.7650968689704</v>
      </c>
      <c r="I905" s="3014">
        <f>'Part VII-Pro Forma'!I88</f>
        <v>9507.1118793708156</v>
      </c>
      <c r="J905" s="3014">
        <f>'Part VII-Pro Forma'!J88</f>
        <v>9495.2739419397112</v>
      </c>
      <c r="K905" s="3014">
        <f>'Part VII-Pro Forma'!K88</f>
        <v>9290.7580405093759</v>
      </c>
      <c r="M905" s="2944"/>
      <c r="N905" s="2944"/>
    </row>
    <row r="906" spans="1:14">
      <c r="A906" s="926" t="str">
        <f>$A877</f>
        <v>DCR Mortgage A</v>
      </c>
      <c r="B906" s="3015">
        <f>'Part VII-Pro Forma'!B89</f>
        <v>1.2498983314326502</v>
      </c>
      <c r="C906" s="3015">
        <f>'Part VII-Pro Forma'!C89</f>
        <v>1.2486575359986605</v>
      </c>
      <c r="D906" s="3015">
        <f>'Part VII-Pro Forma'!D89</f>
        <v>1.2487665951054276</v>
      </c>
      <c r="E906" s="3015">
        <f>'Part VII-Pro Forma'!E89</f>
        <v>1.2527226562729317</v>
      </c>
      <c r="F906" s="3015">
        <f>'Part VII-Pro Forma'!F89</f>
        <v>1.2524785008006343</v>
      </c>
      <c r="G906" s="3015">
        <f>'Part VII-Pro Forma'!G89</f>
        <v>1.2531116715742159</v>
      </c>
      <c r="H906" s="3015">
        <f>'Part VII-Pro Forma'!H89</f>
        <v>1.2518495600810717</v>
      </c>
      <c r="I906" s="3015">
        <f>'Part VII-Pro Forma'!I89</f>
        <v>1.2511454729724163</v>
      </c>
      <c r="J906" s="3015">
        <f>'Part VII-Pro Forma'!J89</f>
        <v>1.2508327550373719</v>
      </c>
      <c r="K906" s="3015">
        <f>'Part VII-Pro Forma'!K89</f>
        <v>1.2454301423988741</v>
      </c>
      <c r="M906" s="2944"/>
      <c r="N906" s="2944"/>
    </row>
    <row r="907" spans="1:14">
      <c r="A907" s="926" t="str">
        <f>$A878</f>
        <v>DCR Mortgage B</v>
      </c>
      <c r="B907" s="3015" t="str">
        <f>'Part VII-Pro Forma'!B90</f>
        <v/>
      </c>
      <c r="C907" s="3015" t="str">
        <f>'Part VII-Pro Forma'!C90</f>
        <v/>
      </c>
      <c r="D907" s="3015" t="str">
        <f>'Part VII-Pro Forma'!D90</f>
        <v/>
      </c>
      <c r="E907" s="3015" t="str">
        <f>'Part VII-Pro Forma'!E90</f>
        <v/>
      </c>
      <c r="F907" s="3015" t="str">
        <f>'Part VII-Pro Forma'!F90</f>
        <v/>
      </c>
      <c r="G907" s="3015" t="str">
        <f>'Part VII-Pro Forma'!G90</f>
        <v/>
      </c>
      <c r="H907" s="3015" t="str">
        <f>'Part VII-Pro Forma'!H90</f>
        <v/>
      </c>
      <c r="I907" s="3015" t="str">
        <f>'Part VII-Pro Forma'!I90</f>
        <v/>
      </c>
      <c r="J907" s="3015" t="str">
        <f>'Part VII-Pro Forma'!J90</f>
        <v/>
      </c>
      <c r="K907" s="3015" t="str">
        <f>'Part VII-Pro Forma'!K90</f>
        <v/>
      </c>
      <c r="M907" s="2944"/>
      <c r="N907" s="2944"/>
    </row>
    <row r="908" spans="1:14">
      <c r="A908" s="926" t="str">
        <f>$A879</f>
        <v>DCR Mortgage C</v>
      </c>
      <c r="B908" s="3015" t="str">
        <f>'Part VII-Pro Forma'!B91</f>
        <v/>
      </c>
      <c r="C908" s="3015" t="str">
        <f>'Part VII-Pro Forma'!C91</f>
        <v/>
      </c>
      <c r="D908" s="3015" t="str">
        <f>'Part VII-Pro Forma'!D91</f>
        <v/>
      </c>
      <c r="E908" s="3015" t="str">
        <f>'Part VII-Pro Forma'!E91</f>
        <v/>
      </c>
      <c r="F908" s="3015" t="str">
        <f>'Part VII-Pro Forma'!F91</f>
        <v/>
      </c>
      <c r="G908" s="3015" t="str">
        <f>'Part VII-Pro Forma'!G91</f>
        <v/>
      </c>
      <c r="H908" s="3015" t="str">
        <f>'Part VII-Pro Forma'!H91</f>
        <v/>
      </c>
      <c r="I908" s="3015" t="str">
        <f>'Part VII-Pro Forma'!I91</f>
        <v/>
      </c>
      <c r="J908" s="3015" t="str">
        <f>'Part VII-Pro Forma'!J91</f>
        <v/>
      </c>
      <c r="K908" s="3015" t="str">
        <f>'Part VII-Pro Forma'!K91</f>
        <v/>
      </c>
      <c r="M908" s="2944"/>
      <c r="N908" s="2944"/>
    </row>
    <row r="909" spans="1:14">
      <c r="A909" s="926" t="str">
        <f>$A880</f>
        <v>DCR Other Source</v>
      </c>
      <c r="B909" s="3015" t="str">
        <f>'Part VII-Pro Forma'!B92</f>
        <v/>
      </c>
      <c r="C909" s="3015" t="str">
        <f>'Part VII-Pro Forma'!C92</f>
        <v/>
      </c>
      <c r="D909" s="3015" t="str">
        <f>'Part VII-Pro Forma'!D92</f>
        <v/>
      </c>
      <c r="E909" s="3015" t="str">
        <f>'Part VII-Pro Forma'!E92</f>
        <v/>
      </c>
      <c r="F909" s="3015" t="str">
        <f>'Part VII-Pro Forma'!F92</f>
        <v/>
      </c>
      <c r="G909" s="3015" t="str">
        <f>'Part VII-Pro Forma'!G92</f>
        <v/>
      </c>
      <c r="H909" s="3015" t="str">
        <f>'Part VII-Pro Forma'!H92</f>
        <v/>
      </c>
      <c r="I909" s="3015" t="str">
        <f>'Part VII-Pro Forma'!I92</f>
        <v/>
      </c>
      <c r="J909" s="3015" t="str">
        <f>'Part VII-Pro Forma'!J92</f>
        <v/>
      </c>
      <c r="K909" s="3015" t="str">
        <f>'Part VII-Pro Forma'!K92</f>
        <v/>
      </c>
      <c r="M909" s="2944"/>
      <c r="N909" s="2944"/>
    </row>
    <row r="910" spans="1:14">
      <c r="A910" s="926" t="s">
        <v>810</v>
      </c>
      <c r="B910" s="3016">
        <f>'Part VII-Pro Forma'!B93</f>
        <v>1.1619564473087607</v>
      </c>
      <c r="C910" s="3016">
        <f>'Part VII-Pro Forma'!C93</f>
        <v>1.1570832743072128</v>
      </c>
      <c r="D910" s="3016">
        <f>'Part VII-Pro Forma'!D93</f>
        <v>1.1525212895519372</v>
      </c>
      <c r="E910" s="3016">
        <f>'Part VII-Pro Forma'!E93</f>
        <v>1.1485478879451887</v>
      </c>
      <c r="F910" s="3016">
        <f>'Part VII-Pro Forma'!F93</f>
        <v>1.144193439929001</v>
      </c>
      <c r="G910" s="3016">
        <f>'Part VII-Pro Forma'!G93</f>
        <v>1.1400643364034382</v>
      </c>
      <c r="H910" s="3016">
        <f>'Part VII-Pro Forma'!H93</f>
        <v>1.1358479324441833</v>
      </c>
      <c r="I910" s="3016">
        <f>'Part VII-Pro Forma'!I93</f>
        <v>1.1318169939836926</v>
      </c>
      <c r="J910" s="3016">
        <f>'Part VII-Pro Forma'!J93</f>
        <v>1.1279456559023453</v>
      </c>
      <c r="K910" s="3016">
        <f>'Part VII-Pro Forma'!K93</f>
        <v>1.1236823243928127</v>
      </c>
      <c r="M910" s="2944"/>
      <c r="N910" s="2944"/>
    </row>
    <row r="911" spans="1:14">
      <c r="A911" s="926" t="s">
        <v>2744</v>
      </c>
      <c r="B911" s="3014">
        <f>'Part VII-Pro Forma'!B94</f>
        <v>755752.95776606002</v>
      </c>
      <c r="C911" s="3014">
        <f>'Part VII-Pro Forma'!C94</f>
        <v>725316.2374817268</v>
      </c>
      <c r="D911" s="3014">
        <f>'Part VII-Pro Forma'!D94</f>
        <v>694573.75109588308</v>
      </c>
      <c r="E911" s="3014">
        <f>'Part VII-Pro Forma'!E94</f>
        <v>663522.42689423251</v>
      </c>
      <c r="F911" s="3014">
        <f>'Part VII-Pro Forma'!F94</f>
        <v>632159.16230415704</v>
      </c>
      <c r="G911" s="3014">
        <f>'Part VII-Pro Forma'!G94</f>
        <v>600480.82358471537</v>
      </c>
      <c r="H911" s="3014">
        <f>'Part VII-Pro Forma'!H94</f>
        <v>568484.2455135273</v>
      </c>
      <c r="I911" s="3014">
        <f>'Part VII-Pro Forma'!I94</f>
        <v>536166.23107051244</v>
      </c>
      <c r="J911" s="3014">
        <f>'Part VII-Pro Forma'!J94</f>
        <v>503523.55111845181</v>
      </c>
      <c r="K911" s="3014">
        <f>'Part VII-Pro Forma'!K94</f>
        <v>470552.94408033998</v>
      </c>
      <c r="M911" s="2944"/>
      <c r="N911" s="2944"/>
    </row>
    <row r="912" spans="1:14">
      <c r="A912" s="926" t="s">
        <v>2745</v>
      </c>
      <c r="B912" s="3014" t="str">
        <f>'Part VII-Pro Forma'!B95</f>
        <v/>
      </c>
      <c r="C912" s="3014" t="str">
        <f>'Part VII-Pro Forma'!C95</f>
        <v/>
      </c>
      <c r="D912" s="3014" t="str">
        <f>'Part VII-Pro Forma'!D95</f>
        <v/>
      </c>
      <c r="E912" s="3014" t="str">
        <f>'Part VII-Pro Forma'!E95</f>
        <v/>
      </c>
      <c r="F912" s="3014" t="str">
        <f>'Part VII-Pro Forma'!F95</f>
        <v/>
      </c>
      <c r="G912" s="3014" t="str">
        <f>'Part VII-Pro Forma'!G95</f>
        <v/>
      </c>
      <c r="H912" s="3014" t="str">
        <f>'Part VII-Pro Forma'!H95</f>
        <v/>
      </c>
      <c r="I912" s="3014" t="str">
        <f>'Part VII-Pro Forma'!I95</f>
        <v/>
      </c>
      <c r="J912" s="3014" t="str">
        <f>'Part VII-Pro Forma'!J95</f>
        <v/>
      </c>
      <c r="K912" s="3014" t="str">
        <f>'Part VII-Pro Forma'!K95</f>
        <v/>
      </c>
      <c r="M912" s="2944"/>
      <c r="N912" s="2944"/>
    </row>
    <row r="913" spans="1:14">
      <c r="A913" s="926" t="s">
        <v>2746</v>
      </c>
      <c r="B913" s="3014" t="str">
        <f>'Part VII-Pro Forma'!B96</f>
        <v/>
      </c>
      <c r="C913" s="3014" t="str">
        <f>'Part VII-Pro Forma'!C96</f>
        <v/>
      </c>
      <c r="D913" s="3014" t="str">
        <f>'Part VII-Pro Forma'!D96</f>
        <v/>
      </c>
      <c r="E913" s="3014" t="str">
        <f>'Part VII-Pro Forma'!E96</f>
        <v/>
      </c>
      <c r="F913" s="3014" t="str">
        <f>'Part VII-Pro Forma'!F96</f>
        <v/>
      </c>
      <c r="G913" s="3014" t="str">
        <f>'Part VII-Pro Forma'!G96</f>
        <v/>
      </c>
      <c r="H913" s="3014" t="str">
        <f>'Part VII-Pro Forma'!H96</f>
        <v/>
      </c>
      <c r="I913" s="3014" t="str">
        <f>'Part VII-Pro Forma'!I96</f>
        <v/>
      </c>
      <c r="J913" s="3014" t="str">
        <f>'Part VII-Pro Forma'!J96</f>
        <v/>
      </c>
      <c r="K913" s="3014" t="str">
        <f>'Part VII-Pro Forma'!K96</f>
        <v/>
      </c>
      <c r="M913" s="2944"/>
      <c r="N913" s="2944"/>
    </row>
    <row r="914" spans="1:14">
      <c r="A914" s="926" t="s">
        <v>825</v>
      </c>
      <c r="B914" s="3014" t="str">
        <f>'Part VII-Pro Forma'!B97</f>
        <v/>
      </c>
      <c r="C914" s="3014" t="str">
        <f>'Part VII-Pro Forma'!C97</f>
        <v/>
      </c>
      <c r="D914" s="3014" t="str">
        <f>'Part VII-Pro Forma'!D97</f>
        <v/>
      </c>
      <c r="E914" s="3014" t="str">
        <f>'Part VII-Pro Forma'!E97</f>
        <v/>
      </c>
      <c r="F914" s="3014" t="str">
        <f>'Part VII-Pro Forma'!F97</f>
        <v/>
      </c>
      <c r="G914" s="3014" t="str">
        <f>'Part VII-Pro Forma'!G97</f>
        <v/>
      </c>
      <c r="H914" s="3014" t="str">
        <f>'Part VII-Pro Forma'!H97</f>
        <v/>
      </c>
      <c r="I914" s="3014" t="str">
        <f>'Part VII-Pro Forma'!I97</f>
        <v/>
      </c>
      <c r="J914" s="3014" t="str">
        <f>'Part VII-Pro Forma'!J97</f>
        <v/>
      </c>
      <c r="K914" s="3014" t="str">
        <f>'Part VII-Pro Forma'!K97</f>
        <v/>
      </c>
      <c r="M914" s="2944"/>
      <c r="N914" s="2944"/>
    </row>
    <row r="915" spans="1:14">
      <c r="A915" s="926" t="s">
        <v>1296</v>
      </c>
      <c r="B915" s="3014" t="str">
        <f>'Part VII-Pro Forma'!B98</f>
        <v/>
      </c>
      <c r="C915" s="3014" t="str">
        <f>'Part VII-Pro Forma'!C98</f>
        <v/>
      </c>
      <c r="D915" s="3014" t="str">
        <f>'Part VII-Pro Forma'!D98</f>
        <v/>
      </c>
      <c r="E915" s="3014" t="str">
        <f>'Part VII-Pro Forma'!E98</f>
        <v/>
      </c>
      <c r="F915" s="3014" t="str">
        <f>'Part VII-Pro Forma'!F98</f>
        <v/>
      </c>
      <c r="G915" s="3014" t="str">
        <f>'Part VII-Pro Forma'!G98</f>
        <v/>
      </c>
      <c r="H915" s="3014" t="str">
        <f>'Part VII-Pro Forma'!H98</f>
        <v/>
      </c>
      <c r="I915" s="3014" t="str">
        <f>'Part VII-Pro Forma'!I98</f>
        <v/>
      </c>
      <c r="J915" s="3014" t="str">
        <f>'Part VII-Pro Forma'!J98</f>
        <v/>
      </c>
      <c r="K915" s="3014" t="str">
        <f>'Part VII-Pro Forma'!K98</f>
        <v/>
      </c>
      <c r="M915" s="2944"/>
      <c r="N915" s="2944"/>
    </row>
    <row r="916" spans="1:14">
      <c r="B916" s="3014"/>
      <c r="C916" s="3014"/>
      <c r="D916" s="3014"/>
      <c r="E916" s="3014"/>
      <c r="F916" s="3014"/>
      <c r="G916" s="3014"/>
      <c r="H916" s="3014"/>
      <c r="I916" s="3014"/>
      <c r="J916" s="3014"/>
      <c r="K916" s="3014"/>
    </row>
    <row r="917" spans="1:14">
      <c r="A917" s="2907" t="s">
        <v>2602</v>
      </c>
      <c r="B917" s="3017">
        <f>K888+1</f>
        <v>31</v>
      </c>
      <c r="C917" s="3017">
        <f>B917+1</f>
        <v>32</v>
      </c>
      <c r="D917" s="3017">
        <f>C917+1</f>
        <v>33</v>
      </c>
      <c r="E917" s="3017">
        <f>D917+1</f>
        <v>34</v>
      </c>
      <c r="F917" s="3017">
        <f>E917+1</f>
        <v>35</v>
      </c>
      <c r="G917" s="3014"/>
      <c r="H917" s="3014"/>
      <c r="I917" s="3014"/>
      <c r="J917" s="3014"/>
      <c r="K917" s="3014"/>
      <c r="M917" s="3004" t="s">
        <v>2750</v>
      </c>
      <c r="N917" s="3004"/>
    </row>
    <row r="918" spans="1:14">
      <c r="A918" s="926" t="s">
        <v>2521</v>
      </c>
      <c r="B918" s="3014">
        <f>'Part VII-Pro Forma'!B101</f>
        <v>367344.12925616006</v>
      </c>
      <c r="C918" s="3014">
        <f>'Part VII-Pro Forma'!C101</f>
        <v>374691.01184128318</v>
      </c>
      <c r="D918" s="3014">
        <f>'Part VII-Pro Forma'!D101</f>
        <v>382184.83207810891</v>
      </c>
      <c r="E918" s="3014">
        <f>'Part VII-Pro Forma'!E101</f>
        <v>389828.52871967113</v>
      </c>
      <c r="F918" s="3014">
        <f>'Part VII-Pro Forma'!F101</f>
        <v>397625.09929406451</v>
      </c>
      <c r="G918" s="3014"/>
      <c r="H918" s="3014"/>
      <c r="I918" s="3014"/>
      <c r="J918" s="3014"/>
      <c r="K918" s="3014"/>
      <c r="M918" s="2869">
        <f>'Part VII-Pro Forma'!M101</f>
        <v>0</v>
      </c>
      <c r="N918" s="2944"/>
    </row>
    <row r="919" spans="1:14">
      <c r="A919" s="926" t="s">
        <v>1065</v>
      </c>
      <c r="B919" s="3014">
        <f>'Part VII-Pro Forma'!B102</f>
        <v>7346.8825851232014</v>
      </c>
      <c r="C919" s="3014">
        <f>'Part VII-Pro Forma'!C102</f>
        <v>7493.8202368256643</v>
      </c>
      <c r="D919" s="3014">
        <f>'Part VII-Pro Forma'!D102</f>
        <v>7643.6966415621791</v>
      </c>
      <c r="E919" s="3014">
        <f>'Part VII-Pro Forma'!E102</f>
        <v>7796.5705743934232</v>
      </c>
      <c r="F919" s="3014">
        <f>'Part VII-Pro Forma'!F102</f>
        <v>7952.5019858812902</v>
      </c>
      <c r="G919" s="3014"/>
      <c r="H919" s="3014"/>
      <c r="I919" s="3014"/>
      <c r="J919" s="3014"/>
      <c r="K919" s="3014"/>
      <c r="M919" s="2944"/>
      <c r="N919" s="2944"/>
    </row>
    <row r="920" spans="1:14">
      <c r="A920" s="926" t="s">
        <v>2522</v>
      </c>
      <c r="B920" s="3014">
        <f>'Part VII-Pro Forma'!B103</f>
        <v>-26228.370828889831</v>
      </c>
      <c r="C920" s="3014">
        <f>'Part VII-Pro Forma'!C103</f>
        <v>-26752.938245467623</v>
      </c>
      <c r="D920" s="3014">
        <f>'Part VII-Pro Forma'!D103</f>
        <v>-27287.997010376977</v>
      </c>
      <c r="E920" s="3014">
        <f>'Part VII-Pro Forma'!E103</f>
        <v>-27833.756950584524</v>
      </c>
      <c r="F920" s="3014">
        <f>'Part VII-Pro Forma'!F103</f>
        <v>-28390.432089596208</v>
      </c>
      <c r="G920" s="3014"/>
      <c r="H920" s="3014"/>
      <c r="I920" s="3014"/>
      <c r="J920" s="3014"/>
      <c r="K920" s="3014"/>
      <c r="M920" s="2944"/>
      <c r="N920" s="2944"/>
    </row>
    <row r="921" spans="1:14">
      <c r="A921" s="926" t="s">
        <v>54</v>
      </c>
      <c r="B921" s="3014">
        <f>'Part VII-Pro Forma'!B104</f>
        <v>0</v>
      </c>
      <c r="C921" s="3014">
        <f>'Part VII-Pro Forma'!C104</f>
        <v>0</v>
      </c>
      <c r="D921" s="3014">
        <f>'Part VII-Pro Forma'!D104</f>
        <v>0</v>
      </c>
      <c r="E921" s="3014">
        <f>'Part VII-Pro Forma'!E104</f>
        <v>0</v>
      </c>
      <c r="F921" s="3014">
        <f>'Part VII-Pro Forma'!F104</f>
        <v>0</v>
      </c>
      <c r="G921" s="3014"/>
      <c r="H921" s="3014"/>
      <c r="I921" s="3014"/>
      <c r="J921" s="3014"/>
      <c r="K921" s="3014"/>
      <c r="M921" s="2944"/>
      <c r="N921" s="2944"/>
    </row>
    <row r="922" spans="1:14">
      <c r="A922" s="926" t="s">
        <v>55</v>
      </c>
      <c r="B922" s="3014">
        <f>'Part VII-Pro Forma'!B105</f>
        <v>91300</v>
      </c>
      <c r="C922" s="3014">
        <f>'Part VII-Pro Forma'!C105</f>
        <v>96200</v>
      </c>
      <c r="D922" s="3014">
        <f>'Part VII-Pro Forma'!D105</f>
        <v>101200</v>
      </c>
      <c r="E922" s="3014">
        <f>'Part VII-Pro Forma'!E105</f>
        <v>106500</v>
      </c>
      <c r="F922" s="3014">
        <f>'Part VII-Pro Forma'!F105</f>
        <v>112000</v>
      </c>
      <c r="G922" s="3014"/>
      <c r="H922" s="3014"/>
      <c r="I922" s="3014"/>
      <c r="J922" s="3014"/>
      <c r="K922" s="3014"/>
      <c r="M922" s="2944"/>
      <c r="N922" s="2944"/>
    </row>
    <row r="923" spans="1:14">
      <c r="A923" s="926" t="s">
        <v>644</v>
      </c>
      <c r="B923" s="3014">
        <f>'Part VII-Pro Forma'!B106</f>
        <v>-300665.00230626308</v>
      </c>
      <c r="C923" s="3014">
        <f>'Part VII-Pro Forma'!C106</f>
        <v>-309684.95237545104</v>
      </c>
      <c r="D923" s="3014">
        <f>'Part VII-Pro Forma'!D106</f>
        <v>-318975.50094671448</v>
      </c>
      <c r="E923" s="3014">
        <f>'Part VII-Pro Forma'!E106</f>
        <v>-328544.76597511594</v>
      </c>
      <c r="F923" s="3014">
        <f>'Part VII-Pro Forma'!F106</f>
        <v>-338401.10895436938</v>
      </c>
      <c r="G923" s="3014"/>
      <c r="H923" s="3014"/>
      <c r="I923" s="3014"/>
      <c r="J923" s="3014"/>
      <c r="K923" s="3014"/>
      <c r="M923" s="2944"/>
      <c r="N923" s="2944"/>
    </row>
    <row r="924" spans="1:14">
      <c r="A924" s="926" t="s">
        <v>1165</v>
      </c>
      <c r="B924" s="3014">
        <f>'Part VII-Pro Forma'!B107</f>
        <v>-56274</v>
      </c>
      <c r="C924" s="3014">
        <f>'Part VII-Pro Forma'!C107</f>
        <v>-57962</v>
      </c>
      <c r="D924" s="3014">
        <f>'Part VII-Pro Forma'!D107</f>
        <v>-59701</v>
      </c>
      <c r="E924" s="3014">
        <f>'Part VII-Pro Forma'!E107</f>
        <v>-61492</v>
      </c>
      <c r="F924" s="3014">
        <f>'Part VII-Pro Forma'!F107</f>
        <v>-63336</v>
      </c>
      <c r="G924" s="3014"/>
      <c r="H924" s="3014"/>
      <c r="I924" s="3014"/>
      <c r="J924" s="3014"/>
      <c r="K924" s="3014"/>
      <c r="M924" s="2944"/>
      <c r="N924" s="2944"/>
    </row>
    <row r="925" spans="1:14">
      <c r="A925" s="926" t="s">
        <v>1259</v>
      </c>
      <c r="B925" s="3014">
        <f>'Part VII-Pro Forma'!B108</f>
        <v>-35680.758326487987</v>
      </c>
      <c r="C925" s="3014">
        <f>'Part VII-Pro Forma'!C108</f>
        <v>-36751.181076282635</v>
      </c>
      <c r="D925" s="3014">
        <f>'Part VII-Pro Forma'!D108</f>
        <v>-37853.716508571109</v>
      </c>
      <c r="E925" s="3014">
        <f>'Part VII-Pro Forma'!E108</f>
        <v>-38989.328003828239</v>
      </c>
      <c r="F925" s="3014">
        <f>'Part VII-Pro Forma'!F108</f>
        <v>-40159.00784394308</v>
      </c>
      <c r="G925" s="3014"/>
      <c r="H925" s="3014"/>
      <c r="I925" s="3014"/>
      <c r="J925" s="3014"/>
      <c r="K925" s="3014"/>
      <c r="M925" s="2944"/>
      <c r="N925" s="2944"/>
    </row>
    <row r="926" spans="1:14">
      <c r="A926" s="926" t="s">
        <v>1260</v>
      </c>
      <c r="B926" s="3014">
        <f>'Part VII-Pro Forma'!B109</f>
        <v>47142.880379642338</v>
      </c>
      <c r="C926" s="3014">
        <f>'Part VII-Pro Forma'!C109</f>
        <v>47233.760380907566</v>
      </c>
      <c r="D926" s="3014">
        <f>'Part VII-Pro Forma'!D109</f>
        <v>47210.314254008474</v>
      </c>
      <c r="E926" s="3014">
        <f>'Part VII-Pro Forma'!E109</f>
        <v>47265.248364535859</v>
      </c>
      <c r="F926" s="3014">
        <f>'Part VII-Pro Forma'!F109</f>
        <v>47291.05239203712</v>
      </c>
      <c r="G926" s="3014"/>
      <c r="H926" s="3014"/>
      <c r="I926" s="3014"/>
      <c r="J926" s="3014"/>
      <c r="K926" s="3014"/>
      <c r="M926" s="2944"/>
      <c r="N926" s="2944"/>
    </row>
    <row r="927" spans="1:14">
      <c r="A927" s="926" t="str">
        <f>$A898</f>
        <v>Mortgage A</v>
      </c>
      <c r="B927" s="3014">
        <f>'Part VII-Pro Forma'!B110</f>
        <v>-37855</v>
      </c>
      <c r="C927" s="3014">
        <f>'Part VII-Pro Forma'!C110</f>
        <v>-37855</v>
      </c>
      <c r="D927" s="3014">
        <f>'Part VII-Pro Forma'!D110</f>
        <v>-37855</v>
      </c>
      <c r="E927" s="3014">
        <f>'Part VII-Pro Forma'!E110</f>
        <v>-37855</v>
      </c>
      <c r="F927" s="3014">
        <f>'Part VII-Pro Forma'!F110</f>
        <v>-37855</v>
      </c>
      <c r="G927" s="3014"/>
      <c r="H927" s="3014"/>
      <c r="I927" s="3014"/>
      <c r="J927" s="3014"/>
      <c r="K927" s="3014"/>
      <c r="M927" s="2944"/>
      <c r="N927" s="2944"/>
    </row>
    <row r="928" spans="1:14">
      <c r="A928" s="926" t="str">
        <f>$A899</f>
        <v>Mortgage B</v>
      </c>
      <c r="B928" s="3014">
        <f>'Part VII-Pro Forma'!B111</f>
        <v>0</v>
      </c>
      <c r="C928" s="3014">
        <f>'Part VII-Pro Forma'!C111</f>
        <v>0</v>
      </c>
      <c r="D928" s="3014">
        <f>'Part VII-Pro Forma'!D111</f>
        <v>0</v>
      </c>
      <c r="E928" s="3014">
        <f>'Part VII-Pro Forma'!E111</f>
        <v>0</v>
      </c>
      <c r="F928" s="3014">
        <f>'Part VII-Pro Forma'!F111</f>
        <v>0</v>
      </c>
      <c r="G928" s="3014"/>
      <c r="H928" s="3014"/>
      <c r="I928" s="3014"/>
      <c r="J928" s="3014"/>
      <c r="K928" s="3014"/>
      <c r="M928" s="2944"/>
      <c r="N928" s="2944"/>
    </row>
    <row r="929" spans="1:14">
      <c r="A929" s="926" t="str">
        <f>$A900</f>
        <v>Mortgage C</v>
      </c>
      <c r="B929" s="3014">
        <f>'Part VII-Pro Forma'!B112</f>
        <v>0</v>
      </c>
      <c r="C929" s="3014">
        <f>'Part VII-Pro Forma'!C112</f>
        <v>0</v>
      </c>
      <c r="D929" s="3014">
        <f>'Part VII-Pro Forma'!D112</f>
        <v>0</v>
      </c>
      <c r="E929" s="3014">
        <f>'Part VII-Pro Forma'!E112</f>
        <v>0</v>
      </c>
      <c r="F929" s="3014">
        <f>'Part VII-Pro Forma'!F112</f>
        <v>0</v>
      </c>
      <c r="G929" s="3014"/>
      <c r="H929" s="3014"/>
      <c r="I929" s="3014"/>
      <c r="J929" s="3014"/>
      <c r="K929" s="3014"/>
      <c r="M929" s="2944"/>
      <c r="N929" s="2944"/>
    </row>
    <row r="930" spans="1:14">
      <c r="A930" s="926" t="str">
        <f>$A901</f>
        <v>D/S Other Source</v>
      </c>
      <c r="B930" s="3014">
        <f>'Part VII-Pro Forma'!B113</f>
        <v>0</v>
      </c>
      <c r="C930" s="3014">
        <f>'Part VII-Pro Forma'!C113</f>
        <v>0</v>
      </c>
      <c r="D930" s="3014">
        <f>'Part VII-Pro Forma'!D113</f>
        <v>0</v>
      </c>
      <c r="E930" s="3014">
        <f>'Part VII-Pro Forma'!E113</f>
        <v>0</v>
      </c>
      <c r="F930" s="3014">
        <f>'Part VII-Pro Forma'!F113</f>
        <v>0</v>
      </c>
      <c r="G930" s="3014"/>
      <c r="H930" s="3014"/>
      <c r="I930" s="3014"/>
      <c r="J930" s="3014"/>
      <c r="K930" s="3014"/>
      <c r="M930" s="2944"/>
      <c r="N930" s="2944"/>
    </row>
    <row r="931" spans="1:14">
      <c r="A931" s="926" t="s">
        <v>803</v>
      </c>
      <c r="B931" s="3014">
        <f>'Part VII-Pro Forma'!B114</f>
        <v>0</v>
      </c>
      <c r="C931" s="3014">
        <f>'Part VII-Pro Forma'!C114</f>
        <v>0</v>
      </c>
      <c r="D931" s="3014">
        <f>'Part VII-Pro Forma'!D114</f>
        <v>0</v>
      </c>
      <c r="E931" s="3014">
        <f>'Part VII-Pro Forma'!E114</f>
        <v>0</v>
      </c>
      <c r="F931" s="3014">
        <f>'Part VII-Pro Forma'!F114</f>
        <v>0</v>
      </c>
      <c r="G931" s="3014"/>
      <c r="H931" s="3014"/>
      <c r="I931" s="3014"/>
      <c r="J931" s="3014"/>
      <c r="K931" s="3014"/>
      <c r="M931" s="2944"/>
      <c r="N931" s="2944"/>
    </row>
    <row r="932" spans="1:14">
      <c r="A932" s="926" t="s">
        <v>1218</v>
      </c>
      <c r="B932" s="3014">
        <f>'Part VII-Pro Forma'!B115</f>
        <v>0</v>
      </c>
      <c r="C932" s="3014">
        <f>'Part VII-Pro Forma'!C115</f>
        <v>0</v>
      </c>
      <c r="D932" s="3014">
        <f>'Part VII-Pro Forma'!D115</f>
        <v>0</v>
      </c>
      <c r="E932" s="3014">
        <f>'Part VII-Pro Forma'!E115</f>
        <v>0</v>
      </c>
      <c r="F932" s="3014">
        <f>'Part VII-Pro Forma'!F115</f>
        <v>0</v>
      </c>
      <c r="G932" s="3014"/>
      <c r="H932" s="3014"/>
      <c r="I932" s="3014"/>
      <c r="J932" s="3014"/>
      <c r="K932" s="3014"/>
      <c r="M932" s="2944"/>
      <c r="N932" s="2944"/>
    </row>
    <row r="933" spans="1:14">
      <c r="A933" s="926" t="s">
        <v>1261</v>
      </c>
      <c r="B933" s="3014">
        <f>'Part VII-Pro Forma'!B116</f>
        <v>0</v>
      </c>
      <c r="C933" s="3014">
        <f>'Part VII-Pro Forma'!C116</f>
        <v>0</v>
      </c>
      <c r="D933" s="3014">
        <f>'Part VII-Pro Forma'!D116</f>
        <v>0</v>
      </c>
      <c r="E933" s="3014">
        <f>'Part VII-Pro Forma'!E116</f>
        <v>0</v>
      </c>
      <c r="F933" s="3014">
        <f>'Part VII-Pro Forma'!F116</f>
        <v>0</v>
      </c>
      <c r="G933" s="3014"/>
      <c r="H933" s="3014"/>
      <c r="I933" s="3014"/>
      <c r="J933" s="3014"/>
      <c r="K933" s="3014"/>
      <c r="M933" s="2944"/>
      <c r="N933" s="2944"/>
    </row>
    <row r="934" spans="1:14">
      <c r="A934" s="926" t="s">
        <v>1219</v>
      </c>
      <c r="B934" s="3014">
        <f>'Part VII-Pro Forma'!B117</f>
        <v>9287.8803796423381</v>
      </c>
      <c r="C934" s="3014">
        <f>'Part VII-Pro Forma'!C117</f>
        <v>9378.7603809075663</v>
      </c>
      <c r="D934" s="3014">
        <f>'Part VII-Pro Forma'!D117</f>
        <v>9355.3142540084737</v>
      </c>
      <c r="E934" s="3014">
        <f>'Part VII-Pro Forma'!E117</f>
        <v>9410.2483645358589</v>
      </c>
      <c r="F934" s="3014">
        <f>'Part VII-Pro Forma'!F117</f>
        <v>9436.0523920371197</v>
      </c>
      <c r="G934" s="3014"/>
      <c r="H934" s="3014"/>
      <c r="I934" s="3014"/>
      <c r="J934" s="3014"/>
      <c r="K934" s="3014"/>
      <c r="M934" s="2944"/>
      <c r="N934" s="2944"/>
    </row>
    <row r="935" spans="1:14">
      <c r="A935" s="926" t="str">
        <f>$A906</f>
        <v>DCR Mortgage A</v>
      </c>
      <c r="B935" s="3015">
        <f>'Part VII-Pro Forma'!B118</f>
        <v>1.2453541244126889</v>
      </c>
      <c r="C935" s="3015">
        <f>'Part VII-Pro Forma'!C118</f>
        <v>1.2477548641106213</v>
      </c>
      <c r="D935" s="3015">
        <f>'Part VII-Pro Forma'!D118</f>
        <v>1.2471354973981899</v>
      </c>
      <c r="E935" s="3015">
        <f>'Part VII-Pro Forma'!E118</f>
        <v>1.2485866692520369</v>
      </c>
      <c r="F935" s="3015">
        <f>'Part VII-Pro Forma'!F118</f>
        <v>1.2492683236570366</v>
      </c>
      <c r="G935" s="3014"/>
      <c r="H935" s="3014"/>
      <c r="I935" s="3014"/>
      <c r="J935" s="3014"/>
      <c r="K935" s="3014"/>
      <c r="M935" s="2944"/>
      <c r="N935" s="2944"/>
    </row>
    <row r="936" spans="1:14">
      <c r="A936" s="926" t="str">
        <f>$A907</f>
        <v>DCR Mortgage B</v>
      </c>
      <c r="B936" s="3015" t="str">
        <f>'Part VII-Pro Forma'!B119</f>
        <v/>
      </c>
      <c r="C936" s="3015" t="str">
        <f>'Part VII-Pro Forma'!C119</f>
        <v/>
      </c>
      <c r="D936" s="3015" t="str">
        <f>'Part VII-Pro Forma'!D119</f>
        <v/>
      </c>
      <c r="E936" s="3015" t="str">
        <f>'Part VII-Pro Forma'!E119</f>
        <v/>
      </c>
      <c r="F936" s="3015" t="str">
        <f>'Part VII-Pro Forma'!F119</f>
        <v/>
      </c>
      <c r="G936" s="3014"/>
      <c r="H936" s="3014"/>
      <c r="I936" s="3014"/>
      <c r="J936" s="3014"/>
      <c r="K936" s="3014"/>
      <c r="M936" s="2944"/>
      <c r="N936" s="2944"/>
    </row>
    <row r="937" spans="1:14">
      <c r="A937" s="926" t="str">
        <f>$A908</f>
        <v>DCR Mortgage C</v>
      </c>
      <c r="B937" s="3015" t="str">
        <f>'Part VII-Pro Forma'!B120</f>
        <v/>
      </c>
      <c r="C937" s="3015" t="str">
        <f>'Part VII-Pro Forma'!C120</f>
        <v/>
      </c>
      <c r="D937" s="3015" t="str">
        <f>'Part VII-Pro Forma'!D120</f>
        <v/>
      </c>
      <c r="E937" s="3015" t="str">
        <f>'Part VII-Pro Forma'!E120</f>
        <v/>
      </c>
      <c r="F937" s="3015" t="str">
        <f>'Part VII-Pro Forma'!F120</f>
        <v/>
      </c>
      <c r="G937" s="3014"/>
      <c r="H937" s="3014"/>
      <c r="I937" s="3014"/>
      <c r="J937" s="3014"/>
      <c r="K937" s="3014"/>
      <c r="M937" s="2944"/>
      <c r="N937" s="2944"/>
    </row>
    <row r="938" spans="1:14">
      <c r="A938" s="926" t="str">
        <f>$A909</f>
        <v>DCR Other Source</v>
      </c>
      <c r="B938" s="3015" t="str">
        <f>'Part VII-Pro Forma'!B121</f>
        <v/>
      </c>
      <c r="C938" s="3015" t="str">
        <f>'Part VII-Pro Forma'!C121</f>
        <v/>
      </c>
      <c r="D938" s="3015" t="str">
        <f>'Part VII-Pro Forma'!D121</f>
        <v/>
      </c>
      <c r="E938" s="3015" t="str">
        <f>'Part VII-Pro Forma'!E121</f>
        <v/>
      </c>
      <c r="F938" s="3015" t="str">
        <f>'Part VII-Pro Forma'!F121</f>
        <v/>
      </c>
      <c r="G938" s="3014"/>
      <c r="H938" s="3014"/>
      <c r="I938" s="3014"/>
      <c r="J938" s="3014"/>
      <c r="K938" s="3014"/>
      <c r="M938" s="2944"/>
      <c r="N938" s="2944"/>
    </row>
    <row r="939" spans="1:14">
      <c r="A939" s="926" t="s">
        <v>810</v>
      </c>
      <c r="B939" s="3016">
        <f>'Part VII-Pro Forma'!B122</f>
        <v>1.1200726125034213</v>
      </c>
      <c r="C939" s="3016">
        <f>'Part VII-Pro Forma'!C122</f>
        <v>1.1168001443966731</v>
      </c>
      <c r="D939" s="3016">
        <f>'Part VII-Pro Forma'!D122</f>
        <v>1.1133418711910774</v>
      </c>
      <c r="E939" s="3016">
        <f>'Part VII-Pro Forma'!E122</f>
        <v>1.1101687030879188</v>
      </c>
      <c r="F939" s="3016">
        <f>'Part VII-Pro Forma'!F122</f>
        <v>1.1070184837438195</v>
      </c>
      <c r="G939" s="3014"/>
      <c r="H939" s="3014"/>
      <c r="I939" s="3014"/>
      <c r="J939" s="3014"/>
      <c r="K939" s="3014"/>
      <c r="M939" s="2944"/>
      <c r="N939" s="2944"/>
    </row>
    <row r="940" spans="1:14">
      <c r="A940" s="926" t="s">
        <v>2744</v>
      </c>
      <c r="B940" s="3014">
        <f>'Part VII-Pro Forma'!B123</f>
        <v>437251.11561349669</v>
      </c>
      <c r="C940" s="3014">
        <f>'Part VII-Pro Forma'!C123</f>
        <v>403614.73828040389</v>
      </c>
      <c r="D940" s="3014">
        <f>'Part VII-Pro Forma'!D123</f>
        <v>369640.4512162364</v>
      </c>
      <c r="E940" s="3014">
        <f>'Part VII-Pro Forma'!E123</f>
        <v>335324.85979305243</v>
      </c>
      <c r="F940" s="3014">
        <f>'Part VII-Pro Forma'!F123</f>
        <v>300664.53528061073</v>
      </c>
      <c r="G940" s="3014"/>
      <c r="H940" s="3014"/>
      <c r="I940" s="3014"/>
      <c r="J940" s="3014"/>
      <c r="K940" s="3014"/>
      <c r="M940" s="2944"/>
      <c r="N940" s="2944"/>
    </row>
    <row r="941" spans="1:14">
      <c r="A941" s="926" t="s">
        <v>2745</v>
      </c>
      <c r="B941" s="3014" t="str">
        <f>'Part VII-Pro Forma'!B124</f>
        <v/>
      </c>
      <c r="C941" s="3014" t="str">
        <f>'Part VII-Pro Forma'!C124</f>
        <v/>
      </c>
      <c r="D941" s="3014" t="str">
        <f>'Part VII-Pro Forma'!D124</f>
        <v/>
      </c>
      <c r="E941" s="3014" t="str">
        <f>'Part VII-Pro Forma'!E124</f>
        <v/>
      </c>
      <c r="F941" s="3014" t="str">
        <f>'Part VII-Pro Forma'!F124</f>
        <v/>
      </c>
      <c r="G941" s="3014"/>
      <c r="H941" s="3014"/>
      <c r="I941" s="3014"/>
      <c r="J941" s="3014"/>
      <c r="K941" s="3014"/>
      <c r="M941" s="2944"/>
      <c r="N941" s="2944"/>
    </row>
    <row r="942" spans="1:14">
      <c r="A942" s="926" t="s">
        <v>2746</v>
      </c>
      <c r="B942" s="3014" t="str">
        <f>'Part VII-Pro Forma'!B125</f>
        <v/>
      </c>
      <c r="C942" s="3014" t="str">
        <f>'Part VII-Pro Forma'!C125</f>
        <v/>
      </c>
      <c r="D942" s="3014" t="str">
        <f>'Part VII-Pro Forma'!D125</f>
        <v/>
      </c>
      <c r="E942" s="3014" t="str">
        <f>'Part VII-Pro Forma'!E125</f>
        <v/>
      </c>
      <c r="F942" s="3014" t="str">
        <f>'Part VII-Pro Forma'!F125</f>
        <v/>
      </c>
      <c r="G942" s="3014"/>
      <c r="H942" s="3014"/>
      <c r="I942" s="3014"/>
      <c r="J942" s="3014"/>
      <c r="K942" s="3014"/>
      <c r="M942" s="2944"/>
      <c r="N942" s="2944"/>
    </row>
    <row r="943" spans="1:14">
      <c r="A943" s="926" t="s">
        <v>825</v>
      </c>
      <c r="B943" s="3014" t="str">
        <f>'Part VII-Pro Forma'!B126</f>
        <v/>
      </c>
      <c r="C943" s="3014" t="str">
        <f>'Part VII-Pro Forma'!C126</f>
        <v/>
      </c>
      <c r="D943" s="3014" t="str">
        <f>'Part VII-Pro Forma'!D126</f>
        <v/>
      </c>
      <c r="E943" s="3014" t="str">
        <f>'Part VII-Pro Forma'!E126</f>
        <v/>
      </c>
      <c r="F943" s="3014" t="str">
        <f>'Part VII-Pro Forma'!F126</f>
        <v/>
      </c>
      <c r="G943" s="3014"/>
      <c r="H943" s="3014"/>
      <c r="I943" s="3014"/>
      <c r="J943" s="3014"/>
      <c r="K943" s="3014"/>
      <c r="M943" s="2944"/>
      <c r="N943" s="2944"/>
    </row>
    <row r="944" spans="1:14">
      <c r="A944" s="926" t="s">
        <v>1296</v>
      </c>
      <c r="B944" s="3014" t="str">
        <f>'Part VII-Pro Forma'!B127</f>
        <v/>
      </c>
      <c r="C944" s="3014" t="str">
        <f>'Part VII-Pro Forma'!C127</f>
        <v/>
      </c>
      <c r="D944" s="3014" t="str">
        <f>'Part VII-Pro Forma'!D127</f>
        <v/>
      </c>
      <c r="E944" s="3014" t="str">
        <f>'Part VII-Pro Forma'!E127</f>
        <v/>
      </c>
      <c r="F944" s="3014" t="str">
        <f>'Part VII-Pro Forma'!F127</f>
        <v/>
      </c>
      <c r="G944" s="3014"/>
      <c r="H944" s="3014"/>
      <c r="I944" s="3014"/>
      <c r="J944" s="3014"/>
      <c r="K944" s="3014"/>
      <c r="M944" s="2944"/>
      <c r="N944" s="2944"/>
    </row>
    <row r="946" spans="1:17">
      <c r="A946" s="2907" t="s">
        <v>597</v>
      </c>
      <c r="B946" s="2907"/>
      <c r="G946" s="2907" t="s">
        <v>1080</v>
      </c>
    </row>
    <row r="947" spans="1:17">
      <c r="B947" s="3004"/>
    </row>
    <row r="948" spans="1:17" ht="15.75">
      <c r="A948" s="2786" t="str">
        <f>'Part VII-Pro Forma'!A131</f>
        <v>USDA interest credit agreement showing debt service amount as $3,154.59 monthly which equals $37,855 yearly is included in TAB 43.
The asset Management Fee is prepaid in development cost  because USDA 515 proejcts are limited on the cash flow due to their regulations.</v>
      </c>
      <c r="B948" s="2786"/>
      <c r="C948" s="2786"/>
      <c r="D948" s="2786"/>
      <c r="E948" s="2786"/>
      <c r="F948" s="2786"/>
      <c r="G948" s="2786">
        <f>'Part VII-Pro Forma'!G131</f>
        <v>0</v>
      </c>
      <c r="H948" s="2786"/>
      <c r="I948" s="2786"/>
      <c r="J948" s="2786"/>
      <c r="K948" s="2786"/>
      <c r="M948" s="2904" t="s">
        <v>2853</v>
      </c>
      <c r="N948" s="2904"/>
    </row>
    <row r="951" spans="1:17">
      <c r="A951" s="2905" t="str">
        <f>CONCATENATE("PART EIGHT - THRESHOLD CRITERIA","  -  ",'Part I-Project Information'!$O$4," ",'Part I-Project Information'!$F$24,", ",'Part I-Project Information'!F978,", ",'Part I-Project Information'!J979," County")</f>
        <v>PART EIGHT - THRESHOLD CRITERIA  -  2015-026 Arbor Trace Apartments Phase II, ,  County</v>
      </c>
      <c r="B951" s="2905"/>
      <c r="C951" s="2905"/>
      <c r="D951" s="2905"/>
      <c r="E951" s="2905"/>
      <c r="F951" s="2905"/>
      <c r="G951" s="2905"/>
      <c r="H951" s="2905"/>
      <c r="I951" s="2905"/>
      <c r="J951" s="2905"/>
      <c r="K951" s="2905"/>
      <c r="L951" s="2905"/>
      <c r="M951" s="2905"/>
      <c r="N951" s="2905"/>
      <c r="O951" s="2905"/>
      <c r="P951" s="2905"/>
      <c r="Q951" s="2905"/>
    </row>
    <row r="953" spans="1:17" ht="30" customHeight="1">
      <c r="A953" s="3018"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3018"/>
      <c r="C953" s="3018"/>
      <c r="D953" s="3018"/>
      <c r="E953" s="3018"/>
      <c r="F953" s="3018"/>
      <c r="G953" s="3018"/>
      <c r="H953" s="3018"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3018"/>
      <c r="J953" s="3018"/>
      <c r="K953" s="3018"/>
      <c r="L953" s="3018"/>
      <c r="M953" s="3018"/>
      <c r="N953" s="3018"/>
      <c r="O953" s="3019" t="s">
        <v>978</v>
      </c>
      <c r="P953" s="3019"/>
      <c r="Q953" s="2931" t="s">
        <v>1934</v>
      </c>
    </row>
    <row r="954" spans="1:17">
      <c r="A954" s="2927"/>
      <c r="B954" s="3020"/>
      <c r="C954" s="3020"/>
      <c r="D954" s="3020"/>
      <c r="E954" s="2927"/>
      <c r="F954" s="2927"/>
      <c r="G954" s="2927"/>
      <c r="H954" s="2927"/>
      <c r="I954" s="2927"/>
      <c r="J954" s="2927"/>
      <c r="K954" s="2927"/>
      <c r="L954" s="2927"/>
      <c r="M954" s="2927"/>
      <c r="N954" s="2927"/>
      <c r="P954" s="2927"/>
      <c r="Q954" s="2927"/>
    </row>
    <row r="955" spans="1:17">
      <c r="A955" s="2927"/>
      <c r="B955" s="2927"/>
      <c r="C955" s="2927"/>
      <c r="D955" s="2927"/>
      <c r="E955" s="2927"/>
      <c r="F955" s="2927"/>
      <c r="G955" s="2927"/>
      <c r="H955" s="2927"/>
      <c r="I955" s="2927"/>
      <c r="J955" s="2927"/>
      <c r="K955" s="2927"/>
      <c r="L955" s="2927"/>
      <c r="M955" s="2927"/>
      <c r="N955" s="2927"/>
      <c r="P955" s="2927"/>
      <c r="Q955" s="2927"/>
    </row>
    <row r="956" spans="1:17" ht="18">
      <c r="A956" s="3021" t="s">
        <v>590</v>
      </c>
      <c r="J956" s="2927"/>
      <c r="K956" s="2927"/>
      <c r="L956" s="2927"/>
      <c r="M956" s="2927"/>
      <c r="N956" s="2927"/>
      <c r="P956" s="3022">
        <f>'Part VIII-Threshold Criteria'!P6</f>
        <v>0</v>
      </c>
      <c r="Q956" s="3022"/>
    </row>
    <row r="957" spans="1:17">
      <c r="A957" s="3023" t="s">
        <v>4033</v>
      </c>
      <c r="J957" s="2927"/>
      <c r="K957" s="2927"/>
      <c r="L957" s="2927"/>
      <c r="M957" s="2927"/>
      <c r="N957" s="2927"/>
    </row>
    <row r="958" spans="1:17">
      <c r="A958" s="2893" t="str">
        <f>'Part VIII-Threshold Criteria'!A8</f>
        <v xml:space="preserve">1.) </v>
      </c>
      <c r="B958" s="2893"/>
      <c r="C958" s="2893"/>
      <c r="D958" s="2893"/>
      <c r="E958" s="2893"/>
      <c r="F958" s="2893"/>
      <c r="G958" s="2893"/>
      <c r="H958" s="2893"/>
      <c r="I958" s="2893"/>
      <c r="J958" s="2893"/>
      <c r="K958" s="2893"/>
      <c r="L958" s="2893"/>
      <c r="M958" s="2893"/>
      <c r="N958" s="2893"/>
      <c r="O958" s="2893"/>
      <c r="P958" s="2893"/>
      <c r="Q958" s="2893"/>
    </row>
    <row r="959" spans="1:17">
      <c r="A959" s="2893" t="str">
        <f>'Part VIII-Threshold Criteria'!A9</f>
        <v>2.)</v>
      </c>
      <c r="B959" s="2893"/>
      <c r="C959" s="2893"/>
      <c r="D959" s="2893"/>
      <c r="E959" s="2893"/>
      <c r="F959" s="2893"/>
      <c r="G959" s="2893"/>
      <c r="H959" s="2893"/>
      <c r="I959" s="2893"/>
      <c r="J959" s="2893"/>
      <c r="K959" s="2893"/>
      <c r="L959" s="2893"/>
      <c r="M959" s="2893"/>
      <c r="N959" s="2893"/>
      <c r="O959" s="2893"/>
      <c r="P959" s="2893"/>
      <c r="Q959" s="2893"/>
    </row>
    <row r="960" spans="1:17">
      <c r="A960" s="2893" t="str">
        <f>'Part VIII-Threshold Criteria'!A10</f>
        <v>3.)</v>
      </c>
      <c r="B960" s="2893"/>
      <c r="C960" s="2893"/>
      <c r="D960" s="2893"/>
      <c r="E960" s="2893"/>
      <c r="F960" s="2893"/>
      <c r="G960" s="2893"/>
      <c r="H960" s="2893"/>
      <c r="I960" s="2893"/>
      <c r="J960" s="2893"/>
      <c r="K960" s="2893"/>
      <c r="L960" s="2893"/>
      <c r="M960" s="2893"/>
      <c r="N960" s="2893"/>
      <c r="O960" s="2893"/>
      <c r="P960" s="2893"/>
      <c r="Q960" s="2893"/>
    </row>
    <row r="961" spans="1:17">
      <c r="A961" s="2893" t="str">
        <f>'Part VIII-Threshold Criteria'!A11</f>
        <v>4.)</v>
      </c>
      <c r="B961" s="2893"/>
      <c r="C961" s="2893"/>
      <c r="D961" s="2893"/>
      <c r="E961" s="2893"/>
      <c r="F961" s="2893"/>
      <c r="G961" s="2893"/>
      <c r="H961" s="2893"/>
      <c r="I961" s="2893"/>
      <c r="J961" s="2893"/>
      <c r="K961" s="2893"/>
      <c r="L961" s="2893"/>
      <c r="M961" s="2893"/>
      <c r="N961" s="2893"/>
      <c r="O961" s="2893"/>
      <c r="P961" s="2893"/>
      <c r="Q961" s="2893"/>
    </row>
    <row r="962" spans="1:17">
      <c r="A962" s="2893" t="str">
        <f>'Part VIII-Threshold Criteria'!A12</f>
        <v>5.)</v>
      </c>
      <c r="B962" s="2893"/>
      <c r="C962" s="2893"/>
      <c r="D962" s="2893"/>
      <c r="E962" s="2893"/>
      <c r="F962" s="2893"/>
      <c r="G962" s="2893"/>
      <c r="H962" s="2893"/>
      <c r="I962" s="2893"/>
      <c r="J962" s="2893"/>
      <c r="K962" s="2893"/>
      <c r="L962" s="2893"/>
      <c r="M962" s="2893"/>
      <c r="N962" s="2893"/>
      <c r="O962" s="2893"/>
      <c r="P962" s="2893"/>
      <c r="Q962" s="2893"/>
    </row>
    <row r="963" spans="1:17">
      <c r="A963" s="2893" t="str">
        <f>'Part VIII-Threshold Criteria'!A13</f>
        <v>6.)</v>
      </c>
      <c r="B963" s="2893"/>
      <c r="C963" s="2893"/>
      <c r="D963" s="2893"/>
      <c r="E963" s="2893"/>
      <c r="F963" s="2893"/>
      <c r="G963" s="2893"/>
      <c r="H963" s="2893"/>
      <c r="I963" s="2893"/>
      <c r="J963" s="2893"/>
      <c r="K963" s="2893"/>
      <c r="L963" s="2893"/>
      <c r="M963" s="2893"/>
      <c r="N963" s="2893"/>
      <c r="O963" s="2893"/>
      <c r="P963" s="2893"/>
      <c r="Q963" s="2893"/>
    </row>
    <row r="964" spans="1:17">
      <c r="A964" s="2893" t="str">
        <f>'Part VIII-Threshold Criteria'!A14</f>
        <v>7.)</v>
      </c>
      <c r="B964" s="2893"/>
      <c r="C964" s="2893"/>
      <c r="D964" s="2893"/>
      <c r="E964" s="2893"/>
      <c r="F964" s="2893"/>
      <c r="G964" s="2893"/>
      <c r="H964" s="2893"/>
      <c r="I964" s="2893"/>
      <c r="J964" s="2893"/>
      <c r="K964" s="2893"/>
      <c r="L964" s="2893"/>
      <c r="M964" s="2893"/>
      <c r="N964" s="2893"/>
      <c r="O964" s="2893"/>
      <c r="P964" s="2893"/>
      <c r="Q964" s="2893"/>
    </row>
    <row r="965" spans="1:17">
      <c r="A965" s="2893" t="str">
        <f>'Part VIII-Threshold Criteria'!A15</f>
        <v xml:space="preserve">8.) </v>
      </c>
      <c r="B965" s="2893"/>
      <c r="C965" s="2893"/>
      <c r="D965" s="2893"/>
      <c r="E965" s="2893"/>
      <c r="F965" s="2893"/>
      <c r="G965" s="2893"/>
      <c r="H965" s="2893"/>
      <c r="I965" s="2893"/>
      <c r="J965" s="2893"/>
      <c r="K965" s="2893"/>
      <c r="L965" s="2893"/>
      <c r="M965" s="2893"/>
      <c r="N965" s="2893"/>
      <c r="O965" s="2893"/>
      <c r="P965" s="2893"/>
      <c r="Q965" s="2893"/>
    </row>
    <row r="966" spans="1:17">
      <c r="A966" s="2893" t="str">
        <f>'Part VIII-Threshold Criteria'!A16</f>
        <v>9.)</v>
      </c>
      <c r="B966" s="2893"/>
      <c r="C966" s="2893"/>
      <c r="D966" s="2893"/>
      <c r="E966" s="2893"/>
      <c r="F966" s="2893"/>
      <c r="G966" s="2893"/>
      <c r="H966" s="2893"/>
      <c r="I966" s="2893"/>
      <c r="J966" s="2893"/>
      <c r="K966" s="2893"/>
      <c r="L966" s="2893"/>
      <c r="M966" s="2893"/>
      <c r="N966" s="2893"/>
      <c r="O966" s="2893"/>
      <c r="P966" s="2893"/>
      <c r="Q966" s="2893"/>
    </row>
    <row r="967" spans="1:17">
      <c r="A967" s="2893" t="str">
        <f>'Part VIII-Threshold Criteria'!A17</f>
        <v>10.)</v>
      </c>
      <c r="B967" s="2893"/>
      <c r="C967" s="2893"/>
      <c r="D967" s="2893"/>
      <c r="E967" s="2893"/>
      <c r="F967" s="2893"/>
      <c r="G967" s="2893"/>
      <c r="H967" s="2893"/>
      <c r="I967" s="2893"/>
      <c r="J967" s="2893"/>
      <c r="K967" s="2893"/>
      <c r="L967" s="2893"/>
      <c r="M967" s="2893"/>
      <c r="N967" s="2893"/>
      <c r="O967" s="2893"/>
      <c r="P967" s="2893"/>
      <c r="Q967" s="2893"/>
    </row>
    <row r="968" spans="1:17">
      <c r="A968" s="2893" t="str">
        <f>'Part VIII-Threshold Criteria'!A18</f>
        <v>11.)</v>
      </c>
      <c r="B968" s="2893"/>
      <c r="C968" s="2893"/>
      <c r="D968" s="2893"/>
      <c r="E968" s="2893"/>
      <c r="F968" s="2893"/>
      <c r="G968" s="2893"/>
      <c r="H968" s="2893"/>
      <c r="I968" s="2893"/>
      <c r="J968" s="2893"/>
      <c r="K968" s="2893"/>
      <c r="L968" s="2893"/>
      <c r="M968" s="2893"/>
      <c r="N968" s="2893"/>
      <c r="O968" s="2893"/>
      <c r="P968" s="2893"/>
      <c r="Q968" s="2893"/>
    </row>
    <row r="969" spans="1:17">
      <c r="A969" s="2893" t="str">
        <f>'Part VIII-Threshold Criteria'!A19</f>
        <v>12.)</v>
      </c>
      <c r="B969" s="2893"/>
      <c r="C969" s="2893"/>
      <c r="D969" s="2893"/>
      <c r="E969" s="2893"/>
      <c r="F969" s="2893"/>
      <c r="G969" s="2893"/>
      <c r="H969" s="2893"/>
      <c r="I969" s="2893"/>
      <c r="J969" s="2893"/>
      <c r="K969" s="2893"/>
      <c r="L969" s="2893"/>
      <c r="M969" s="2893"/>
      <c r="N969" s="2893"/>
      <c r="O969" s="2893"/>
      <c r="P969" s="2893"/>
      <c r="Q969" s="2893"/>
    </row>
    <row r="970" spans="1:17">
      <c r="A970" s="2893" t="str">
        <f>'Part VIII-Threshold Criteria'!A20</f>
        <v>13.)</v>
      </c>
      <c r="B970" s="2893"/>
      <c r="C970" s="2893"/>
      <c r="D970" s="2893"/>
      <c r="E970" s="2893"/>
      <c r="F970" s="2893"/>
      <c r="G970" s="2893"/>
      <c r="H970" s="2893"/>
      <c r="I970" s="2893"/>
      <c r="J970" s="2893"/>
      <c r="K970" s="2893"/>
      <c r="L970" s="2893"/>
      <c r="M970" s="2893"/>
      <c r="N970" s="2893"/>
      <c r="O970" s="2893"/>
      <c r="P970" s="2893"/>
      <c r="Q970" s="2893"/>
    </row>
    <row r="971" spans="1:17">
      <c r="A971" s="2893" t="str">
        <f>'Part VIII-Threshold Criteria'!A21</f>
        <v>14.)</v>
      </c>
      <c r="B971" s="2893"/>
      <c r="C971" s="2893"/>
      <c r="D971" s="2893"/>
      <c r="E971" s="2893"/>
      <c r="F971" s="2893"/>
      <c r="G971" s="2893"/>
      <c r="H971" s="2893"/>
      <c r="I971" s="2893"/>
      <c r="J971" s="2893"/>
      <c r="K971" s="2893"/>
      <c r="L971" s="2893"/>
      <c r="M971" s="2893"/>
      <c r="N971" s="2893"/>
      <c r="O971" s="2893"/>
      <c r="P971" s="2893"/>
      <c r="Q971" s="2893"/>
    </row>
    <row r="972" spans="1:17">
      <c r="A972" s="2893" t="str">
        <f>'Part VIII-Threshold Criteria'!A22</f>
        <v xml:space="preserve">15.) </v>
      </c>
      <c r="B972" s="2893"/>
      <c r="C972" s="2893"/>
      <c r="D972" s="2893"/>
      <c r="E972" s="2893"/>
      <c r="F972" s="2893"/>
      <c r="G972" s="2893"/>
      <c r="H972" s="2893"/>
      <c r="I972" s="2893"/>
      <c r="J972" s="2893"/>
      <c r="K972" s="2893"/>
      <c r="L972" s="2893"/>
      <c r="M972" s="2893"/>
      <c r="N972" s="2893"/>
      <c r="O972" s="2893"/>
      <c r="P972" s="2893"/>
      <c r="Q972" s="2893"/>
    </row>
    <row r="973" spans="1:17">
      <c r="A973" s="2893" t="str">
        <f>'Part VIII-Threshold Criteria'!A23</f>
        <v>16.)</v>
      </c>
      <c r="B973" s="2893"/>
      <c r="C973" s="2893"/>
      <c r="D973" s="2893"/>
      <c r="E973" s="2893"/>
      <c r="F973" s="2893"/>
      <c r="G973" s="2893"/>
      <c r="H973" s="2893"/>
      <c r="I973" s="2893"/>
      <c r="J973" s="2893"/>
      <c r="K973" s="2893"/>
      <c r="L973" s="2893"/>
      <c r="M973" s="2893"/>
      <c r="N973" s="2893"/>
      <c r="O973" s="2893"/>
      <c r="P973" s="2893"/>
      <c r="Q973" s="2893"/>
    </row>
    <row r="974" spans="1:17">
      <c r="A974" s="2893" t="str">
        <f>'Part VIII-Threshold Criteria'!A24</f>
        <v>17.)</v>
      </c>
      <c r="B974" s="2893"/>
      <c r="C974" s="2893"/>
      <c r="D974" s="2893"/>
      <c r="E974" s="2893"/>
      <c r="F974" s="2893"/>
      <c r="G974" s="2893"/>
      <c r="H974" s="2893"/>
      <c r="I974" s="2893"/>
      <c r="J974" s="2893"/>
      <c r="K974" s="2893"/>
      <c r="L974" s="2893"/>
      <c r="M974" s="2893"/>
      <c r="N974" s="2893"/>
      <c r="O974" s="2893"/>
      <c r="P974" s="2893"/>
      <c r="Q974" s="2893"/>
    </row>
    <row r="975" spans="1:17">
      <c r="A975" s="2893" t="str">
        <f>'Part VIII-Threshold Criteria'!A25</f>
        <v>18.)</v>
      </c>
      <c r="B975" s="2893"/>
      <c r="C975" s="2893"/>
      <c r="D975" s="2893"/>
      <c r="E975" s="2893"/>
      <c r="F975" s="2893"/>
      <c r="G975" s="2893"/>
      <c r="H975" s="2893"/>
      <c r="I975" s="2893"/>
      <c r="J975" s="2893"/>
      <c r="K975" s="2893"/>
      <c r="L975" s="2893"/>
      <c r="M975" s="2893"/>
      <c r="N975" s="2893"/>
      <c r="O975" s="2893"/>
      <c r="P975" s="2893"/>
      <c r="Q975" s="2893"/>
    </row>
    <row r="976" spans="1:17">
      <c r="A976" s="2893" t="str">
        <f>'Part VIII-Threshold Criteria'!A26</f>
        <v>19.)</v>
      </c>
      <c r="B976" s="2893"/>
      <c r="C976" s="2893"/>
      <c r="D976" s="2893"/>
      <c r="E976" s="2893"/>
      <c r="F976" s="2893"/>
      <c r="G976" s="2893"/>
      <c r="H976" s="2893"/>
      <c r="I976" s="2893"/>
      <c r="J976" s="2893"/>
      <c r="K976" s="2893"/>
      <c r="L976" s="2893"/>
      <c r="M976" s="2893"/>
      <c r="N976" s="2893"/>
      <c r="O976" s="2893"/>
      <c r="P976" s="2893"/>
      <c r="Q976" s="2893"/>
    </row>
    <row r="977" spans="1:17">
      <c r="A977" s="2893" t="str">
        <f>'Part VIII-Threshold Criteria'!A27</f>
        <v>20.)</v>
      </c>
      <c r="B977" s="2893"/>
      <c r="C977" s="2893"/>
      <c r="D977" s="2893"/>
      <c r="E977" s="2893"/>
      <c r="F977" s="2893"/>
      <c r="G977" s="2893"/>
      <c r="H977" s="2893"/>
      <c r="I977" s="2893"/>
      <c r="J977" s="2893"/>
      <c r="K977" s="2893"/>
      <c r="L977" s="2893"/>
      <c r="M977" s="2893"/>
      <c r="N977" s="2893"/>
      <c r="O977" s="2893"/>
      <c r="P977" s="2893"/>
      <c r="Q977" s="2893"/>
    </row>
    <row r="979" spans="1:17">
      <c r="A979" s="3024">
        <v>1</v>
      </c>
      <c r="B979" s="3025" t="s">
        <v>2788</v>
      </c>
      <c r="C979" s="3026"/>
      <c r="D979" s="3027"/>
      <c r="E979" s="3027"/>
      <c r="F979" s="3027"/>
      <c r="G979" s="3027"/>
      <c r="I979" s="3028"/>
      <c r="J979" s="3028"/>
      <c r="K979" s="3028"/>
      <c r="L979" s="2927"/>
      <c r="M979" s="2927"/>
      <c r="O979" s="3029" t="s">
        <v>1960</v>
      </c>
      <c r="P979" s="2933">
        <f>'Part VIII-Threshold Criteria'!P29</f>
        <v>0</v>
      </c>
      <c r="Q979" s="2933"/>
    </row>
    <row r="981" spans="1:17">
      <c r="B981" s="3030" t="s">
        <v>2080</v>
      </c>
      <c r="C981" s="522" t="s">
        <v>3807</v>
      </c>
      <c r="E981" s="3031"/>
      <c r="F981" s="3031"/>
      <c r="G981" s="3031"/>
      <c r="H981" s="3031"/>
      <c r="I981" s="521"/>
      <c r="J981" s="521"/>
      <c r="K981" s="521"/>
      <c r="L981" s="521"/>
      <c r="M981" s="521"/>
      <c r="O981" s="3003" t="s">
        <v>624</v>
      </c>
      <c r="P981" s="3032" t="str">
        <f>'Part VIII-Threshold Criteria'!P31</f>
        <v>No</v>
      </c>
      <c r="Q981" s="3032">
        <f>'Part VIII-Threshold Criteria'!Q31</f>
        <v>0</v>
      </c>
    </row>
    <row r="982" spans="1:17">
      <c r="B982" s="3033" t="s">
        <v>2083</v>
      </c>
      <c r="C982" s="522" t="s">
        <v>755</v>
      </c>
      <c r="E982" s="3031"/>
      <c r="F982" s="3031"/>
      <c r="G982" s="3031"/>
      <c r="H982" s="3031"/>
      <c r="J982" s="2933" t="str">
        <f>'Part VIII-Threshold Criteria'!J32</f>
        <v>&lt;&lt; Select &gt;&gt;</v>
      </c>
      <c r="K982" s="2933"/>
      <c r="L982" s="2933"/>
      <c r="M982" s="2933"/>
      <c r="N982" s="2933"/>
      <c r="O982" s="3003"/>
      <c r="P982" s="3003"/>
      <c r="Q982" s="3003"/>
    </row>
    <row r="983" spans="1:17">
      <c r="B983" s="2994" t="s">
        <v>1958</v>
      </c>
      <c r="C983" s="2994"/>
      <c r="D983" s="2994"/>
      <c r="E983" s="2994"/>
      <c r="F983" s="2994"/>
      <c r="G983" s="3028"/>
      <c r="H983" s="3028"/>
      <c r="I983" s="3028"/>
      <c r="J983" s="3028"/>
      <c r="K983" s="2927"/>
      <c r="L983" s="2927"/>
      <c r="M983" s="2927"/>
      <c r="N983" s="2927"/>
      <c r="O983" s="2927"/>
      <c r="P983" s="2927"/>
    </row>
    <row r="984" spans="1:17">
      <c r="A984" s="2969" t="str">
        <f>'Part VIII-Threshold Criteria'!A34</f>
        <v>The project will be financed with proceeds from the sale of the tax credits and the assumption of the USDA loan.  All commitments are included.  The project meets all of DCA's feasibility requirements as stated in the 2015 QAP.  No commitments are under consideration which need final approval.</v>
      </c>
      <c r="B984" s="2969"/>
      <c r="C984" s="2969"/>
      <c r="D984" s="2969"/>
      <c r="E984" s="2969"/>
      <c r="F984" s="2969"/>
      <c r="G984" s="2969"/>
      <c r="H984" s="2969"/>
      <c r="I984" s="2969"/>
      <c r="J984" s="2969"/>
      <c r="K984" s="2969"/>
      <c r="L984" s="2969"/>
      <c r="M984" s="2969"/>
      <c r="N984" s="2969"/>
      <c r="O984" s="2969"/>
      <c r="P984" s="2969"/>
      <c r="Q984" s="2969"/>
    </row>
    <row r="985" spans="1:17">
      <c r="B985" s="3034" t="s">
        <v>1959</v>
      </c>
      <c r="C985" s="3035"/>
      <c r="D985" s="3036"/>
      <c r="E985" s="3036"/>
      <c r="F985" s="3036"/>
      <c r="G985" s="3036"/>
      <c r="H985" s="3036"/>
      <c r="I985" s="3036"/>
      <c r="J985" s="3036"/>
      <c r="K985" s="3036"/>
      <c r="L985" s="3036"/>
      <c r="M985" s="3036"/>
      <c r="N985" s="3036"/>
      <c r="O985" s="3036"/>
      <c r="P985" s="3036"/>
    </row>
    <row r="986" spans="1:17">
      <c r="A986" s="2969">
        <f>'Part VIII-Threshold Criteria'!A36</f>
        <v>0</v>
      </c>
      <c r="B986" s="2969"/>
      <c r="C986" s="2969"/>
      <c r="D986" s="2969"/>
      <c r="E986" s="2969"/>
      <c r="F986" s="2969"/>
      <c r="G986" s="2969"/>
      <c r="H986" s="2969"/>
      <c r="I986" s="2969"/>
      <c r="J986" s="2969"/>
      <c r="K986" s="2969"/>
      <c r="L986" s="2969"/>
      <c r="M986" s="2969"/>
      <c r="N986" s="2969"/>
      <c r="O986" s="2969"/>
      <c r="P986" s="2969"/>
      <c r="Q986" s="2969"/>
    </row>
    <row r="987" spans="1:17">
      <c r="B987" s="3028"/>
      <c r="C987" s="3036"/>
      <c r="D987" s="3036"/>
      <c r="E987" s="3036"/>
      <c r="F987" s="3036"/>
      <c r="G987" s="3036"/>
      <c r="H987" s="3036"/>
      <c r="I987" s="3036"/>
      <c r="J987" s="3036"/>
      <c r="K987" s="3036"/>
      <c r="L987" s="3036"/>
      <c r="M987" s="3036"/>
      <c r="N987" s="3036"/>
      <c r="O987" s="3036"/>
      <c r="P987" s="3036"/>
      <c r="Q987" s="2927"/>
    </row>
    <row r="988" spans="1:17">
      <c r="A988" s="2906">
        <v>2</v>
      </c>
      <c r="B988" s="524" t="s">
        <v>2882</v>
      </c>
      <c r="C988" s="524"/>
      <c r="D988" s="524"/>
      <c r="E988" s="3036"/>
      <c r="G988" s="2934"/>
      <c r="H988" s="2934"/>
      <c r="I988" s="2934"/>
      <c r="J988" s="521"/>
      <c r="L988" s="3037"/>
      <c r="M988" s="3037"/>
      <c r="N988" s="3037"/>
      <c r="O988" s="3029" t="s">
        <v>1960</v>
      </c>
      <c r="P988" s="2933">
        <f>'Part VIII-Threshold Criteria'!P38</f>
        <v>0</v>
      </c>
      <c r="Q988" s="2933"/>
    </row>
    <row r="989" spans="1:17">
      <c r="A989" s="3038" t="s">
        <v>4611</v>
      </c>
      <c r="B989" s="3038"/>
      <c r="C989" s="3038"/>
      <c r="D989" s="3038"/>
      <c r="E989" s="3038"/>
      <c r="F989" s="3038"/>
      <c r="G989" s="2892" t="s">
        <v>2886</v>
      </c>
      <c r="H989" s="2892"/>
      <c r="I989" s="3027"/>
      <c r="J989" s="521"/>
      <c r="K989" s="3039" t="s">
        <v>4035</v>
      </c>
      <c r="L989" s="3039"/>
      <c r="M989" s="3039"/>
      <c r="N989" s="3039"/>
    </row>
    <row r="990" spans="1:17" ht="13.5">
      <c r="A990" s="3038"/>
      <c r="B990" s="3038"/>
      <c r="C990" s="3038"/>
      <c r="D990" s="3038"/>
      <c r="E990" s="3038"/>
      <c r="F990" s="3038"/>
      <c r="G990" s="2892" t="s">
        <v>359</v>
      </c>
      <c r="H990" s="2892"/>
      <c r="I990" s="3027"/>
      <c r="J990" s="521"/>
      <c r="K990" s="3040" t="s">
        <v>4036</v>
      </c>
      <c r="L990" s="3040"/>
      <c r="M990" s="3040"/>
      <c r="N990" s="3040"/>
      <c r="P990" s="3041" t="s">
        <v>2921</v>
      </c>
      <c r="Q990" s="3032" t="str">
        <f>'Part VIII-Threshold Criteria'!Q40</f>
        <v>Yes</v>
      </c>
    </row>
    <row r="991" spans="1:17">
      <c r="A991" s="3038"/>
      <c r="B991" s="3038"/>
      <c r="C991" s="3038"/>
      <c r="D991" s="3038"/>
      <c r="E991" s="3038"/>
      <c r="F991" s="3038"/>
      <c r="G991" s="3027"/>
      <c r="H991" s="3027"/>
      <c r="I991" s="3027"/>
      <c r="J991" s="521"/>
      <c r="K991" s="3040"/>
      <c r="L991" s="3040"/>
      <c r="M991" s="3040"/>
      <c r="N991" s="3040"/>
    </row>
    <row r="992" spans="1:17" ht="13.5">
      <c r="D992" s="3042" t="s">
        <v>2885</v>
      </c>
      <c r="F992" s="3043" t="s">
        <v>4039</v>
      </c>
      <c r="G992" s="3044" t="s">
        <v>4038</v>
      </c>
      <c r="H992" s="3044"/>
      <c r="I992" s="3044"/>
      <c r="K992" s="3043" t="s">
        <v>4039</v>
      </c>
      <c r="L992" s="3044" t="s">
        <v>4038</v>
      </c>
      <c r="M992" s="3044"/>
      <c r="N992" s="3044"/>
    </row>
    <row r="993" spans="1:17">
      <c r="A993" s="3045" t="s">
        <v>3814</v>
      </c>
      <c r="B993" s="3045"/>
      <c r="C993" s="3045"/>
      <c r="D993" s="3046" t="s">
        <v>591</v>
      </c>
      <c r="E993" s="3028">
        <v>0</v>
      </c>
      <c r="F993" s="3047">
        <f>'Part VIII-Threshold Criteria'!F43</f>
        <v>0</v>
      </c>
      <c r="G993" s="3048">
        <f>'Part VIII-Threshold Criteria'!G43</f>
        <v>113481</v>
      </c>
      <c r="H993" s="3031" t="str">
        <f>'Part VIII-Threshold Criteria'!H43</f>
        <v xml:space="preserve">x 0 units = </v>
      </c>
      <c r="I993" s="3049">
        <f>'Part VIII-Threshold Criteria'!I43</f>
        <v>0</v>
      </c>
      <c r="J993" s="521"/>
      <c r="K993" s="3047">
        <f>'Part VIII-Threshold Criteria'!K43</f>
        <v>0</v>
      </c>
      <c r="L993" s="3048">
        <f>'Part VIII-Threshold Criteria'!L43</f>
        <v>124829</v>
      </c>
      <c r="M993" s="3031" t="str">
        <f>'Part VIII-Threshold Criteria'!M43</f>
        <v xml:space="preserve">x 0 units = </v>
      </c>
      <c r="N993" s="3049">
        <f>'Part VIII-Threshold Criteria'!N43</f>
        <v>0</v>
      </c>
      <c r="O993" s="3036"/>
      <c r="P993" s="3050" t="s">
        <v>3816</v>
      </c>
      <c r="Q993" s="3050"/>
    </row>
    <row r="994" spans="1:17">
      <c r="A994" s="3045"/>
      <c r="B994" s="3045"/>
      <c r="C994" s="3045"/>
      <c r="D994" s="3046" t="s">
        <v>2560</v>
      </c>
      <c r="E994" s="3028">
        <v>1</v>
      </c>
      <c r="F994" s="3047">
        <f>'Part VIII-Threshold Criteria'!F44</f>
        <v>0</v>
      </c>
      <c r="G994" s="3048">
        <f>'Part VIII-Threshold Criteria'!G44</f>
        <v>149453</v>
      </c>
      <c r="H994" s="3031" t="str">
        <f>'Part VIII-Threshold Criteria'!H44</f>
        <v xml:space="preserve">x 0 units = </v>
      </c>
      <c r="I994" s="3049">
        <f>'Part VIII-Threshold Criteria'!I44</f>
        <v>0</v>
      </c>
      <c r="J994" s="521"/>
      <c r="K994" s="3047">
        <f>'Part VIII-Threshold Criteria'!K44</f>
        <v>0</v>
      </c>
      <c r="L994" s="3048">
        <f>'Part VIII-Threshold Criteria'!L44</f>
        <v>164398</v>
      </c>
      <c r="M994" s="3031" t="str">
        <f>'Part VIII-Threshold Criteria'!M44</f>
        <v xml:space="preserve">x 0 units = </v>
      </c>
      <c r="N994" s="3049">
        <f>'Part VIII-Threshold Criteria'!N44</f>
        <v>0</v>
      </c>
      <c r="O994" s="3036"/>
      <c r="P994" s="3050"/>
      <c r="Q994" s="3050"/>
    </row>
    <row r="995" spans="1:17">
      <c r="A995" s="3045"/>
      <c r="B995" s="3045"/>
      <c r="C995" s="3045"/>
      <c r="D995" s="3046" t="s">
        <v>2561</v>
      </c>
      <c r="E995" s="3028">
        <v>2</v>
      </c>
      <c r="F995" s="3047">
        <f>'Part VIII-Threshold Criteria'!F45</f>
        <v>0</v>
      </c>
      <c r="G995" s="3048">
        <f>'Part VIII-Threshold Criteria'!G45</f>
        <v>179377</v>
      </c>
      <c r="H995" s="3031" t="str">
        <f>'Part VIII-Threshold Criteria'!H45</f>
        <v xml:space="preserve">x 0 units = </v>
      </c>
      <c r="I995" s="3049">
        <f>'Part VIII-Threshold Criteria'!I45</f>
        <v>0</v>
      </c>
      <c r="J995" s="521"/>
      <c r="K995" s="3047">
        <f>'Part VIII-Threshold Criteria'!K45</f>
        <v>0</v>
      </c>
      <c r="L995" s="3048">
        <f>'Part VIII-Threshold Criteria'!L45</f>
        <v>197314</v>
      </c>
      <c r="M995" s="3031" t="str">
        <f>'Part VIII-Threshold Criteria'!M45</f>
        <v xml:space="preserve">x 0 units = </v>
      </c>
      <c r="N995" s="3049">
        <f>'Part VIII-Threshold Criteria'!N45</f>
        <v>0</v>
      </c>
      <c r="O995" s="3036"/>
      <c r="P995" s="3050"/>
      <c r="Q995" s="3050"/>
    </row>
    <row r="996" spans="1:17">
      <c r="A996" s="3045"/>
      <c r="B996" s="3045"/>
      <c r="C996" s="3045"/>
      <c r="D996" s="3046" t="s">
        <v>2562</v>
      </c>
      <c r="E996" s="3028">
        <v>3</v>
      </c>
      <c r="F996" s="3047">
        <f>'Part VIII-Threshold Criteria'!F46</f>
        <v>0</v>
      </c>
      <c r="G996" s="3048">
        <f>'Part VIII-Threshold Criteria'!G46</f>
        <v>216472</v>
      </c>
      <c r="H996" s="3031" t="str">
        <f>'Part VIII-Threshold Criteria'!H46</f>
        <v xml:space="preserve">x 0 units = </v>
      </c>
      <c r="I996" s="3049">
        <f>'Part VIII-Threshold Criteria'!I46</f>
        <v>0</v>
      </c>
      <c r="J996" s="521"/>
      <c r="K996" s="3047">
        <f>'Part VIII-Threshold Criteria'!K46</f>
        <v>0</v>
      </c>
      <c r="L996" s="3048">
        <f>'Part VIII-Threshold Criteria'!L46</f>
        <v>238119</v>
      </c>
      <c r="M996" s="3031" t="str">
        <f>'Part VIII-Threshold Criteria'!M46</f>
        <v xml:space="preserve">x 0 units = </v>
      </c>
      <c r="N996" s="3049">
        <f>'Part VIII-Threshold Criteria'!N46</f>
        <v>0</v>
      </c>
      <c r="O996" s="3036"/>
      <c r="P996" s="3051" t="str">
        <f>'Part VIII-Threshold Criteria'!P46</f>
        <v>Valdosta</v>
      </c>
      <c r="Q996" s="3051"/>
    </row>
    <row r="997" spans="1:17">
      <c r="C997" s="521"/>
      <c r="D997" s="3046" t="s">
        <v>2563</v>
      </c>
      <c r="E997" s="3028">
        <v>4</v>
      </c>
      <c r="F997" s="3047">
        <f>'Part VIII-Threshold Criteria'!F47</f>
        <v>0</v>
      </c>
      <c r="G997" s="3048">
        <f>'Part VIII-Threshold Criteria'!G47</f>
        <v>255157</v>
      </c>
      <c r="H997" s="3031" t="str">
        <f>'Part VIII-Threshold Criteria'!H47</f>
        <v xml:space="preserve">x 0 units = </v>
      </c>
      <c r="I997" s="3049">
        <f>'Part VIII-Threshold Criteria'!I47</f>
        <v>0</v>
      </c>
      <c r="J997" s="521"/>
      <c r="K997" s="3047">
        <f>'Part VIII-Threshold Criteria'!K47</f>
        <v>0</v>
      </c>
      <c r="L997" s="3048">
        <f>'Part VIII-Threshold Criteria'!L47</f>
        <v>280672</v>
      </c>
      <c r="M997" s="3031" t="str">
        <f>'Part VIII-Threshold Criteria'!M47</f>
        <v xml:space="preserve">x 0 units = </v>
      </c>
      <c r="N997" s="3049">
        <f>'Part VIII-Threshold Criteria'!N47</f>
        <v>0</v>
      </c>
      <c r="O997" s="3036"/>
      <c r="P997" s="3051"/>
      <c r="Q997" s="3051"/>
    </row>
    <row r="998" spans="1:17">
      <c r="C998" s="521"/>
      <c r="D998" s="3052" t="s">
        <v>3825</v>
      </c>
      <c r="E998" s="521"/>
      <c r="F998" s="3053">
        <f>SUM(F993:F997)</f>
        <v>0</v>
      </c>
      <c r="G998" s="3054"/>
      <c r="H998" s="3055"/>
      <c r="I998" s="3056">
        <f>SUM(I993:I997)</f>
        <v>0</v>
      </c>
      <c r="J998" s="3057"/>
      <c r="K998" s="3053">
        <f>SUM(K993:K997)</f>
        <v>0</v>
      </c>
      <c r="L998" s="3057"/>
      <c r="M998" s="3055"/>
      <c r="N998" s="3056">
        <f>SUM(N993:N997)</f>
        <v>0</v>
      </c>
      <c r="O998" s="3036"/>
    </row>
    <row r="999" spans="1:17">
      <c r="C999" s="521"/>
      <c r="D999" s="3058"/>
      <c r="E999" s="3058"/>
      <c r="F999" s="2970"/>
      <c r="G999" s="522"/>
      <c r="H999" s="521"/>
      <c r="I999" s="2970"/>
      <c r="J999" s="521"/>
      <c r="K999" s="2970"/>
      <c r="L999" s="521"/>
      <c r="M999" s="2958"/>
      <c r="N999" s="2970"/>
      <c r="O999" s="3036"/>
      <c r="P999" s="2910" t="str">
        <f>IF('Part IV-Uses of Funds'!$G$130&gt;P1010,"CHECK TDC !!!","")</f>
        <v/>
      </c>
      <c r="Q999" s="2910"/>
    </row>
    <row r="1000" spans="1:17">
      <c r="A1000" s="3045" t="s">
        <v>3809</v>
      </c>
      <c r="B1000" s="3045"/>
      <c r="C1000" s="3045"/>
      <c r="D1000" s="3046" t="s">
        <v>591</v>
      </c>
      <c r="E1000" s="3047">
        <f>'Part VI-Revenues &amp; Expenses'!H1056</f>
        <v>0</v>
      </c>
      <c r="F1000" s="3047">
        <f>'Part VIII-Threshold Criteria'!F50</f>
        <v>0</v>
      </c>
      <c r="G1000" s="3048">
        <f>'Part VIII-Threshold Criteria'!G50</f>
        <v>107076</v>
      </c>
      <c r="H1000" s="3031" t="str">
        <f>'Part VIII-Threshold Criteria'!H50</f>
        <v xml:space="preserve">x 0 units = </v>
      </c>
      <c r="I1000" s="3049">
        <f>'Part VIII-Threshold Criteria'!I50</f>
        <v>0</v>
      </c>
      <c r="J1000" s="521"/>
      <c r="K1000" s="3047">
        <f>'Part VIII-Threshold Criteria'!K50</f>
        <v>0</v>
      </c>
      <c r="L1000" s="3048">
        <f>'Part VIII-Threshold Criteria'!L50</f>
        <v>117783</v>
      </c>
      <c r="M1000" s="3031" t="str">
        <f>'Part VIII-Threshold Criteria'!M50</f>
        <v xml:space="preserve">x 0 units = </v>
      </c>
      <c r="N1000" s="3049">
        <f>'Part VIII-Threshold Criteria'!N50</f>
        <v>0</v>
      </c>
      <c r="P1000" s="3059" t="s">
        <v>3827</v>
      </c>
      <c r="Q1000" s="3059"/>
    </row>
    <row r="1001" spans="1:17">
      <c r="A1001" s="3045"/>
      <c r="B1001" s="3045"/>
      <c r="C1001" s="3045"/>
      <c r="D1001" s="3046" t="s">
        <v>2560</v>
      </c>
      <c r="E1001" s="3028">
        <v>1</v>
      </c>
      <c r="F1001" s="3047">
        <f>'Part VIII-Threshold Criteria'!F51</f>
        <v>4</v>
      </c>
      <c r="G1001" s="3048">
        <f>'Part VIII-Threshold Criteria'!G51</f>
        <v>141347</v>
      </c>
      <c r="H1001" s="3031" t="str">
        <f>'Part VIII-Threshold Criteria'!H51</f>
        <v xml:space="preserve">x 4 units = </v>
      </c>
      <c r="I1001" s="3049">
        <f>'Part VIII-Threshold Criteria'!I51</f>
        <v>565388</v>
      </c>
      <c r="J1001" s="521"/>
      <c r="K1001" s="3047">
        <f>'Part VIII-Threshold Criteria'!K51</f>
        <v>0</v>
      </c>
      <c r="L1001" s="3048">
        <f>'Part VIII-Threshold Criteria'!L51</f>
        <v>155481</v>
      </c>
      <c r="M1001" s="3031" t="str">
        <f>'Part VIII-Threshold Criteria'!M51</f>
        <v xml:space="preserve">x 0 units = </v>
      </c>
      <c r="N1001" s="3049">
        <f>'Part VIII-Threshold Criteria'!N51</f>
        <v>0</v>
      </c>
      <c r="P1001" s="3060">
        <f>'Part IV-Uses of Funds'!$G$130</f>
        <v>6245106</v>
      </c>
      <c r="Q1001" s="3060"/>
    </row>
    <row r="1002" spans="1:17">
      <c r="A1002" s="3045"/>
      <c r="B1002" s="3045"/>
      <c r="C1002" s="3045"/>
      <c r="D1002" s="3046" t="s">
        <v>2561</v>
      </c>
      <c r="E1002" s="3028">
        <v>2</v>
      </c>
      <c r="F1002" s="3047">
        <f>'Part VIII-Threshold Criteria'!F52</f>
        <v>30</v>
      </c>
      <c r="G1002" s="3048">
        <f>'Part VIII-Threshold Criteria'!G52</f>
        <v>170070</v>
      </c>
      <c r="H1002" s="3031" t="str">
        <f>'Part VIII-Threshold Criteria'!H52</f>
        <v xml:space="preserve">x 30 units = </v>
      </c>
      <c r="I1002" s="3049">
        <f>'Part VIII-Threshold Criteria'!I52</f>
        <v>5102100</v>
      </c>
      <c r="J1002" s="521"/>
      <c r="K1002" s="3047">
        <f>'Part VIII-Threshold Criteria'!K52</f>
        <v>0</v>
      </c>
      <c r="L1002" s="3048">
        <f>'Part VIII-Threshold Criteria'!L52</f>
        <v>187077</v>
      </c>
      <c r="M1002" s="3031" t="str">
        <f>'Part VIII-Threshold Criteria'!M52</f>
        <v xml:space="preserve">x 0 units = </v>
      </c>
      <c r="N1002" s="3049">
        <f>'Part VIII-Threshold Criteria'!N52</f>
        <v>0</v>
      </c>
      <c r="O1002" s="2967"/>
    </row>
    <row r="1003" spans="1:17">
      <c r="C1003" s="521"/>
      <c r="D1003" s="3046" t="s">
        <v>2562</v>
      </c>
      <c r="E1003" s="3028">
        <v>3</v>
      </c>
      <c r="F1003" s="3047">
        <f>'Part VIII-Threshold Criteria'!F53</f>
        <v>8</v>
      </c>
      <c r="G1003" s="3048">
        <f>'Part VIII-Threshold Criteria'!G53</f>
        <v>206279</v>
      </c>
      <c r="H1003" s="3031" t="str">
        <f>'Part VIII-Threshold Criteria'!H53</f>
        <v xml:space="preserve">x 8 units = </v>
      </c>
      <c r="I1003" s="3049">
        <f>'Part VIII-Threshold Criteria'!I53</f>
        <v>1650232</v>
      </c>
      <c r="J1003" s="521"/>
      <c r="K1003" s="3047">
        <f>'Part VIII-Threshold Criteria'!K53</f>
        <v>0</v>
      </c>
      <c r="L1003" s="3048">
        <f>'Part VIII-Threshold Criteria'!L53</f>
        <v>226906</v>
      </c>
      <c r="M1003" s="3031" t="str">
        <f>'Part VIII-Threshold Criteria'!M53</f>
        <v xml:space="preserve">x 0 units = </v>
      </c>
      <c r="N1003" s="3049">
        <f>'Part VIII-Threshold Criteria'!N53</f>
        <v>0</v>
      </c>
      <c r="O1003" s="2967"/>
      <c r="P1003" s="3059" t="s">
        <v>4040</v>
      </c>
      <c r="Q1003" s="3059"/>
    </row>
    <row r="1004" spans="1:17">
      <c r="C1004" s="521"/>
      <c r="D1004" s="3046" t="s">
        <v>2563</v>
      </c>
      <c r="E1004" s="3028">
        <v>4</v>
      </c>
      <c r="F1004" s="3047">
        <f>'Part VIII-Threshold Criteria'!F54</f>
        <v>0</v>
      </c>
      <c r="G1004" s="3048">
        <f>'Part VIII-Threshold Criteria'!G54</f>
        <v>245416</v>
      </c>
      <c r="H1004" s="3031" t="str">
        <f>'Part VIII-Threshold Criteria'!H54</f>
        <v xml:space="preserve">x 0 units = </v>
      </c>
      <c r="I1004" s="3049">
        <f>'Part VIII-Threshold Criteria'!I54</f>
        <v>0</v>
      </c>
      <c r="J1004" s="521"/>
      <c r="K1004" s="3047">
        <f>'Part VIII-Threshold Criteria'!K54</f>
        <v>0</v>
      </c>
      <c r="L1004" s="3048">
        <f>'Part VIII-Threshold Criteria'!L54</f>
        <v>269957</v>
      </c>
      <c r="M1004" s="3031" t="str">
        <f>'Part VIII-Threshold Criteria'!M54</f>
        <v xml:space="preserve">x 0 units = </v>
      </c>
      <c r="N1004" s="3049">
        <f>'Part VIII-Threshold Criteria'!N54</f>
        <v>0</v>
      </c>
      <c r="O1004" s="2967"/>
      <c r="P1004" s="3060">
        <f>'Part I-Project Information'!$O$165</f>
        <v>0</v>
      </c>
      <c r="Q1004" s="3060"/>
    </row>
    <row r="1005" spans="1:17">
      <c r="C1005" s="521"/>
      <c r="D1005" s="3052" t="s">
        <v>3825</v>
      </c>
      <c r="E1005" s="521"/>
      <c r="F1005" s="3053">
        <f>SUM(F1000:F1004)</f>
        <v>42</v>
      </c>
      <c r="G1005" s="3054"/>
      <c r="H1005" s="3055"/>
      <c r="I1005" s="3056">
        <f>SUM(I1000:I1004)</f>
        <v>7317720</v>
      </c>
      <c r="J1005" s="3057"/>
      <c r="K1005" s="3053">
        <f>SUM(K1000:K1004)</f>
        <v>0</v>
      </c>
      <c r="L1005" s="3057"/>
      <c r="M1005" s="3055"/>
      <c r="N1005" s="3056">
        <f>SUM(N1000:N1004)</f>
        <v>0</v>
      </c>
      <c r="O1005" s="2967"/>
    </row>
    <row r="1006" spans="1:17">
      <c r="C1006" s="521"/>
      <c r="D1006" s="3058"/>
      <c r="E1006" s="3058"/>
      <c r="F1006" s="2970"/>
      <c r="G1006" s="522"/>
      <c r="H1006" s="521"/>
      <c r="I1006" s="2970"/>
      <c r="J1006" s="521"/>
      <c r="K1006" s="2970"/>
      <c r="L1006" s="521"/>
      <c r="M1006" s="2958"/>
      <c r="N1006" s="2970"/>
      <c r="O1006" s="2967"/>
    </row>
    <row r="1007" spans="1:17">
      <c r="A1007" s="3002" t="s">
        <v>3810</v>
      </c>
      <c r="C1007" s="521"/>
      <c r="D1007" s="3046" t="s">
        <v>591</v>
      </c>
      <c r="E1007" s="3028">
        <v>0</v>
      </c>
      <c r="F1007" s="3047">
        <f>'Part VIII-Threshold Criteria'!F57</f>
        <v>0</v>
      </c>
      <c r="G1007" s="3048">
        <f>'Part VIII-Threshold Criteria'!G57</f>
        <v>88948</v>
      </c>
      <c r="H1007" s="3031" t="str">
        <f>'Part VIII-Threshold Criteria'!H57</f>
        <v xml:space="preserve">x 0 units = </v>
      </c>
      <c r="I1007" s="3049">
        <f>'Part VIII-Threshold Criteria'!I57</f>
        <v>0</v>
      </c>
      <c r="J1007" s="521"/>
      <c r="K1007" s="3047">
        <f>'Part VIII-Threshold Criteria'!K57</f>
        <v>0</v>
      </c>
      <c r="L1007" s="3048">
        <f>'Part VIII-Threshold Criteria'!L57</f>
        <v>97842</v>
      </c>
      <c r="M1007" s="3031" t="str">
        <f>'Part VIII-Threshold Criteria'!M57</f>
        <v xml:space="preserve">x 0 units = </v>
      </c>
      <c r="N1007" s="3049">
        <f>'Part VIII-Threshold Criteria'!N57</f>
        <v>0</v>
      </c>
      <c r="O1007" s="2967"/>
      <c r="P1007" s="3061" t="s">
        <v>3071</v>
      </c>
      <c r="Q1007" s="3061"/>
    </row>
    <row r="1008" spans="1:17">
      <c r="C1008" s="521"/>
      <c r="D1008" s="3046" t="s">
        <v>2560</v>
      </c>
      <c r="E1008" s="3028">
        <v>1</v>
      </c>
      <c r="F1008" s="3047">
        <f>'Part VIII-Threshold Criteria'!F58</f>
        <v>0</v>
      </c>
      <c r="G1008" s="3048">
        <f>'Part VIII-Threshold Criteria'!G58</f>
        <v>122823</v>
      </c>
      <c r="H1008" s="3031" t="str">
        <f>'Part VIII-Threshold Criteria'!H58</f>
        <v xml:space="preserve">x 0 units = </v>
      </c>
      <c r="I1008" s="3049">
        <f>'Part VIII-Threshold Criteria'!I58</f>
        <v>0</v>
      </c>
      <c r="J1008" s="521"/>
      <c r="K1008" s="3047">
        <f>'Part VIII-Threshold Criteria'!K58</f>
        <v>0</v>
      </c>
      <c r="L1008" s="3048">
        <f>'Part VIII-Threshold Criteria'!L58</f>
        <v>135105</v>
      </c>
      <c r="M1008" s="3031" t="str">
        <f>'Part VIII-Threshold Criteria'!M58</f>
        <v xml:space="preserve">x 0 units = </v>
      </c>
      <c r="N1008" s="3049">
        <f>'Part VIII-Threshold Criteria'!N58</f>
        <v>0</v>
      </c>
      <c r="P1008" s="3061"/>
      <c r="Q1008" s="3061"/>
    </row>
    <row r="1009" spans="1:17">
      <c r="C1009" s="521"/>
      <c r="D1009" s="3046" t="s">
        <v>2561</v>
      </c>
      <c r="E1009" s="3028">
        <v>2</v>
      </c>
      <c r="F1009" s="3047">
        <f>'Part VIII-Threshold Criteria'!F59</f>
        <v>0</v>
      </c>
      <c r="G1009" s="3048">
        <f>'Part VIII-Threshold Criteria'!G59</f>
        <v>155719</v>
      </c>
      <c r="H1009" s="3031" t="str">
        <f>'Part VIII-Threshold Criteria'!H59</f>
        <v xml:space="preserve">x 0 units = </v>
      </c>
      <c r="I1009" s="3049">
        <f>'Part VIII-Threshold Criteria'!I59</f>
        <v>0</v>
      </c>
      <c r="J1009" s="521"/>
      <c r="K1009" s="3047">
        <f>'Part VIII-Threshold Criteria'!K59</f>
        <v>0</v>
      </c>
      <c r="L1009" s="3048">
        <f>'Part VIII-Threshold Criteria'!L59</f>
        <v>171290</v>
      </c>
      <c r="M1009" s="3031" t="str">
        <f>'Part VIII-Threshold Criteria'!M59</f>
        <v xml:space="preserve">x 0 units = </v>
      </c>
      <c r="N1009" s="3049">
        <f>'Part VIII-Threshold Criteria'!N59</f>
        <v>0</v>
      </c>
      <c r="P1009" s="3061"/>
      <c r="Q1009" s="3061"/>
    </row>
    <row r="1010" spans="1:17">
      <c r="C1010" s="521"/>
      <c r="D1010" s="3046" t="s">
        <v>2562</v>
      </c>
      <c r="E1010" s="3028">
        <v>3</v>
      </c>
      <c r="F1010" s="3047">
        <f>'Part VIII-Threshold Criteria'!F60</f>
        <v>0</v>
      </c>
      <c r="G1010" s="3048">
        <f>'Part VIII-Threshold Criteria'!G60</f>
        <v>203244</v>
      </c>
      <c r="H1010" s="3031" t="str">
        <f>'Part VIII-Threshold Criteria'!H60</f>
        <v xml:space="preserve">x 0 units = </v>
      </c>
      <c r="I1010" s="3049">
        <f>'Part VIII-Threshold Criteria'!I60</f>
        <v>0</v>
      </c>
      <c r="J1010" s="521"/>
      <c r="K1010" s="3047">
        <f>'Part VIII-Threshold Criteria'!K60</f>
        <v>0</v>
      </c>
      <c r="L1010" s="3048">
        <f>'Part VIII-Threshold Criteria'!L60</f>
        <v>223568</v>
      </c>
      <c r="M1010" s="3031" t="str">
        <f>'Part VIII-Threshold Criteria'!M60</f>
        <v xml:space="preserve">x 0 units = </v>
      </c>
      <c r="N1010" s="3049">
        <f>'Part VIII-Threshold Criteria'!N60</f>
        <v>0</v>
      </c>
      <c r="O1010" s="2967"/>
      <c r="P1010" s="3062">
        <f>'Part VIII-Threshold Criteria'!P60</f>
        <v>7317720</v>
      </c>
      <c r="Q1010" s="3062"/>
    </row>
    <row r="1011" spans="1:17">
      <c r="C1011" s="521"/>
      <c r="D1011" s="3046" t="s">
        <v>2563</v>
      </c>
      <c r="E1011" s="3028">
        <v>4</v>
      </c>
      <c r="F1011" s="3047">
        <f>'Part VIII-Threshold Criteria'!F61</f>
        <v>0</v>
      </c>
      <c r="G1011" s="3048">
        <f>'Part VIII-Threshold Criteria'!G61</f>
        <v>253345</v>
      </c>
      <c r="H1011" s="3031" t="str">
        <f>'Part VIII-Threshold Criteria'!H61</f>
        <v xml:space="preserve">x 0 units = </v>
      </c>
      <c r="I1011" s="3049">
        <f>'Part VIII-Threshold Criteria'!I61</f>
        <v>0</v>
      </c>
      <c r="J1011" s="521"/>
      <c r="K1011" s="3047">
        <f>'Part VIII-Threshold Criteria'!K61</f>
        <v>0</v>
      </c>
      <c r="L1011" s="3048">
        <f>'Part VIII-Threshold Criteria'!L61</f>
        <v>278679</v>
      </c>
      <c r="M1011" s="3031" t="str">
        <f>'Part VIII-Threshold Criteria'!M61</f>
        <v xml:space="preserve">x 0 units = </v>
      </c>
      <c r="N1011" s="3049">
        <f>'Part VIII-Threshold Criteria'!N61</f>
        <v>0</v>
      </c>
      <c r="O1011" s="2967"/>
      <c r="P1011" s="3062"/>
      <c r="Q1011" s="3062"/>
    </row>
    <row r="1012" spans="1:17">
      <c r="C1012" s="521"/>
      <c r="D1012" s="3052" t="s">
        <v>3825</v>
      </c>
      <c r="E1012" s="521"/>
      <c r="F1012" s="3053">
        <f>SUM(F1007:F1011)</f>
        <v>0</v>
      </c>
      <c r="G1012" s="3054"/>
      <c r="H1012" s="3055"/>
      <c r="I1012" s="3056">
        <f>SUM(I1007:I1011)</f>
        <v>0</v>
      </c>
      <c r="J1012" s="3057"/>
      <c r="K1012" s="3053">
        <f>SUM(K1007:K1011)</f>
        <v>0</v>
      </c>
      <c r="L1012" s="3057"/>
      <c r="M1012" s="3055"/>
      <c r="N1012" s="3056">
        <f>SUM(N1007:N1011)</f>
        <v>0</v>
      </c>
      <c r="O1012" s="2967"/>
      <c r="P1012" s="2959"/>
    </row>
    <row r="1013" spans="1:17">
      <c r="C1013" s="521"/>
      <c r="D1013" s="3058"/>
      <c r="E1013" s="3058"/>
      <c r="F1013" s="2970"/>
      <c r="G1013" s="522"/>
      <c r="H1013" s="521"/>
      <c r="I1013" s="2970"/>
      <c r="J1013" s="521"/>
      <c r="K1013" s="2970"/>
      <c r="L1013" s="521"/>
      <c r="M1013" s="2958"/>
      <c r="N1013" s="2970"/>
      <c r="O1013" s="2967"/>
      <c r="Q1013" s="2959"/>
    </row>
    <row r="1014" spans="1:17">
      <c r="A1014" s="3002" t="s">
        <v>3811</v>
      </c>
      <c r="C1014" s="521"/>
      <c r="D1014" s="3046" t="s">
        <v>591</v>
      </c>
      <c r="E1014" s="3028">
        <v>0</v>
      </c>
      <c r="F1014" s="3047">
        <f>'Part VIII-Threshold Criteria'!F64</f>
        <v>0</v>
      </c>
      <c r="G1014" s="3048">
        <f>'Part VIII-Threshold Criteria'!G64</f>
        <v>95592</v>
      </c>
      <c r="H1014" s="3031" t="str">
        <f>'Part VIII-Threshold Criteria'!H64</f>
        <v xml:space="preserve">x 0 units = </v>
      </c>
      <c r="I1014" s="3049">
        <f>'Part VIII-Threshold Criteria'!I64</f>
        <v>0</v>
      </c>
      <c r="J1014" s="521"/>
      <c r="K1014" s="3047">
        <f>'Part VIII-Threshold Criteria'!K64</f>
        <v>0</v>
      </c>
      <c r="L1014" s="3048">
        <f>'Part VIII-Threshold Criteria'!L64</f>
        <v>105151</v>
      </c>
      <c r="M1014" s="3031" t="str">
        <f>'Part VIII-Threshold Criteria'!M64</f>
        <v xml:space="preserve">x 0 units = </v>
      </c>
      <c r="N1014" s="3049">
        <f>'Part VIII-Threshold Criteria'!N64</f>
        <v>0</v>
      </c>
      <c r="O1014" s="2967"/>
      <c r="P1014" s="2894" t="s">
        <v>2917</v>
      </c>
      <c r="Q1014" s="2894"/>
    </row>
    <row r="1015" spans="1:17">
      <c r="C1015" s="521"/>
      <c r="D1015" s="3046" t="s">
        <v>2560</v>
      </c>
      <c r="E1015" s="3028">
        <v>1</v>
      </c>
      <c r="F1015" s="3047">
        <f>'Part VIII-Threshold Criteria'!F65</f>
        <v>0</v>
      </c>
      <c r="G1015" s="3048">
        <f>'Part VIII-Threshold Criteria'!G65</f>
        <v>133829</v>
      </c>
      <c r="H1015" s="3031" t="str">
        <f>'Part VIII-Threshold Criteria'!H65</f>
        <v xml:space="preserve">x 0 units = </v>
      </c>
      <c r="I1015" s="3049">
        <f>'Part VIII-Threshold Criteria'!I65</f>
        <v>0</v>
      </c>
      <c r="J1015" s="521"/>
      <c r="K1015" s="3047">
        <f>'Part VIII-Threshold Criteria'!K65</f>
        <v>0</v>
      </c>
      <c r="L1015" s="3048">
        <f>'Part VIII-Threshold Criteria'!L65</f>
        <v>147211</v>
      </c>
      <c r="M1015" s="3031" t="str">
        <f>'Part VIII-Threshold Criteria'!M65</f>
        <v xml:space="preserve">x 0 units = </v>
      </c>
      <c r="N1015" s="3049">
        <f>'Part VIII-Threshold Criteria'!N65</f>
        <v>0</v>
      </c>
      <c r="O1015" s="2967"/>
      <c r="P1015" s="2894"/>
      <c r="Q1015" s="2894"/>
    </row>
    <row r="1016" spans="1:17">
      <c r="C1016" s="521"/>
      <c r="D1016" s="3046" t="s">
        <v>2561</v>
      </c>
      <c r="E1016" s="3028">
        <v>2</v>
      </c>
      <c r="F1016" s="3047">
        <f>'Part VIII-Threshold Criteria'!F66</f>
        <v>0</v>
      </c>
      <c r="G1016" s="3048">
        <f>'Part VIII-Threshold Criteria'!G66</f>
        <v>172066</v>
      </c>
      <c r="H1016" s="3031" t="str">
        <f>'Part VIII-Threshold Criteria'!H66</f>
        <v xml:space="preserve">x 0 units = </v>
      </c>
      <c r="I1016" s="3049">
        <f>'Part VIII-Threshold Criteria'!I66</f>
        <v>0</v>
      </c>
      <c r="J1016" s="521"/>
      <c r="K1016" s="3047">
        <f>'Part VIII-Threshold Criteria'!K66</f>
        <v>0</v>
      </c>
      <c r="L1016" s="3048">
        <f>'Part VIII-Threshold Criteria'!L66</f>
        <v>189272</v>
      </c>
      <c r="M1016" s="3031" t="str">
        <f>'Part VIII-Threshold Criteria'!M66</f>
        <v xml:space="preserve">x 0 units = </v>
      </c>
      <c r="N1016" s="3049">
        <f>'Part VIII-Threshold Criteria'!N66</f>
        <v>0</v>
      </c>
      <c r="P1016" s="2894"/>
      <c r="Q1016" s="2894"/>
    </row>
    <row r="1017" spans="1:17">
      <c r="C1017" s="521"/>
      <c r="D1017" s="3046" t="s">
        <v>2562</v>
      </c>
      <c r="E1017" s="3028">
        <v>3</v>
      </c>
      <c r="F1017" s="3047">
        <f>'Part VIII-Threshold Criteria'!F67</f>
        <v>0</v>
      </c>
      <c r="G1017" s="3048">
        <f>'Part VIII-Threshold Criteria'!G67</f>
        <v>229421</v>
      </c>
      <c r="H1017" s="3031" t="str">
        <f>'Part VIII-Threshold Criteria'!H67</f>
        <v xml:space="preserve">x 0 units = </v>
      </c>
      <c r="I1017" s="3049">
        <f>'Part VIII-Threshold Criteria'!I67</f>
        <v>0</v>
      </c>
      <c r="J1017" s="521"/>
      <c r="K1017" s="3047">
        <f>'Part VIII-Threshold Criteria'!K67</f>
        <v>0</v>
      </c>
      <c r="L1017" s="3048">
        <f>'Part VIII-Threshold Criteria'!L67</f>
        <v>252363</v>
      </c>
      <c r="M1017" s="3031" t="str">
        <f>'Part VIII-Threshold Criteria'!M67</f>
        <v xml:space="preserve">x 0 units = </v>
      </c>
      <c r="N1017" s="3049">
        <f>'Part VIII-Threshold Criteria'!N67</f>
        <v>0</v>
      </c>
      <c r="P1017" s="2894"/>
      <c r="Q1017" s="2894"/>
    </row>
    <row r="1018" spans="1:17">
      <c r="C1018" s="521"/>
      <c r="D1018" s="3046" t="s">
        <v>2563</v>
      </c>
      <c r="E1018" s="3028">
        <v>4</v>
      </c>
      <c r="F1018" s="3047">
        <f>'Part VIII-Threshold Criteria'!F68</f>
        <v>0</v>
      </c>
      <c r="G1018" s="3048">
        <f>'Part VIII-Threshold Criteria'!G68</f>
        <v>286776</v>
      </c>
      <c r="H1018" s="3031" t="str">
        <f>'Part VIII-Threshold Criteria'!H68</f>
        <v xml:space="preserve">x 0 units = </v>
      </c>
      <c r="I1018" s="3049">
        <f>'Part VIII-Threshold Criteria'!I68</f>
        <v>0</v>
      </c>
      <c r="J1018" s="521"/>
      <c r="K1018" s="3047">
        <f>'Part VIII-Threshold Criteria'!K68</f>
        <v>0</v>
      </c>
      <c r="L1018" s="3048">
        <f>'Part VIII-Threshold Criteria'!L68</f>
        <v>315453</v>
      </c>
      <c r="M1018" s="3031" t="str">
        <f>'Part VIII-Threshold Criteria'!M68</f>
        <v xml:space="preserve">x 0 units = </v>
      </c>
      <c r="N1018" s="3049">
        <f>'Part VIII-Threshold Criteria'!N68</f>
        <v>0</v>
      </c>
      <c r="O1018" s="2967"/>
      <c r="P1018" s="2894"/>
      <c r="Q1018" s="2894"/>
    </row>
    <row r="1019" spans="1:17">
      <c r="C1019" s="521"/>
      <c r="D1019" s="3052" t="s">
        <v>3825</v>
      </c>
      <c r="E1019" s="521"/>
      <c r="F1019" s="3053">
        <f>SUM(F1014:F1018)</f>
        <v>0</v>
      </c>
      <c r="G1019" s="3054"/>
      <c r="H1019" s="3055"/>
      <c r="I1019" s="3056">
        <f>SUM(I1014:I1018)</f>
        <v>0</v>
      </c>
      <c r="J1019" s="3057"/>
      <c r="K1019" s="3053">
        <f>SUM(K1014:K1018)</f>
        <v>0</v>
      </c>
      <c r="L1019" s="3057"/>
      <c r="M1019" s="3055"/>
      <c r="N1019" s="3056">
        <f>SUM(N1014:N1018)</f>
        <v>0</v>
      </c>
      <c r="O1019" s="2967"/>
    </row>
    <row r="1020" spans="1:17">
      <c r="C1020" s="521"/>
      <c r="D1020" s="521"/>
      <c r="E1020" s="2916"/>
      <c r="F1020" s="521"/>
      <c r="G1020" s="522"/>
      <c r="H1020" s="3063"/>
      <c r="I1020" s="3063"/>
      <c r="J1020" s="3063"/>
      <c r="K1020" s="3063"/>
      <c r="L1020" s="3063"/>
      <c r="M1020" s="3063"/>
      <c r="N1020" s="2970"/>
      <c r="O1020" s="2967"/>
    </row>
    <row r="1021" spans="1:17" ht="13.5">
      <c r="A1021" s="3064" t="s">
        <v>3826</v>
      </c>
      <c r="B1021" s="521"/>
      <c r="C1021" s="521"/>
      <c r="D1021" s="521"/>
      <c r="E1021" s="525"/>
      <c r="F1021" s="3065">
        <f>F998+F1005+F1012+F1019</f>
        <v>42</v>
      </c>
      <c r="G1021" s="2784"/>
      <c r="H1021" s="3066"/>
      <c r="I1021" s="3065">
        <f>I998+I1005+I1012+I1019</f>
        <v>7317720</v>
      </c>
      <c r="J1021" s="3066"/>
      <c r="K1021" s="3065">
        <f>K998+K1005+K1012+K1019</f>
        <v>0</v>
      </c>
      <c r="L1021" s="3066"/>
      <c r="M1021" s="3066"/>
      <c r="N1021" s="3065">
        <f>N998+N1005+N1012+N1019</f>
        <v>0</v>
      </c>
      <c r="O1021" s="2967"/>
    </row>
    <row r="1022" spans="1:17">
      <c r="B1022" s="3067" t="s">
        <v>1958</v>
      </c>
      <c r="D1022" s="3067"/>
      <c r="E1022" s="3067"/>
      <c r="F1022" s="3067"/>
      <c r="G1022" s="3067"/>
      <c r="H1022" s="3031"/>
      <c r="I1022" s="3028"/>
      <c r="J1022" s="3028"/>
      <c r="K1022" s="3034" t="s">
        <v>1959</v>
      </c>
      <c r="L1022" s="2927"/>
      <c r="M1022" s="2927"/>
      <c r="N1022" s="2927"/>
      <c r="O1022" s="2927"/>
      <c r="P1022" s="2927"/>
      <c r="Q1022" s="2927"/>
    </row>
    <row r="1023" spans="1:17">
      <c r="A1023" s="2969" t="str">
        <f>'Part VIII-Threshold Criteria'!A73</f>
        <v>Total development cost is less than the DCA cost limit for the property.</v>
      </c>
      <c r="B1023" s="2969"/>
      <c r="C1023" s="2969"/>
      <c r="D1023" s="2969"/>
      <c r="E1023" s="2969"/>
      <c r="F1023" s="2969"/>
      <c r="G1023" s="2969"/>
      <c r="H1023" s="2969"/>
      <c r="I1023" s="2969"/>
      <c r="J1023" s="2969"/>
      <c r="K1023" s="2969">
        <f>'Part VIII-Threshold Criteria'!K73</f>
        <v>0</v>
      </c>
      <c r="L1023" s="2969"/>
      <c r="M1023" s="2969"/>
      <c r="N1023" s="2969"/>
      <c r="O1023" s="2969"/>
      <c r="P1023" s="2969"/>
      <c r="Q1023" s="2969"/>
    </row>
    <row r="1024" spans="1:17">
      <c r="B1024" s="3028"/>
      <c r="C1024" s="3036"/>
      <c r="D1024" s="3036"/>
      <c r="E1024" s="3036"/>
      <c r="F1024" s="3036"/>
      <c r="G1024" s="3036"/>
      <c r="H1024" s="3036"/>
      <c r="I1024" s="3036"/>
      <c r="J1024" s="3036"/>
      <c r="K1024" s="3036"/>
      <c r="L1024" s="3036"/>
      <c r="M1024" s="3036"/>
      <c r="N1024" s="3036"/>
      <c r="O1024" s="3036"/>
      <c r="P1024" s="3036"/>
      <c r="Q1024" s="2927"/>
    </row>
    <row r="1025" spans="1:17">
      <c r="A1025" s="2906">
        <v>3</v>
      </c>
      <c r="B1025" s="524" t="s">
        <v>1246</v>
      </c>
      <c r="C1025" s="524"/>
      <c r="D1025" s="524"/>
      <c r="E1025" s="3036"/>
      <c r="F1025" s="3036"/>
      <c r="G1025" s="3068" t="s">
        <v>101</v>
      </c>
      <c r="H1025" s="3036"/>
      <c r="K1025" s="3039" t="str">
        <f>'Part I-Project Information'!$H$67</f>
        <v>Family</v>
      </c>
      <c r="L1025" s="3039"/>
      <c r="M1025" s="3039"/>
      <c r="O1025" s="3029" t="s">
        <v>1960</v>
      </c>
      <c r="P1025" s="2933">
        <f>'Part VIII-Threshold Criteria'!P75</f>
        <v>0</v>
      </c>
      <c r="Q1025" s="2933"/>
    </row>
    <row r="1026" spans="1:17">
      <c r="B1026" s="3067" t="s">
        <v>1958</v>
      </c>
      <c r="D1026" s="3067"/>
      <c r="E1026" s="3067"/>
      <c r="F1026" s="3067"/>
      <c r="G1026" s="3067"/>
      <c r="H1026" s="3031"/>
      <c r="I1026" s="3028"/>
      <c r="J1026" s="3028"/>
      <c r="K1026" s="3034" t="s">
        <v>1959</v>
      </c>
      <c r="L1026" s="2927"/>
      <c r="M1026" s="2927"/>
      <c r="N1026" s="2927"/>
      <c r="O1026" s="2927"/>
      <c r="P1026" s="2927"/>
      <c r="Q1026" s="2927"/>
    </row>
    <row r="1027" spans="1:17">
      <c r="A1027" s="2969" t="str">
        <f>'Part VIII-Threshold Criteria'!A77</f>
        <v>Applicant will operate the property following the Guidelines for Family tenancy.</v>
      </c>
      <c r="B1027" s="2969"/>
      <c r="C1027" s="2969"/>
      <c r="D1027" s="2969"/>
      <c r="E1027" s="2969"/>
      <c r="F1027" s="2969"/>
      <c r="G1027" s="2969"/>
      <c r="H1027" s="2969"/>
      <c r="I1027" s="2969"/>
      <c r="J1027" s="2969"/>
      <c r="K1027" s="2969">
        <f>'Part VIII-Threshold Criteria'!K77</f>
        <v>0</v>
      </c>
      <c r="L1027" s="2969"/>
      <c r="M1027" s="2969"/>
      <c r="N1027" s="2969"/>
      <c r="O1027" s="2969"/>
      <c r="P1027" s="2969"/>
      <c r="Q1027" s="2969"/>
    </row>
    <row r="1028" spans="1:17">
      <c r="A1028" s="2927"/>
      <c r="B1028" s="3028"/>
      <c r="C1028" s="3036"/>
      <c r="D1028" s="3036"/>
      <c r="E1028" s="3036"/>
      <c r="F1028" s="3036"/>
      <c r="G1028" s="3036"/>
      <c r="H1028" s="3036"/>
      <c r="I1028" s="3036"/>
      <c r="J1028" s="3036"/>
      <c r="K1028" s="3036"/>
      <c r="L1028" s="3036"/>
      <c r="M1028" s="3036"/>
      <c r="N1028" s="3036"/>
      <c r="O1028" s="3036"/>
      <c r="P1028" s="3036"/>
      <c r="Q1028" s="2927"/>
    </row>
    <row r="1029" spans="1:17">
      <c r="A1029" s="2906">
        <v>4</v>
      </c>
      <c r="B1029" s="2906" t="s">
        <v>2789</v>
      </c>
      <c r="C1029" s="3064"/>
      <c r="D1029" s="3036"/>
      <c r="E1029" s="3036"/>
      <c r="F1029" s="3036"/>
      <c r="G1029" s="3036"/>
      <c r="H1029" s="3036"/>
      <c r="I1029" s="3036"/>
      <c r="J1029" s="3036"/>
      <c r="K1029" s="3036"/>
      <c r="L1029" s="3036"/>
      <c r="M1029" s="3036"/>
      <c r="O1029" s="3029" t="s">
        <v>1960</v>
      </c>
      <c r="P1029" s="2933">
        <f>'Part VIII-Threshold Criteria'!P79</f>
        <v>0</v>
      </c>
      <c r="Q1029" s="2933"/>
    </row>
    <row r="1031" spans="1:17">
      <c r="B1031" s="3069" t="s">
        <v>2080</v>
      </c>
      <c r="C1031" s="2969" t="s">
        <v>4612</v>
      </c>
      <c r="D1031" s="2969"/>
      <c r="E1031" s="2969"/>
      <c r="F1031" s="2969"/>
      <c r="G1031" s="2969"/>
      <c r="H1031" s="2969"/>
      <c r="I1031" s="2969"/>
      <c r="J1031" s="2969"/>
      <c r="K1031" s="2969"/>
      <c r="L1031" s="2969"/>
      <c r="M1031" s="2969"/>
      <c r="O1031" s="3070"/>
      <c r="P1031" s="3032" t="str">
        <f>'Part VIII-Threshold Criteria'!P81</f>
        <v>Agree</v>
      </c>
    </row>
    <row r="1032" spans="1:17">
      <c r="B1032" s="3064" t="s">
        <v>2083</v>
      </c>
      <c r="C1032" s="3031" t="s">
        <v>2893</v>
      </c>
      <c r="D1032" s="3031"/>
      <c r="E1032" s="3031"/>
      <c r="F1032" s="3031"/>
      <c r="G1032" s="3031"/>
      <c r="H1032" s="3031"/>
      <c r="I1032" s="3031"/>
      <c r="J1032" s="3031"/>
      <c r="K1032" s="3031"/>
      <c r="L1032" s="3031"/>
      <c r="M1032" s="3031"/>
      <c r="O1032" s="3031"/>
      <c r="P1032" s="3031"/>
      <c r="Q1032" s="3031"/>
    </row>
    <row r="1033" spans="1:17">
      <c r="A1033" s="3071"/>
      <c r="B1033" s="3003" t="s">
        <v>1824</v>
      </c>
      <c r="C1033" s="3031" t="s">
        <v>4225</v>
      </c>
      <c r="E1033" s="2958"/>
      <c r="F1033" s="2958"/>
      <c r="G1033" s="2958"/>
      <c r="H1033" s="521"/>
      <c r="I1033" s="522" t="s">
        <v>2874</v>
      </c>
      <c r="J1033" s="3072" t="str">
        <f>'Part VIII-Threshold Criteria'!J83</f>
        <v>semi-monthly social, holiday, birthday and/or recreational programs overseen by project manager</v>
      </c>
      <c r="K1033" s="3072"/>
      <c r="L1033" s="3072"/>
      <c r="M1033" s="3072"/>
      <c r="N1033" s="3072"/>
      <c r="O1033" s="3072"/>
      <c r="P1033" s="3072"/>
      <c r="Q1033" s="3072"/>
    </row>
    <row r="1034" spans="1:17">
      <c r="A1034" s="3071"/>
      <c r="B1034" s="3003" t="s">
        <v>1825</v>
      </c>
      <c r="C1034" s="3031" t="s">
        <v>1898</v>
      </c>
      <c r="E1034" s="2958"/>
      <c r="F1034" s="2958"/>
      <c r="G1034" s="2958"/>
      <c r="H1034" s="521"/>
      <c r="I1034" s="522" t="s">
        <v>2874</v>
      </c>
      <c r="J1034" s="3072">
        <f>'Part VIII-Threshold Criteria'!J84</f>
        <v>0</v>
      </c>
      <c r="K1034" s="3072"/>
      <c r="L1034" s="3072"/>
      <c r="M1034" s="3072"/>
      <c r="N1034" s="3072"/>
      <c r="O1034" s="3072"/>
      <c r="P1034" s="3072"/>
      <c r="Q1034" s="3072"/>
    </row>
    <row r="1035" spans="1:17">
      <c r="A1035" s="3071"/>
      <c r="B1035" s="3003" t="s">
        <v>1826</v>
      </c>
      <c r="C1035" s="3031" t="s">
        <v>3829</v>
      </c>
      <c r="E1035" s="2958"/>
      <c r="F1035" s="2958"/>
      <c r="G1035" s="2958"/>
      <c r="H1035" s="521"/>
      <c r="I1035" s="522" t="s">
        <v>2874</v>
      </c>
      <c r="J1035" s="3072">
        <f>'Part VIII-Threshold Criteria'!J85</f>
        <v>0</v>
      </c>
      <c r="K1035" s="3072"/>
      <c r="L1035" s="3072"/>
      <c r="M1035" s="3072"/>
      <c r="N1035" s="3072"/>
      <c r="O1035" s="3072"/>
      <c r="P1035" s="3072"/>
      <c r="Q1035" s="3072"/>
    </row>
    <row r="1036" spans="1:17">
      <c r="A1036" s="3071"/>
      <c r="B1036" s="3003" t="s">
        <v>2476</v>
      </c>
      <c r="C1036" s="3031" t="s">
        <v>3830</v>
      </c>
      <c r="E1036" s="2958"/>
      <c r="I1036" s="522" t="s">
        <v>2874</v>
      </c>
      <c r="J1036" s="3072">
        <f>'Part VIII-Threshold Criteria'!J86</f>
        <v>0</v>
      </c>
      <c r="K1036" s="3072"/>
      <c r="L1036" s="3072"/>
      <c r="M1036" s="3072"/>
      <c r="N1036" s="3072"/>
      <c r="O1036" s="3072"/>
      <c r="P1036" s="3072"/>
      <c r="Q1036" s="3072"/>
    </row>
    <row r="1037" spans="1:17">
      <c r="A1037" s="3071"/>
      <c r="B1037" s="3064" t="s">
        <v>788</v>
      </c>
      <c r="C1037" s="3031" t="s">
        <v>4170</v>
      </c>
      <c r="D1037" s="3031"/>
      <c r="E1037" s="2958"/>
      <c r="J1037" s="522"/>
      <c r="K1037" s="522"/>
      <c r="L1037" s="522"/>
      <c r="M1037" s="522"/>
      <c r="N1037" s="522"/>
      <c r="O1037" s="522"/>
      <c r="P1037" s="522"/>
      <c r="Q1037" s="522"/>
    </row>
    <row r="1038" spans="1:17">
      <c r="A1038" s="3071"/>
      <c r="B1038" s="3033"/>
      <c r="C1038" s="505" t="s">
        <v>4226</v>
      </c>
      <c r="D1038" s="2961"/>
      <c r="E1038" s="2961"/>
      <c r="F1038" s="2961"/>
      <c r="G1038" s="2961"/>
      <c r="H1038" s="2961"/>
      <c r="I1038" s="521"/>
      <c r="J1038" s="521"/>
      <c r="K1038" s="3003" t="s">
        <v>788</v>
      </c>
      <c r="L1038" s="3073" t="str">
        <f>'Part VIII-Threshold Criteria'!L88</f>
        <v>N/A</v>
      </c>
      <c r="M1038" s="3073"/>
      <c r="N1038" s="3073"/>
      <c r="O1038" s="3073"/>
      <c r="P1038" s="3073"/>
      <c r="Q1038" s="3032">
        <f>'Part VIII-Threshold Criteria'!Q88</f>
        <v>0</v>
      </c>
    </row>
    <row r="1039" spans="1:17">
      <c r="B1039" s="3067" t="s">
        <v>1958</v>
      </c>
      <c r="D1039" s="3067"/>
      <c r="E1039" s="3067"/>
      <c r="F1039" s="3067"/>
      <c r="G1039" s="3067"/>
      <c r="H1039" s="3031"/>
      <c r="I1039" s="3028"/>
      <c r="J1039" s="3028"/>
      <c r="K1039" s="3034" t="s">
        <v>1959</v>
      </c>
      <c r="L1039" s="2927"/>
      <c r="M1039" s="2927"/>
      <c r="N1039" s="2927"/>
      <c r="O1039" s="2927"/>
      <c r="P1039" s="2927"/>
      <c r="Q1039" s="2927"/>
    </row>
    <row r="1040" spans="1:17">
      <c r="A1040" s="2969" t="str">
        <f>'Part VIII-Threshold Criteria'!A90</f>
        <v xml:space="preserve">Applicant agrees to provide the required services according to the 2015 QAP. </v>
      </c>
      <c r="B1040" s="2969"/>
      <c r="C1040" s="2969"/>
      <c r="D1040" s="2969"/>
      <c r="E1040" s="2969"/>
      <c r="F1040" s="2969"/>
      <c r="G1040" s="2969"/>
      <c r="H1040" s="2969"/>
      <c r="I1040" s="2969"/>
      <c r="J1040" s="2969"/>
      <c r="K1040" s="2969">
        <f>'Part VIII-Threshold Criteria'!K90</f>
        <v>0</v>
      </c>
      <c r="L1040" s="2969"/>
      <c r="M1040" s="2969"/>
      <c r="N1040" s="2969"/>
      <c r="O1040" s="2969"/>
      <c r="P1040" s="2969"/>
      <c r="Q1040" s="2969"/>
    </row>
    <row r="1041" spans="1:17">
      <c r="A1041" s="2927"/>
      <c r="B1041" s="3028"/>
      <c r="C1041" s="3036"/>
      <c r="D1041" s="3036"/>
      <c r="E1041" s="3036"/>
      <c r="F1041" s="3036"/>
      <c r="G1041" s="3036"/>
      <c r="H1041" s="3036"/>
      <c r="I1041" s="3036"/>
      <c r="J1041" s="3036"/>
      <c r="K1041" s="3036"/>
      <c r="L1041" s="3036"/>
      <c r="M1041" s="3036"/>
      <c r="N1041" s="3036"/>
      <c r="O1041" s="3036"/>
      <c r="P1041" s="3036"/>
      <c r="Q1041" s="2927"/>
    </row>
    <row r="1042" spans="1:17">
      <c r="A1042" s="2906">
        <v>5</v>
      </c>
      <c r="B1042" s="2906" t="s">
        <v>2790</v>
      </c>
      <c r="C1042" s="2906"/>
      <c r="D1042" s="3036"/>
      <c r="E1042" s="3036"/>
      <c r="F1042" s="3036"/>
      <c r="G1042" s="3036"/>
      <c r="H1042" s="3036"/>
      <c r="I1042" s="3036"/>
      <c r="J1042" s="3036"/>
      <c r="K1042" s="3036"/>
      <c r="O1042" s="3029" t="s">
        <v>1960</v>
      </c>
      <c r="P1042" s="2933">
        <f>'Part VIII-Threshold Criteria'!P92</f>
        <v>0</v>
      </c>
      <c r="Q1042" s="2933"/>
    </row>
    <row r="1044" spans="1:17">
      <c r="B1044" s="3033" t="s">
        <v>2080</v>
      </c>
      <c r="C1044" s="505" t="s">
        <v>2580</v>
      </c>
      <c r="D1044" s="2961"/>
      <c r="E1044" s="2961"/>
      <c r="F1044" s="2961"/>
      <c r="G1044" s="2961"/>
      <c r="H1044" s="2961"/>
      <c r="I1044" s="521"/>
      <c r="J1044" s="521"/>
      <c r="K1044" s="521"/>
      <c r="L1044" s="3003" t="s">
        <v>2080</v>
      </c>
      <c r="M1044" s="3073" t="str">
        <f>'Part VIII-Threshold Criteria'!M94</f>
        <v>Gill Group</v>
      </c>
      <c r="N1044" s="3073"/>
      <c r="O1044" s="3073"/>
      <c r="P1044" s="3074"/>
      <c r="Q1044" s="3032">
        <f>'Part VIII-Threshold Criteria'!Q94</f>
        <v>0</v>
      </c>
    </row>
    <row r="1045" spans="1:17">
      <c r="B1045" s="3033" t="s">
        <v>2083</v>
      </c>
      <c r="C1045" s="522" t="s">
        <v>2135</v>
      </c>
      <c r="D1045" s="2961"/>
      <c r="E1045" s="2961"/>
      <c r="F1045" s="2961"/>
      <c r="L1045" s="3003" t="s">
        <v>2083</v>
      </c>
      <c r="M1045" s="3073" t="str">
        <f>'Part VIII-Threshold Criteria'!M95</f>
        <v>0 mo. - will be fully occupied upon completion</v>
      </c>
      <c r="N1045" s="3073"/>
      <c r="O1045" s="3073"/>
      <c r="P1045" s="3074"/>
      <c r="Q1045" s="3032">
        <f>'Part VIII-Threshold Criteria'!Q95</f>
        <v>0</v>
      </c>
    </row>
    <row r="1046" spans="1:17">
      <c r="B1046" s="3033" t="s">
        <v>788</v>
      </c>
      <c r="C1046" s="522" t="s">
        <v>3263</v>
      </c>
      <c r="D1046" s="2961"/>
      <c r="E1046" s="2961"/>
      <c r="F1046" s="2961"/>
      <c r="L1046" s="3003" t="s">
        <v>788</v>
      </c>
      <c r="M1046" s="3075">
        <f>'Part VIII-Threshold Criteria'!M96</f>
        <v>0.97899999999999998</v>
      </c>
      <c r="N1046" s="3075"/>
      <c r="O1046" s="3075"/>
      <c r="P1046" s="3076"/>
      <c r="Q1046" s="3032">
        <f>'Part VIII-Threshold Criteria'!Q96</f>
        <v>0</v>
      </c>
    </row>
    <row r="1047" spans="1:17">
      <c r="B1047" s="3033" t="s">
        <v>2215</v>
      </c>
      <c r="C1047" s="522" t="s">
        <v>2581</v>
      </c>
      <c r="D1047" s="2961"/>
      <c r="E1047" s="2961"/>
      <c r="F1047" s="2961"/>
      <c r="L1047" s="3003" t="s">
        <v>2215</v>
      </c>
      <c r="M1047" s="3075">
        <f>'Part VIII-Threshold Criteria'!M97</f>
        <v>1.9E-2</v>
      </c>
      <c r="N1047" s="3075"/>
      <c r="O1047" s="3075"/>
      <c r="P1047" s="3076"/>
      <c r="Q1047" s="3032">
        <f>'Part VIII-Threshold Criteria'!Q97</f>
        <v>0</v>
      </c>
    </row>
    <row r="1048" spans="1:17">
      <c r="B1048" s="3030" t="s">
        <v>1822</v>
      </c>
      <c r="C1048" s="2969" t="s">
        <v>4075</v>
      </c>
      <c r="D1048" s="2969"/>
      <c r="E1048" s="2969"/>
      <c r="F1048" s="2969"/>
      <c r="G1048" s="2969"/>
      <c r="H1048" s="2969"/>
      <c r="I1048" s="2969"/>
      <c r="J1048" s="2969"/>
      <c r="K1048" s="2969"/>
      <c r="L1048" s="2969"/>
      <c r="M1048" s="2969"/>
      <c r="N1048" s="2969"/>
      <c r="O1048" s="2969"/>
      <c r="P1048" s="2969"/>
      <c r="Q1048" s="2969"/>
    </row>
    <row r="1049" spans="1:17">
      <c r="B1049" s="3033"/>
      <c r="C1049" s="522"/>
      <c r="D1049" s="3028" t="s">
        <v>2491</v>
      </c>
      <c r="E1049" s="3031" t="s">
        <v>647</v>
      </c>
      <c r="F1049" s="3031"/>
      <c r="H1049" s="522"/>
      <c r="I1049" s="3028" t="s">
        <v>2491</v>
      </c>
      <c r="J1049" s="3031" t="s">
        <v>647</v>
      </c>
      <c r="K1049" s="3031"/>
      <c r="M1049" s="522"/>
      <c r="N1049" s="3028" t="s">
        <v>2491</v>
      </c>
      <c r="O1049" s="3031" t="s">
        <v>647</v>
      </c>
      <c r="P1049" s="3031"/>
      <c r="Q1049" s="3003"/>
    </row>
    <row r="1050" spans="1:17">
      <c r="B1050" s="3033"/>
      <c r="C1050" s="522">
        <v>1</v>
      </c>
      <c r="D1050" s="3032">
        <f>'Part VIII-Threshold Criteria'!D100</f>
        <v>0</v>
      </c>
      <c r="E1050" s="3073" t="str">
        <f>'Part VIII-Threshold Criteria'!E100</f>
        <v>none</v>
      </c>
      <c r="F1050" s="3073"/>
      <c r="G1050" s="3073"/>
      <c r="H1050" s="522">
        <v>3</v>
      </c>
      <c r="I1050" s="3032">
        <f>'Part VIII-Threshold Criteria'!I100</f>
        <v>0</v>
      </c>
      <c r="J1050" s="3073">
        <f>'Part VIII-Threshold Criteria'!J100</f>
        <v>0</v>
      </c>
      <c r="K1050" s="3073"/>
      <c r="L1050" s="3073"/>
      <c r="M1050" s="522">
        <v>5</v>
      </c>
      <c r="N1050" s="3032">
        <f>'Part VIII-Threshold Criteria'!N100</f>
        <v>0</v>
      </c>
      <c r="O1050" s="3073">
        <f>'Part VIII-Threshold Criteria'!O100</f>
        <v>0</v>
      </c>
      <c r="P1050" s="3073"/>
      <c r="Q1050" s="3073"/>
    </row>
    <row r="1051" spans="1:17">
      <c r="B1051" s="3033"/>
      <c r="C1051" s="522">
        <v>2</v>
      </c>
      <c r="D1051" s="3032">
        <f>'Part VIII-Threshold Criteria'!D101</f>
        <v>0</v>
      </c>
      <c r="E1051" s="3073">
        <f>'Part VIII-Threshold Criteria'!E101</f>
        <v>0</v>
      </c>
      <c r="F1051" s="3073"/>
      <c r="G1051" s="3073"/>
      <c r="H1051" s="522">
        <v>4</v>
      </c>
      <c r="I1051" s="3032">
        <f>'Part VIII-Threshold Criteria'!I101</f>
        <v>0</v>
      </c>
      <c r="J1051" s="3073">
        <f>'Part VIII-Threshold Criteria'!J101</f>
        <v>0</v>
      </c>
      <c r="K1051" s="3073"/>
      <c r="L1051" s="3073"/>
      <c r="M1051" s="522">
        <v>6</v>
      </c>
      <c r="N1051" s="3032">
        <f>'Part VIII-Threshold Criteria'!N101</f>
        <v>0</v>
      </c>
      <c r="O1051" s="3073">
        <f>'Part VIII-Threshold Criteria'!O101</f>
        <v>0</v>
      </c>
      <c r="P1051" s="3073"/>
      <c r="Q1051" s="3073"/>
    </row>
    <row r="1052" spans="1:17">
      <c r="B1052" s="3033" t="s">
        <v>1823</v>
      </c>
      <c r="C1052" s="522" t="s">
        <v>0</v>
      </c>
      <c r="D1052" s="2961"/>
      <c r="E1052" s="2961"/>
      <c r="F1052" s="2961"/>
      <c r="G1052" s="2961"/>
      <c r="H1052" s="2961"/>
      <c r="I1052" s="521"/>
      <c r="J1052" s="521"/>
      <c r="K1052" s="2961"/>
      <c r="L1052" s="2958"/>
      <c r="M1052" s="2958"/>
      <c r="O1052" s="3003" t="s">
        <v>1823</v>
      </c>
      <c r="P1052" s="3032">
        <f>'Part VIII-Threshold Criteria'!P102</f>
        <v>0</v>
      </c>
      <c r="Q1052" s="3032">
        <f>'Part VIII-Threshold Criteria'!Q102</f>
        <v>0</v>
      </c>
    </row>
    <row r="1053" spans="1:17">
      <c r="B1053" s="3067" t="s">
        <v>1958</v>
      </c>
      <c r="D1053" s="3067"/>
      <c r="E1053" s="3067"/>
      <c r="F1053" s="3067"/>
      <c r="G1053" s="3067"/>
      <c r="H1053" s="3031"/>
      <c r="I1053" s="3028"/>
      <c r="J1053" s="3028"/>
      <c r="K1053" s="3028"/>
      <c r="L1053" s="2927"/>
      <c r="M1053" s="2927"/>
      <c r="N1053" s="2927"/>
      <c r="O1053" s="2927"/>
      <c r="P1053" s="2927"/>
      <c r="Q1053" s="2927"/>
    </row>
    <row r="1054" spans="1:17">
      <c r="A1054" s="2969" t="str">
        <f>'Part VIII-Threshold Criteria'!A104</f>
        <v>There has been no LIHTC projects awarded in Lowndes County in over 5 years.  Market Survey meets all of DCA's threshold requirements. The subject maintains a stabilized occupancy rate and does not need to absorb any additional units.  Due to phasing of the rehab, stablized occcupancy should be achieved at construction completion.</v>
      </c>
      <c r="B1054" s="2969"/>
      <c r="C1054" s="2969"/>
      <c r="D1054" s="2969"/>
      <c r="E1054" s="2969"/>
      <c r="F1054" s="2969"/>
      <c r="G1054" s="2969"/>
      <c r="H1054" s="2969"/>
      <c r="I1054" s="2969"/>
      <c r="J1054" s="2969"/>
      <c r="K1054" s="2969"/>
      <c r="L1054" s="2969"/>
      <c r="M1054" s="2969"/>
      <c r="N1054" s="2969"/>
      <c r="O1054" s="2969"/>
      <c r="P1054" s="2969"/>
      <c r="Q1054" s="2969"/>
    </row>
    <row r="1055" spans="1:17">
      <c r="B1055" s="3034" t="s">
        <v>1959</v>
      </c>
      <c r="C1055" s="3035"/>
      <c r="D1055" s="3036"/>
      <c r="E1055" s="3036"/>
      <c r="F1055" s="3036"/>
      <c r="G1055" s="3036"/>
      <c r="H1055" s="3036"/>
      <c r="I1055" s="3036"/>
      <c r="J1055" s="3036"/>
      <c r="K1055" s="3036"/>
      <c r="L1055" s="3036"/>
      <c r="M1055" s="3036"/>
      <c r="N1055" s="3036"/>
      <c r="O1055" s="3036"/>
      <c r="P1055" s="3036"/>
    </row>
    <row r="1056" spans="1:17">
      <c r="A1056" s="2969">
        <f>'Part VIII-Threshold Criteria'!A106</f>
        <v>0</v>
      </c>
      <c r="B1056" s="2969"/>
      <c r="C1056" s="2969"/>
      <c r="D1056" s="2969"/>
      <c r="E1056" s="2969"/>
      <c r="F1056" s="2969"/>
      <c r="G1056" s="2969"/>
      <c r="H1056" s="2969"/>
      <c r="I1056" s="2969"/>
      <c r="J1056" s="2969"/>
      <c r="K1056" s="2969"/>
      <c r="L1056" s="2969"/>
      <c r="M1056" s="2969"/>
      <c r="N1056" s="2969"/>
      <c r="O1056" s="2969"/>
      <c r="P1056" s="2969"/>
      <c r="Q1056" s="2969"/>
    </row>
    <row r="1057" spans="1:17">
      <c r="A1057" s="2906">
        <v>6</v>
      </c>
      <c r="B1057" s="2906" t="s">
        <v>2791</v>
      </c>
      <c r="C1057" s="2906"/>
      <c r="D1057" s="3036"/>
      <c r="E1057" s="3036"/>
      <c r="F1057" s="3036"/>
      <c r="G1057" s="3036"/>
      <c r="H1057" s="3036"/>
      <c r="I1057" s="3036"/>
      <c r="J1057" s="3036"/>
      <c r="K1057" s="3036"/>
      <c r="L1057" s="3036"/>
      <c r="M1057" s="3036"/>
      <c r="O1057" s="3029" t="s">
        <v>1960</v>
      </c>
      <c r="P1057" s="2933">
        <f>'Part VIII-Threshold Criteria'!P107</f>
        <v>0</v>
      </c>
      <c r="Q1057" s="2933"/>
    </row>
    <row r="1059" spans="1:17">
      <c r="B1059" s="3033" t="s">
        <v>2080</v>
      </c>
      <c r="C1059" s="522" t="s">
        <v>515</v>
      </c>
      <c r="D1059" s="522"/>
      <c r="E1059" s="522"/>
      <c r="F1059" s="522"/>
      <c r="G1059" s="522"/>
      <c r="H1059" s="522"/>
      <c r="I1059" s="522"/>
      <c r="J1059" s="522"/>
      <c r="K1059" s="522"/>
      <c r="L1059" s="522"/>
      <c r="M1059" s="522"/>
      <c r="O1059" s="3003" t="s">
        <v>2080</v>
      </c>
      <c r="P1059" s="3032" t="str">
        <f>'Part VIII-Threshold Criteria'!P109</f>
        <v>Yes</v>
      </c>
      <c r="Q1059" s="3032">
        <f>'Part VIII-Threshold Criteria'!Q109</f>
        <v>0</v>
      </c>
    </row>
    <row r="1060" spans="1:17">
      <c r="B1060" s="3033" t="s">
        <v>2083</v>
      </c>
      <c r="C1060" s="522" t="s">
        <v>1368</v>
      </c>
      <c r="D1060" s="522"/>
      <c r="E1060" s="522"/>
      <c r="F1060" s="522"/>
      <c r="G1060" s="522"/>
      <c r="H1060" s="522"/>
      <c r="I1060" s="522"/>
      <c r="J1060" s="522"/>
      <c r="K1060" s="522"/>
      <c r="L1060" s="3031"/>
      <c r="M1060" s="3031"/>
      <c r="O1060" s="3003" t="s">
        <v>2083</v>
      </c>
      <c r="P1060" s="3032" t="str">
        <f>'Part VIII-Threshold Criteria'!P110</f>
        <v>Yes</v>
      </c>
      <c r="Q1060" s="3032">
        <f>'Part VIII-Threshold Criteria'!Q110</f>
        <v>0</v>
      </c>
    </row>
    <row r="1061" spans="1:17">
      <c r="A1061" s="3077"/>
      <c r="B1061" s="522"/>
      <c r="D1061" s="522" t="s">
        <v>577</v>
      </c>
      <c r="E1061" s="521"/>
      <c r="F1061" s="521"/>
      <c r="G1061" s="521"/>
      <c r="H1061" s="521"/>
      <c r="I1061" s="521"/>
      <c r="L1061" s="3003" t="s">
        <v>578</v>
      </c>
      <c r="M1061" s="3073" t="str">
        <f>'Part VIII-Threshold Criteria'!M111</f>
        <v>Gill Group</v>
      </c>
      <c r="N1061" s="3073"/>
      <c r="O1061" s="3073"/>
      <c r="P1061" s="3074"/>
      <c r="Q1061" s="3032">
        <f>'Part VIII-Threshold Criteria'!Q111</f>
        <v>0</v>
      </c>
    </row>
    <row r="1062" spans="1:17">
      <c r="A1062" s="3071"/>
      <c r="B1062" s="3028"/>
      <c r="C1062" s="3078" t="s">
        <v>1824</v>
      </c>
      <c r="D1062" s="2957" t="s">
        <v>4171</v>
      </c>
      <c r="E1062" s="3079"/>
      <c r="F1062" s="3079"/>
      <c r="G1062" s="3079"/>
      <c r="H1062" s="3079"/>
      <c r="I1062" s="3079"/>
      <c r="J1062" s="3079"/>
      <c r="K1062" s="3079"/>
      <c r="L1062" s="3079"/>
      <c r="M1062" s="3079"/>
      <c r="N1062" s="3079"/>
      <c r="O1062" s="3078" t="s">
        <v>1824</v>
      </c>
      <c r="P1062" s="3032" t="str">
        <f>'Part VIII-Threshold Criteria'!P112</f>
        <v>Yes</v>
      </c>
      <c r="Q1062" s="3032">
        <f>'Part VIII-Threshold Criteria'!Q112</f>
        <v>0</v>
      </c>
    </row>
    <row r="1063" spans="1:17">
      <c r="A1063" s="3071"/>
      <c r="B1063" s="3028"/>
      <c r="C1063" s="3003" t="s">
        <v>1825</v>
      </c>
      <c r="D1063" s="2957" t="s">
        <v>4172</v>
      </c>
      <c r="E1063" s="3079"/>
      <c r="F1063" s="3079"/>
      <c r="G1063" s="3079"/>
      <c r="H1063" s="3079"/>
      <c r="I1063" s="3079"/>
      <c r="J1063" s="3079"/>
      <c r="K1063" s="3079"/>
      <c r="L1063" s="3079"/>
      <c r="M1063" s="3079"/>
      <c r="N1063" s="3079"/>
      <c r="O1063" s="3003" t="s">
        <v>1825</v>
      </c>
      <c r="P1063" s="3032" t="str">
        <f>'Part VIII-Threshold Criteria'!P113</f>
        <v>Yes</v>
      </c>
      <c r="Q1063" s="3032">
        <f>'Part VIII-Threshold Criteria'!Q113</f>
        <v>0</v>
      </c>
    </row>
    <row r="1064" spans="1:17">
      <c r="A1064" s="3071"/>
      <c r="B1064" s="3028"/>
      <c r="C1064" s="3078" t="s">
        <v>1826</v>
      </c>
      <c r="D1064" s="522" t="s">
        <v>3264</v>
      </c>
      <c r="E1064" s="522"/>
      <c r="F1064" s="522"/>
      <c r="G1064" s="522"/>
      <c r="H1064" s="522"/>
      <c r="I1064" s="522"/>
      <c r="J1064" s="522"/>
      <c r="K1064" s="522"/>
      <c r="L1064" s="522"/>
      <c r="M1064" s="522"/>
      <c r="O1064" s="3078" t="s">
        <v>1826</v>
      </c>
      <c r="P1064" s="3032" t="str">
        <f>'Part VIII-Threshold Criteria'!P114</f>
        <v>Yes</v>
      </c>
      <c r="Q1064" s="3032">
        <f>'Part VIII-Threshold Criteria'!Q114</f>
        <v>0</v>
      </c>
    </row>
    <row r="1065" spans="1:17">
      <c r="A1065" s="3071"/>
      <c r="B1065" s="3080"/>
      <c r="C1065" s="3078" t="s">
        <v>2476</v>
      </c>
      <c r="D1065" s="2969" t="s">
        <v>2845</v>
      </c>
      <c r="E1065" s="2969"/>
      <c r="F1065" s="2969"/>
      <c r="G1065" s="2969"/>
      <c r="H1065" s="2969"/>
      <c r="I1065" s="2969"/>
      <c r="J1065" s="2969"/>
      <c r="K1065" s="2969"/>
      <c r="L1065" s="2969"/>
      <c r="M1065" s="2969"/>
      <c r="N1065" s="2969"/>
      <c r="O1065" s="3078" t="s">
        <v>2476</v>
      </c>
      <c r="P1065" s="3032">
        <f>'Part VIII-Threshold Criteria'!P115</f>
        <v>0</v>
      </c>
      <c r="Q1065" s="3032">
        <f>'Part VIII-Threshold Criteria'!Q115</f>
        <v>0</v>
      </c>
    </row>
    <row r="1066" spans="1:17">
      <c r="B1066" s="3033" t="s">
        <v>788</v>
      </c>
      <c r="C1066" s="522" t="s">
        <v>148</v>
      </c>
      <c r="D1066" s="522"/>
      <c r="E1066" s="522"/>
      <c r="F1066" s="522"/>
      <c r="G1066" s="522"/>
      <c r="H1066" s="522"/>
      <c r="I1066" s="522"/>
      <c r="J1066" s="522"/>
      <c r="K1066" s="522"/>
      <c r="L1066" s="522"/>
      <c r="M1066" s="522"/>
      <c r="O1066" s="3003" t="s">
        <v>788</v>
      </c>
      <c r="P1066" s="3032" t="str">
        <f>'Part VIII-Threshold Criteria'!P116</f>
        <v>No</v>
      </c>
      <c r="Q1066" s="3032">
        <f>'Part VIII-Threshold Criteria'!Q116</f>
        <v>0</v>
      </c>
    </row>
    <row r="1067" spans="1:17">
      <c r="B1067" s="3033" t="s">
        <v>2215</v>
      </c>
      <c r="C1067" s="522" t="s">
        <v>1499</v>
      </c>
      <c r="D1067" s="522"/>
      <c r="E1067" s="522"/>
      <c r="G1067" s="522"/>
      <c r="I1067" s="522"/>
      <c r="K1067" s="522"/>
      <c r="L1067" s="3031"/>
      <c r="M1067" s="3031"/>
      <c r="N1067" s="3031"/>
      <c r="O1067" s="3031"/>
      <c r="P1067" s="3031"/>
      <c r="Q1067" s="3031"/>
    </row>
    <row r="1068" spans="1:17">
      <c r="B1068" s="3033"/>
      <c r="C1068" s="3003" t="s">
        <v>1824</v>
      </c>
      <c r="D1068" s="522" t="s">
        <v>1500</v>
      </c>
      <c r="E1068" s="522"/>
      <c r="F1068" s="522"/>
      <c r="G1068" s="522"/>
      <c r="H1068" s="522"/>
      <c r="I1068" s="522"/>
      <c r="J1068" s="522"/>
      <c r="K1068" s="522"/>
      <c r="L1068" s="3031"/>
      <c r="M1068" s="3031"/>
      <c r="O1068" s="3003" t="s">
        <v>1824</v>
      </c>
      <c r="P1068" s="3032" t="str">
        <f>'Part VIII-Threshold Criteria'!P118</f>
        <v>No</v>
      </c>
      <c r="Q1068" s="3032">
        <f>'Part VIII-Threshold Criteria'!Q118</f>
        <v>0</v>
      </c>
    </row>
    <row r="1069" spans="1:17">
      <c r="B1069" s="3033"/>
      <c r="C1069" s="3003" t="s">
        <v>1825</v>
      </c>
      <c r="D1069" s="522" t="s">
        <v>1501</v>
      </c>
      <c r="E1069" s="522"/>
      <c r="F1069" s="522"/>
      <c r="G1069" s="522"/>
      <c r="H1069" s="522"/>
      <c r="I1069" s="522"/>
      <c r="J1069" s="522"/>
      <c r="K1069" s="522"/>
      <c r="L1069" s="3031"/>
      <c r="M1069" s="3031"/>
      <c r="O1069" s="3003" t="s">
        <v>1825</v>
      </c>
      <c r="P1069" s="3032" t="str">
        <f>'Part VIII-Threshold Criteria'!P119</f>
        <v>No</v>
      </c>
      <c r="Q1069" s="3032">
        <f>'Part VIII-Threshold Criteria'!Q119</f>
        <v>0</v>
      </c>
    </row>
    <row r="1070" spans="1:17">
      <c r="B1070" s="3033"/>
      <c r="C1070" s="3003" t="s">
        <v>1826</v>
      </c>
      <c r="D1070" s="522" t="s">
        <v>1502</v>
      </c>
      <c r="E1070" s="522"/>
      <c r="F1070" s="522"/>
      <c r="G1070" s="522"/>
      <c r="H1070" s="522"/>
      <c r="I1070" s="522"/>
      <c r="J1070" s="522"/>
      <c r="K1070" s="522"/>
      <c r="L1070" s="3031"/>
      <c r="M1070" s="3031"/>
      <c r="O1070" s="3003" t="s">
        <v>1826</v>
      </c>
      <c r="P1070" s="3032" t="str">
        <f>'Part VIII-Threshold Criteria'!P120</f>
        <v>No</v>
      </c>
      <c r="Q1070" s="3032">
        <f>'Part VIII-Threshold Criteria'!Q120</f>
        <v>0</v>
      </c>
    </row>
    <row r="1071" spans="1:17">
      <c r="B1071" s="3067" t="s">
        <v>1958</v>
      </c>
      <c r="D1071" s="3067"/>
      <c r="E1071" s="3067"/>
      <c r="F1071" s="3067"/>
      <c r="G1071" s="3067"/>
      <c r="H1071" s="3031"/>
      <c r="I1071" s="3028"/>
      <c r="J1071" s="3028"/>
      <c r="K1071" s="3028"/>
      <c r="L1071" s="2927"/>
      <c r="M1071" s="2927"/>
      <c r="N1071" s="2927"/>
      <c r="O1071" s="2927"/>
      <c r="P1071" s="2927"/>
      <c r="Q1071" s="2927"/>
    </row>
    <row r="1072" spans="1:17">
      <c r="A1072" s="2969" t="str">
        <f>'Part VIII-Threshold Criteria'!A122</f>
        <v>The appraisal supports project acquisition price and land value.</v>
      </c>
      <c r="B1072" s="2969"/>
      <c r="C1072" s="2969"/>
      <c r="D1072" s="2969"/>
      <c r="E1072" s="2969"/>
      <c r="F1072" s="2969"/>
      <c r="G1072" s="2969"/>
      <c r="H1072" s="2969"/>
      <c r="I1072" s="2969"/>
      <c r="J1072" s="2969"/>
      <c r="K1072" s="2969"/>
      <c r="L1072" s="2969"/>
      <c r="M1072" s="2969"/>
      <c r="N1072" s="2969"/>
      <c r="O1072" s="2969"/>
      <c r="P1072" s="2969"/>
      <c r="Q1072" s="2969"/>
    </row>
    <row r="1073" spans="1:17">
      <c r="B1073" s="3034" t="s">
        <v>1959</v>
      </c>
      <c r="C1073" s="3035"/>
      <c r="D1073" s="3036"/>
      <c r="E1073" s="3036"/>
      <c r="F1073" s="3036"/>
      <c r="G1073" s="3036"/>
      <c r="H1073" s="3036"/>
      <c r="I1073" s="3036"/>
      <c r="J1073" s="3036"/>
      <c r="K1073" s="3036"/>
      <c r="L1073" s="3036"/>
      <c r="M1073" s="3036"/>
      <c r="N1073" s="3036"/>
      <c r="O1073" s="3036"/>
      <c r="P1073" s="3036"/>
    </row>
    <row r="1074" spans="1:17">
      <c r="A1074" s="2969">
        <f>'Part VIII-Threshold Criteria'!A124</f>
        <v>0</v>
      </c>
      <c r="B1074" s="2969"/>
      <c r="C1074" s="2969"/>
      <c r="D1074" s="2969"/>
      <c r="E1074" s="2969"/>
      <c r="F1074" s="2969"/>
      <c r="G1074" s="2969"/>
      <c r="H1074" s="2969"/>
      <c r="I1074" s="2969"/>
      <c r="J1074" s="2969"/>
      <c r="K1074" s="2969"/>
      <c r="L1074" s="2969"/>
      <c r="M1074" s="2969"/>
      <c r="N1074" s="2969"/>
      <c r="O1074" s="2969"/>
      <c r="P1074" s="2969"/>
      <c r="Q1074" s="2969"/>
    </row>
    <row r="1075" spans="1:17">
      <c r="A1075" s="2927"/>
      <c r="B1075" s="3028"/>
      <c r="C1075" s="3036"/>
      <c r="D1075" s="3036"/>
      <c r="E1075" s="3036"/>
      <c r="F1075" s="3036"/>
      <c r="G1075" s="3036"/>
      <c r="H1075" s="3036"/>
      <c r="I1075" s="3036"/>
      <c r="J1075" s="3036"/>
      <c r="K1075" s="3036"/>
      <c r="L1075" s="3036"/>
      <c r="M1075" s="3036"/>
      <c r="N1075" s="3036"/>
      <c r="O1075" s="3036"/>
      <c r="P1075" s="3036"/>
      <c r="Q1075" s="2927"/>
    </row>
    <row r="1076" spans="1:17">
      <c r="A1076" s="2906">
        <v>7</v>
      </c>
      <c r="B1076" s="2906" t="s">
        <v>2792</v>
      </c>
      <c r="C1076" s="3031"/>
      <c r="D1076" s="3036"/>
      <c r="E1076" s="3036"/>
      <c r="F1076" s="3036"/>
      <c r="G1076" s="3036"/>
      <c r="H1076" s="3036"/>
      <c r="I1076" s="3036"/>
      <c r="J1076" s="3036"/>
      <c r="K1076" s="3036"/>
      <c r="L1076" s="3036"/>
      <c r="M1076" s="3036"/>
      <c r="O1076" s="3029" t="s">
        <v>1960</v>
      </c>
      <c r="P1076" s="2933">
        <f>'Part VIII-Threshold Criteria'!P126</f>
        <v>0</v>
      </c>
      <c r="Q1076" s="2933"/>
    </row>
    <row r="1078" spans="1:17">
      <c r="B1078" s="3033" t="s">
        <v>2080</v>
      </c>
      <c r="C1078" s="522" t="s">
        <v>4173</v>
      </c>
      <c r="D1078" s="2961"/>
      <c r="E1078" s="2961"/>
      <c r="F1078" s="2961"/>
      <c r="G1078" s="2961"/>
      <c r="H1078" s="2961"/>
      <c r="I1078" s="521"/>
      <c r="J1078" s="521"/>
      <c r="K1078" s="521"/>
      <c r="L1078" s="3003" t="s">
        <v>2080</v>
      </c>
      <c r="M1078" s="3073" t="str">
        <f>'Part VIII-Threshold Criteria'!M128</f>
        <v>Geotechnical &amp; Enviromental Consultants, Inc.</v>
      </c>
      <c r="N1078" s="3073"/>
      <c r="O1078" s="3073"/>
      <c r="P1078" s="3074"/>
      <c r="Q1078" s="3032">
        <f>'Part VIII-Threshold Criteria'!Q128</f>
        <v>0</v>
      </c>
    </row>
    <row r="1079" spans="1:17">
      <c r="B1079" s="3033" t="s">
        <v>2083</v>
      </c>
      <c r="C1079" s="522" t="s">
        <v>1613</v>
      </c>
      <c r="D1079" s="2961"/>
      <c r="E1079" s="2961"/>
      <c r="F1079" s="2961"/>
      <c r="G1079" s="2961"/>
      <c r="H1079" s="2961"/>
      <c r="I1079" s="521"/>
      <c r="J1079" s="521"/>
      <c r="K1079" s="2961"/>
      <c r="L1079" s="2961"/>
      <c r="M1079" s="2958"/>
      <c r="O1079" s="3003" t="s">
        <v>2083</v>
      </c>
      <c r="P1079" s="3032" t="str">
        <f>'Part VIII-Threshold Criteria'!P129</f>
        <v>No</v>
      </c>
      <c r="Q1079" s="3032">
        <f>'Part VIII-Threshold Criteria'!Q129</f>
        <v>0</v>
      </c>
    </row>
    <row r="1080" spans="1:17">
      <c r="B1080" s="3033" t="s">
        <v>788</v>
      </c>
      <c r="C1080" s="522" t="s">
        <v>156</v>
      </c>
      <c r="D1080" s="2961"/>
      <c r="E1080" s="2961"/>
      <c r="F1080" s="2961"/>
      <c r="G1080" s="2961"/>
      <c r="H1080" s="2961"/>
      <c r="I1080" s="521"/>
      <c r="J1080" s="521"/>
      <c r="K1080" s="2961"/>
      <c r="L1080" s="2958"/>
      <c r="M1080" s="2958"/>
      <c r="O1080" s="3003" t="s">
        <v>788</v>
      </c>
      <c r="P1080" s="3032" t="str">
        <f>'Part VIII-Threshold Criteria'!P130</f>
        <v>Yes</v>
      </c>
      <c r="Q1080" s="3032">
        <f>'Part VIII-Threshold Criteria'!Q130</f>
        <v>0</v>
      </c>
    </row>
    <row r="1081" spans="1:17">
      <c r="B1081" s="3033"/>
      <c r="C1081" s="3003" t="s">
        <v>1824</v>
      </c>
      <c r="D1081" s="522" t="s">
        <v>2844</v>
      </c>
      <c r="E1081" s="2961"/>
      <c r="F1081" s="2961"/>
      <c r="G1081" s="2961"/>
      <c r="H1081" s="2961"/>
      <c r="I1081" s="521"/>
      <c r="J1081" s="521"/>
      <c r="K1081" s="2961"/>
      <c r="L1081" s="3003" t="s">
        <v>1824</v>
      </c>
      <c r="M1081" s="3073" t="str">
        <f>'Part VIII-Threshold Criteria'!M131</f>
        <v>Geotechnical &amp; Enviromental Consultants, Inc.</v>
      </c>
      <c r="N1081" s="3073"/>
      <c r="O1081" s="3073"/>
      <c r="P1081" s="3074"/>
      <c r="Q1081" s="3032">
        <f>'Part VIII-Threshold Criteria'!Q131</f>
        <v>0</v>
      </c>
    </row>
    <row r="1082" spans="1:17">
      <c r="B1082" s="3081"/>
      <c r="C1082" s="3003" t="s">
        <v>1825</v>
      </c>
      <c r="D1082" s="522" t="s">
        <v>4174</v>
      </c>
      <c r="E1082" s="521"/>
      <c r="F1082" s="521"/>
      <c r="G1082" s="521"/>
      <c r="H1082" s="522"/>
      <c r="I1082" s="521"/>
      <c r="J1082" s="521"/>
      <c r="K1082" s="2961"/>
      <c r="L1082" s="2958"/>
      <c r="M1082" s="2958"/>
      <c r="O1082" s="3003" t="s">
        <v>1825</v>
      </c>
      <c r="P1082" s="3032">
        <f>'Part VIII-Threshold Criteria'!P132</f>
        <v>68.099999999999994</v>
      </c>
      <c r="Q1082" s="3032">
        <f>'Part VIII-Threshold Criteria'!Q132</f>
        <v>0</v>
      </c>
    </row>
    <row r="1083" spans="1:17">
      <c r="B1083" s="3081"/>
      <c r="C1083" s="3003" t="s">
        <v>1826</v>
      </c>
      <c r="D1083" s="522" t="s">
        <v>1449</v>
      </c>
      <c r="E1083" s="521"/>
      <c r="F1083" s="521"/>
      <c r="G1083" s="521"/>
      <c r="H1083" s="522"/>
      <c r="I1083" s="521"/>
      <c r="J1083" s="521"/>
      <c r="K1083" s="2961"/>
      <c r="L1083" s="2958"/>
      <c r="M1083" s="2958"/>
      <c r="N1083" s="2958"/>
      <c r="O1083" s="2958"/>
    </row>
    <row r="1084" spans="1:17">
      <c r="B1084" s="2927"/>
      <c r="C1084" s="3003"/>
      <c r="D1084" s="2957" t="str">
        <f>'Part VIII-Threshold Criteria'!D134</f>
        <v>major road, civil airport</v>
      </c>
      <c r="E1084" s="2957"/>
      <c r="F1084" s="2957"/>
      <c r="G1084" s="2957"/>
      <c r="H1084" s="2957"/>
      <c r="I1084" s="2957"/>
      <c r="J1084" s="2957"/>
      <c r="K1084" s="2957"/>
      <c r="L1084" s="2957"/>
      <c r="M1084" s="2957"/>
      <c r="N1084" s="2957"/>
      <c r="O1084" s="2957"/>
      <c r="P1084" s="2957"/>
      <c r="Q1084" s="2957"/>
    </row>
    <row r="1085" spans="1:17">
      <c r="B1085" s="3033" t="s">
        <v>2215</v>
      </c>
      <c r="C1085" s="522" t="s">
        <v>1319</v>
      </c>
      <c r="D1085" s="2961"/>
      <c r="E1085" s="2961"/>
      <c r="F1085" s="2961"/>
      <c r="G1085" s="2961"/>
      <c r="H1085" s="2961"/>
      <c r="I1085" s="521"/>
      <c r="J1085" s="521"/>
      <c r="K1085" s="2961"/>
      <c r="L1085" s="2958"/>
      <c r="M1085" s="2958"/>
      <c r="N1085" s="2958"/>
      <c r="O1085" s="3003" t="s">
        <v>2215</v>
      </c>
    </row>
    <row r="1086" spans="1:17">
      <c r="B1086" s="3033"/>
      <c r="C1086" s="3003" t="s">
        <v>1824</v>
      </c>
      <c r="D1086" s="522" t="s">
        <v>154</v>
      </c>
      <c r="E1086" s="2961"/>
      <c r="F1086" s="2961"/>
      <c r="G1086" s="2961"/>
      <c r="H1086" s="2961"/>
      <c r="I1086" s="521"/>
      <c r="J1086" s="521"/>
      <c r="K1086" s="2961"/>
      <c r="L1086" s="2958"/>
      <c r="M1086" s="2958"/>
      <c r="O1086" s="3003" t="s">
        <v>1824</v>
      </c>
      <c r="P1086" s="3032" t="str">
        <f>'Part VIII-Threshold Criteria'!P136</f>
        <v>No</v>
      </c>
      <c r="Q1086" s="3032">
        <f>'Part VIII-Threshold Criteria'!Q136</f>
        <v>0</v>
      </c>
    </row>
    <row r="1087" spans="1:17">
      <c r="B1087" s="3033"/>
      <c r="C1087" s="3003" t="s">
        <v>1825</v>
      </c>
      <c r="D1087" s="522" t="s">
        <v>1320</v>
      </c>
      <c r="E1087" s="2961"/>
      <c r="F1087" s="2961"/>
      <c r="G1087" s="2961"/>
      <c r="H1087" s="521"/>
      <c r="I1087" s="521"/>
      <c r="J1087" s="521"/>
      <c r="K1087" s="2961"/>
      <c r="L1087" s="2958"/>
      <c r="M1087" s="2958"/>
      <c r="O1087" s="3003" t="s">
        <v>1825</v>
      </c>
      <c r="P1087" s="3032" t="str">
        <f>'Part VIII-Threshold Criteria'!P137</f>
        <v>No</v>
      </c>
      <c r="Q1087" s="3032">
        <f>'Part VIII-Threshold Criteria'!Q137</f>
        <v>0</v>
      </c>
    </row>
    <row r="1088" spans="1:17">
      <c r="B1088" s="3033"/>
      <c r="C1088" s="3003"/>
      <c r="D1088" s="522" t="s">
        <v>2768</v>
      </c>
      <c r="E1088" s="3082" t="s">
        <v>2555</v>
      </c>
      <c r="F1088" s="522" t="s">
        <v>2769</v>
      </c>
      <c r="G1088" s="521"/>
      <c r="H1088" s="522"/>
      <c r="I1088" s="521"/>
      <c r="J1088" s="521"/>
      <c r="K1088" s="2961"/>
      <c r="L1088" s="2958"/>
      <c r="M1088" s="2958"/>
      <c r="O1088" s="3082" t="s">
        <v>2555</v>
      </c>
      <c r="P1088" s="3083">
        <f>'Part VIII-Threshold Criteria'!P138</f>
        <v>0</v>
      </c>
      <c r="Q1088" s="3083">
        <f>'Part VIII-Threshold Criteria'!Q138</f>
        <v>0</v>
      </c>
    </row>
    <row r="1089" spans="1:17">
      <c r="B1089" s="3033"/>
      <c r="C1089" s="3003"/>
      <c r="E1089" s="3082" t="s">
        <v>2556</v>
      </c>
      <c r="F1089" s="522" t="s">
        <v>2770</v>
      </c>
      <c r="G1089" s="521"/>
      <c r="H1089" s="522"/>
      <c r="I1089" s="521"/>
      <c r="J1089" s="521"/>
      <c r="K1089" s="2961"/>
      <c r="L1089" s="2958"/>
      <c r="M1089" s="2958"/>
      <c r="O1089" s="3082" t="s">
        <v>2556</v>
      </c>
      <c r="P1089" s="3032">
        <f>'Part VIII-Threshold Criteria'!P139</f>
        <v>0</v>
      </c>
      <c r="Q1089" s="3032">
        <f>'Part VIII-Threshold Criteria'!Q139</f>
        <v>0</v>
      </c>
    </row>
    <row r="1090" spans="1:17">
      <c r="B1090" s="3033"/>
      <c r="C1090" s="3003"/>
      <c r="E1090" s="3082" t="s">
        <v>2557</v>
      </c>
      <c r="F1090" s="522" t="s">
        <v>2771</v>
      </c>
      <c r="G1090" s="521"/>
      <c r="H1090" s="522"/>
      <c r="I1090" s="521"/>
      <c r="J1090" s="521"/>
      <c r="K1090" s="2961"/>
      <c r="L1090" s="2958"/>
      <c r="M1090" s="2958"/>
      <c r="O1090" s="3082" t="s">
        <v>2557</v>
      </c>
      <c r="P1090" s="3032">
        <f>'Part VIII-Threshold Criteria'!P140</f>
        <v>0</v>
      </c>
      <c r="Q1090" s="3032">
        <f>'Part VIII-Threshold Criteria'!Q140</f>
        <v>0</v>
      </c>
    </row>
    <row r="1091" spans="1:17">
      <c r="B1091" s="3033"/>
      <c r="C1091" s="3003" t="s">
        <v>1826</v>
      </c>
      <c r="D1091" s="522" t="s">
        <v>1321</v>
      </c>
      <c r="E1091" s="2961"/>
      <c r="F1091" s="2961"/>
      <c r="G1091" s="2961"/>
      <c r="H1091" s="522"/>
      <c r="I1091" s="521"/>
      <c r="J1091" s="521"/>
      <c r="K1091" s="2961"/>
      <c r="L1091" s="2958"/>
      <c r="M1091" s="2958"/>
      <c r="O1091" s="3003" t="s">
        <v>1826</v>
      </c>
      <c r="P1091" s="3032" t="str">
        <f>'Part VIII-Threshold Criteria'!P141</f>
        <v>No</v>
      </c>
      <c r="Q1091" s="3032">
        <f>'Part VIII-Threshold Criteria'!Q141</f>
        <v>0</v>
      </c>
    </row>
    <row r="1092" spans="1:17">
      <c r="B1092" s="3033"/>
      <c r="C1092" s="3003"/>
      <c r="D1092" s="522" t="s">
        <v>2768</v>
      </c>
      <c r="E1092" s="3082" t="s">
        <v>2555</v>
      </c>
      <c r="F1092" s="522" t="s">
        <v>2772</v>
      </c>
      <c r="G1092" s="521"/>
      <c r="H1092" s="522"/>
      <c r="I1092" s="521"/>
      <c r="J1092" s="521"/>
      <c r="K1092" s="2961"/>
      <c r="L1092" s="2958"/>
      <c r="O1092" s="3082" t="s">
        <v>2555</v>
      </c>
      <c r="P1092" s="3083">
        <f>'Part VIII-Threshold Criteria'!P142</f>
        <v>0</v>
      </c>
      <c r="Q1092" s="3083">
        <f>'Part VIII-Threshold Criteria'!Q142</f>
        <v>0</v>
      </c>
    </row>
    <row r="1093" spans="1:17">
      <c r="B1093" s="3033"/>
      <c r="C1093" s="3003"/>
      <c r="E1093" s="3082" t="s">
        <v>2556</v>
      </c>
      <c r="F1093" s="522" t="s">
        <v>2773</v>
      </c>
      <c r="G1093" s="521"/>
      <c r="H1093" s="522"/>
      <c r="I1093" s="521"/>
      <c r="J1093" s="521"/>
      <c r="O1093" s="3082" t="s">
        <v>2556</v>
      </c>
      <c r="P1093" s="3032">
        <f>'Part VIII-Threshold Criteria'!P143</f>
        <v>0</v>
      </c>
      <c r="Q1093" s="3032">
        <f>'Part VIII-Threshold Criteria'!Q143</f>
        <v>0</v>
      </c>
    </row>
    <row r="1094" spans="1:17">
      <c r="B1094" s="3033"/>
      <c r="C1094" s="3003"/>
      <c r="E1094" s="3082" t="s">
        <v>2557</v>
      </c>
      <c r="F1094" s="522" t="s">
        <v>2771</v>
      </c>
      <c r="G1094" s="521"/>
      <c r="H1094" s="522"/>
      <c r="I1094" s="521"/>
      <c r="J1094" s="521"/>
      <c r="O1094" s="3082" t="s">
        <v>2557</v>
      </c>
      <c r="P1094" s="3032">
        <f>'Part VIII-Threshold Criteria'!P144</f>
        <v>0</v>
      </c>
      <c r="Q1094" s="3032">
        <f>'Part VIII-Threshold Criteria'!Q144</f>
        <v>0</v>
      </c>
    </row>
    <row r="1095" spans="1:17">
      <c r="B1095" s="522"/>
      <c r="C1095" s="3003" t="s">
        <v>2476</v>
      </c>
      <c r="D1095" s="522" t="s">
        <v>2774</v>
      </c>
      <c r="E1095" s="2961"/>
      <c r="F1095" s="2961"/>
      <c r="G1095" s="2961"/>
      <c r="H1095" s="2961"/>
      <c r="I1095" s="521"/>
      <c r="J1095" s="521"/>
      <c r="O1095" s="3003" t="s">
        <v>2476</v>
      </c>
      <c r="P1095" s="3032" t="str">
        <f>'Part VIII-Threshold Criteria'!P145</f>
        <v>No</v>
      </c>
      <c r="Q1095" s="3032">
        <f>'Part VIII-Threshold Criteria'!Q145</f>
        <v>0</v>
      </c>
    </row>
    <row r="1096" spans="1:17">
      <c r="B1096" s="3033" t="s">
        <v>1822</v>
      </c>
      <c r="C1096" s="3031" t="s">
        <v>2533</v>
      </c>
      <c r="D1096" s="2961"/>
      <c r="E1096" s="2961"/>
      <c r="F1096" s="2961"/>
      <c r="G1096" s="2961"/>
      <c r="H1096" s="2961"/>
      <c r="I1096" s="521"/>
      <c r="J1096" s="521"/>
      <c r="K1096" s="2961"/>
      <c r="L1096" s="2958"/>
      <c r="M1096" s="2958"/>
      <c r="N1096" s="2958"/>
      <c r="O1096" s="2958"/>
      <c r="P1096" s="2958"/>
      <c r="Q1096" s="2958"/>
    </row>
    <row r="1097" spans="1:17">
      <c r="C1097" s="3003" t="s">
        <v>1824</v>
      </c>
      <c r="D1097" s="522" t="s">
        <v>2617</v>
      </c>
      <c r="E1097" s="2961"/>
      <c r="F1097" s="3032" t="str">
        <f>'Part VIII-Threshold Criteria'!F147</f>
        <v>No</v>
      </c>
      <c r="G1097" s="3032">
        <f>'Part VIII-Threshold Criteria'!G147</f>
        <v>0</v>
      </c>
      <c r="H1097" s="3003" t="s">
        <v>1625</v>
      </c>
      <c r="I1097" s="505" t="s">
        <v>2776</v>
      </c>
      <c r="L1097" s="3032" t="str">
        <f>'Part VIII-Threshold Criteria'!L147</f>
        <v>No</v>
      </c>
      <c r="M1097" s="3032">
        <f>'Part VIII-Threshold Criteria'!M147</f>
        <v>0</v>
      </c>
      <c r="N1097" s="3003" t="s">
        <v>535</v>
      </c>
      <c r="O1097" s="522" t="s">
        <v>1628</v>
      </c>
      <c r="P1097" s="3032" t="str">
        <f>'Part VIII-Threshold Criteria'!P147</f>
        <v>No</v>
      </c>
      <c r="Q1097" s="3032">
        <f>'Part VIII-Threshold Criteria'!Q147</f>
        <v>0</v>
      </c>
    </row>
    <row r="1098" spans="1:17">
      <c r="B1098" s="522"/>
      <c r="C1098" s="3003" t="s">
        <v>1825</v>
      </c>
      <c r="D1098" s="522" t="s">
        <v>3110</v>
      </c>
      <c r="E1098" s="2961"/>
      <c r="F1098" s="3032" t="str">
        <f>'Part VIII-Threshold Criteria'!F148</f>
        <v>Yes</v>
      </c>
      <c r="G1098" s="3032">
        <f>'Part VIII-Threshold Criteria'!G148</f>
        <v>0</v>
      </c>
      <c r="H1098" s="3003" t="s">
        <v>1626</v>
      </c>
      <c r="I1098" s="505" t="s">
        <v>2777</v>
      </c>
      <c r="L1098" s="3032" t="str">
        <f>'Part VIII-Threshold Criteria'!L148</f>
        <v>No</v>
      </c>
      <c r="M1098" s="3032">
        <f>'Part VIII-Threshold Criteria'!M148</f>
        <v>0</v>
      </c>
      <c r="N1098" s="3003" t="s">
        <v>536</v>
      </c>
      <c r="O1098" s="522" t="s">
        <v>1627</v>
      </c>
      <c r="P1098" s="3032" t="str">
        <f>'Part VIII-Threshold Criteria'!P148</f>
        <v>No</v>
      </c>
      <c r="Q1098" s="3032">
        <f>'Part VIII-Threshold Criteria'!Q148</f>
        <v>0</v>
      </c>
    </row>
    <row r="1099" spans="1:17">
      <c r="B1099" s="522"/>
      <c r="C1099" s="3003" t="s">
        <v>1826</v>
      </c>
      <c r="D1099" s="522" t="s">
        <v>2775</v>
      </c>
      <c r="E1099" s="2961"/>
      <c r="F1099" s="3032" t="str">
        <f>'Part VIII-Threshold Criteria'!F149</f>
        <v>No</v>
      </c>
      <c r="G1099" s="3032">
        <f>'Part VIII-Threshold Criteria'!G149</f>
        <v>0</v>
      </c>
      <c r="H1099" s="3003" t="s">
        <v>100</v>
      </c>
      <c r="I1099" s="505" t="s">
        <v>3111</v>
      </c>
      <c r="L1099" s="3032" t="str">
        <f>'Part VIII-Threshold Criteria'!L149</f>
        <v>No</v>
      </c>
      <c r="M1099" s="3032">
        <f>'Part VIII-Threshold Criteria'!M149</f>
        <v>0</v>
      </c>
      <c r="N1099" s="3003" t="s">
        <v>3113</v>
      </c>
      <c r="O1099" s="522" t="s">
        <v>1629</v>
      </c>
      <c r="P1099" s="3032" t="str">
        <f>'Part VIII-Threshold Criteria'!P149</f>
        <v>No</v>
      </c>
      <c r="Q1099" s="3032">
        <f>'Part VIII-Threshold Criteria'!Q149</f>
        <v>0</v>
      </c>
    </row>
    <row r="1100" spans="1:17">
      <c r="B1100" s="522"/>
      <c r="C1100" s="3003" t="s">
        <v>2476</v>
      </c>
      <c r="D1100" s="522" t="s">
        <v>3114</v>
      </c>
      <c r="E1100" s="2961"/>
      <c r="F1100" s="3032" t="str">
        <f>'Part VIII-Threshold Criteria'!F150</f>
        <v>No</v>
      </c>
      <c r="G1100" s="3032">
        <f>'Part VIII-Threshold Criteria'!G150</f>
        <v>0</v>
      </c>
      <c r="H1100" s="3003" t="s">
        <v>534</v>
      </c>
      <c r="I1100" s="522" t="s">
        <v>3109</v>
      </c>
      <c r="L1100" s="3032" t="str">
        <f>'Part VIII-Threshold Criteria'!L150</f>
        <v>No</v>
      </c>
      <c r="M1100" s="3032">
        <f>'Part VIII-Threshold Criteria'!M150</f>
        <v>0</v>
      </c>
      <c r="O1100" s="3003"/>
    </row>
    <row r="1101" spans="1:17">
      <c r="B1101" s="522"/>
      <c r="C1101" s="3003" t="s">
        <v>3288</v>
      </c>
      <c r="D1101" s="522" t="s">
        <v>3112</v>
      </c>
      <c r="E1101" s="2961"/>
      <c r="F1101" s="2961"/>
      <c r="G1101" s="2961"/>
      <c r="H1101" s="2961"/>
      <c r="I1101" s="2961"/>
      <c r="J1101" s="2961"/>
      <c r="K1101" s="2961"/>
      <c r="L1101" s="2961"/>
      <c r="M1101" s="522"/>
      <c r="O1101" s="3003"/>
      <c r="P1101" s="3003"/>
    </row>
    <row r="1102" spans="1:17">
      <c r="B1102" s="522"/>
      <c r="D1102" s="3073">
        <v>0</v>
      </c>
      <c r="E1102" s="3073"/>
      <c r="F1102" s="3073"/>
      <c r="G1102" s="3073"/>
      <c r="H1102" s="3073"/>
      <c r="I1102" s="3073"/>
      <c r="J1102" s="3073"/>
      <c r="K1102" s="3073"/>
      <c r="L1102" s="3073"/>
      <c r="M1102" s="3073"/>
      <c r="N1102" s="3073"/>
      <c r="O1102" s="3073"/>
      <c r="P1102" s="3073"/>
      <c r="Q1102" s="3032">
        <f>'Part VIII-Threshold Criteria'!Q152</f>
        <v>0</v>
      </c>
    </row>
    <row r="1103" spans="1:17">
      <c r="B1103" s="3033" t="s">
        <v>1823</v>
      </c>
      <c r="C1103" s="522" t="s">
        <v>1348</v>
      </c>
      <c r="D1103" s="2961"/>
      <c r="E1103" s="2961"/>
      <c r="F1103" s="2961"/>
      <c r="G1103" s="2961"/>
      <c r="H1103" s="2961"/>
      <c r="I1103" s="521"/>
      <c r="J1103" s="521"/>
      <c r="K1103" s="2961"/>
      <c r="L1103" s="2961"/>
      <c r="M1103" s="2958"/>
      <c r="O1103" s="3003" t="s">
        <v>1823</v>
      </c>
      <c r="P1103" s="3032" t="str">
        <f>'Part VIII-Threshold Criteria'!P153</f>
        <v>N/A</v>
      </c>
      <c r="Q1103" s="3032">
        <f>'Part VIII-Threshold Criteria'!Q153</f>
        <v>0</v>
      </c>
    </row>
    <row r="1104" spans="1:17">
      <c r="A1104" s="3071"/>
      <c r="B1104" s="521"/>
      <c r="C1104" s="3003" t="s">
        <v>1824</v>
      </c>
      <c r="D1104" s="522" t="s">
        <v>3115</v>
      </c>
      <c r="E1104" s="2961"/>
      <c r="F1104" s="2961"/>
      <c r="G1104" s="2961"/>
      <c r="H1104" s="2961"/>
      <c r="O1104" s="3003" t="s">
        <v>1824</v>
      </c>
      <c r="P1104" s="3032">
        <f>'Part VIII-Threshold Criteria'!P154</f>
        <v>0</v>
      </c>
      <c r="Q1104" s="3032">
        <f>'Part VIII-Threshold Criteria'!Q154</f>
        <v>0</v>
      </c>
    </row>
    <row r="1105" spans="1:17">
      <c r="A1105" s="3071"/>
      <c r="B1105" s="3028"/>
      <c r="C1105" s="3003" t="s">
        <v>1825</v>
      </c>
      <c r="D1105" s="522" t="s">
        <v>512</v>
      </c>
      <c r="E1105" s="522"/>
      <c r="F1105" s="522"/>
      <c r="G1105" s="522"/>
      <c r="H1105" s="522"/>
      <c r="I1105" s="521"/>
      <c r="J1105" s="521"/>
      <c r="K1105" s="522"/>
      <c r="L1105" s="522"/>
      <c r="M1105" s="522"/>
      <c r="O1105" s="3003" t="s">
        <v>1825</v>
      </c>
      <c r="P1105" s="3032">
        <f>'Part VIII-Threshold Criteria'!P155</f>
        <v>0</v>
      </c>
      <c r="Q1105" s="3032">
        <f>'Part VIII-Threshold Criteria'!Q155</f>
        <v>0</v>
      </c>
    </row>
    <row r="1106" spans="1:17">
      <c r="A1106" s="3071"/>
      <c r="B1106" s="3028"/>
      <c r="C1106" s="3003" t="s">
        <v>1826</v>
      </c>
      <c r="D1106" s="522" t="s">
        <v>716</v>
      </c>
      <c r="E1106" s="522"/>
      <c r="F1106" s="522"/>
      <c r="G1106" s="522"/>
      <c r="H1106" s="522"/>
      <c r="I1106" s="521"/>
      <c r="J1106" s="521"/>
      <c r="K1106" s="522"/>
      <c r="L1106" s="522"/>
      <c r="M1106" s="522"/>
      <c r="O1106" s="3003" t="s">
        <v>1826</v>
      </c>
      <c r="P1106" s="3032">
        <f>'Part VIII-Threshold Criteria'!P156</f>
        <v>0</v>
      </c>
      <c r="Q1106" s="3032">
        <f>'Part VIII-Threshold Criteria'!Q156</f>
        <v>0</v>
      </c>
    </row>
    <row r="1107" spans="1:17">
      <c r="B1107" s="3033" t="s">
        <v>2043</v>
      </c>
      <c r="C1107" s="522" t="s">
        <v>1840</v>
      </c>
      <c r="D1107" s="2961"/>
      <c r="E1107" s="2961"/>
      <c r="F1107" s="2961"/>
      <c r="G1107" s="2961"/>
      <c r="H1107" s="2961"/>
      <c r="I1107" s="521"/>
      <c r="J1107" s="521"/>
      <c r="K1107" s="2961"/>
      <c r="L1107" s="2961"/>
      <c r="M1107" s="2958"/>
      <c r="O1107" s="3003" t="s">
        <v>2043</v>
      </c>
      <c r="P1107" s="3032" t="str">
        <f>'Part VIII-Threshold Criteria'!P157</f>
        <v>N/A</v>
      </c>
      <c r="Q1107" s="3032">
        <f>'Part VIII-Threshold Criteria'!Q157</f>
        <v>0</v>
      </c>
    </row>
    <row r="1108" spans="1:17">
      <c r="A1108" s="3084" t="s">
        <v>4076</v>
      </c>
      <c r="C1108" s="522"/>
      <c r="D1108" s="2961"/>
      <c r="E1108" s="2961"/>
      <c r="F1108" s="2961"/>
      <c r="G1108" s="2961"/>
      <c r="H1108" s="2961"/>
      <c r="I1108" s="521"/>
      <c r="J1108" s="521"/>
      <c r="K1108" s="2961"/>
      <c r="L1108" s="2961"/>
      <c r="M1108" s="2958"/>
      <c r="N1108" s="2958"/>
      <c r="O1108" s="2958"/>
      <c r="P1108" s="2958"/>
      <c r="Q1108" s="2958"/>
    </row>
    <row r="1109" spans="1:17">
      <c r="A1109" s="521"/>
      <c r="B1109" s="3030" t="s">
        <v>3837</v>
      </c>
      <c r="C1109" s="2969" t="s">
        <v>4613</v>
      </c>
      <c r="D1109" s="2969"/>
      <c r="E1109" s="2969"/>
      <c r="F1109" s="2969"/>
      <c r="G1109" s="2969"/>
      <c r="H1109" s="2969"/>
      <c r="I1109" s="2969"/>
      <c r="J1109" s="2969"/>
      <c r="K1109" s="2969"/>
      <c r="L1109" s="2969"/>
      <c r="M1109" s="3078" t="s">
        <v>3837</v>
      </c>
      <c r="N1109" s="3085" t="str">
        <f>'Part VIII-Threshold Criteria'!N159</f>
        <v>&lt;&lt;Select&gt;&gt;</v>
      </c>
      <c r="O1109" s="3085"/>
      <c r="P1109" s="3085" t="str">
        <f>'Part VIII-Threshold Criteria'!P159</f>
        <v>&lt;&lt;Select&gt;&gt;</v>
      </c>
      <c r="Q1109" s="3085"/>
    </row>
    <row r="1110" spans="1:17">
      <c r="A1110" s="521"/>
      <c r="B1110" s="3033" t="s">
        <v>646</v>
      </c>
      <c r="C1110" s="3031" t="s">
        <v>1</v>
      </c>
      <c r="D1110" s="3086"/>
      <c r="E1110" s="3086"/>
      <c r="F1110" s="521"/>
      <c r="G1110" s="3003" t="s">
        <v>646</v>
      </c>
      <c r="H1110" s="2957">
        <f>'Part VIII-Threshold Criteria'!H160</f>
        <v>0</v>
      </c>
      <c r="I1110" s="2957"/>
      <c r="J1110" s="2957"/>
      <c r="K1110" s="2957"/>
      <c r="L1110" s="2957"/>
      <c r="M1110" s="2957"/>
      <c r="N1110" s="2957"/>
      <c r="O1110" s="2957"/>
      <c r="P1110" s="2957"/>
      <c r="Q1110" s="3032">
        <f>'Part VIII-Threshold Criteria'!Q160</f>
        <v>0</v>
      </c>
    </row>
    <row r="1111" spans="1:17">
      <c r="A1111" s="521"/>
      <c r="B1111" s="3033" t="s">
        <v>3838</v>
      </c>
      <c r="C1111" s="3031" t="s">
        <v>1485</v>
      </c>
      <c r="D1111" s="3087"/>
      <c r="E1111" s="3087"/>
      <c r="F1111" s="3087"/>
      <c r="G1111" s="2915"/>
      <c r="H1111" s="2915"/>
      <c r="I1111" s="3031"/>
      <c r="J1111" s="521"/>
      <c r="K1111" s="2915"/>
      <c r="L1111" s="2915"/>
      <c r="M1111" s="2915"/>
      <c r="N1111" s="521"/>
      <c r="O1111" s="3003" t="s">
        <v>3838</v>
      </c>
      <c r="P1111" s="3032">
        <f>'Part VIII-Threshold Criteria'!P161</f>
        <v>0</v>
      </c>
      <c r="Q1111" s="3032">
        <f>'Part VIII-Threshold Criteria'!Q161</f>
        <v>0</v>
      </c>
    </row>
    <row r="1112" spans="1:17">
      <c r="B1112" s="3067" t="s">
        <v>1958</v>
      </c>
      <c r="D1112" s="3067"/>
      <c r="E1112" s="3067"/>
      <c r="F1112" s="3067"/>
      <c r="G1112" s="3067"/>
      <c r="H1112" s="3031"/>
      <c r="I1112" s="3028"/>
      <c r="J1112" s="3028"/>
      <c r="K1112" s="3028"/>
      <c r="L1112" s="2927"/>
      <c r="M1112" s="2927"/>
      <c r="N1112" s="2927"/>
      <c r="O1112" s="2927"/>
      <c r="P1112" s="2927"/>
      <c r="Q1112" s="2927"/>
    </row>
    <row r="1113" spans="1:17">
      <c r="A1113" s="2969" t="str">
        <f>'Part VIII-Threshold Criteria'!A163</f>
        <v>Projects meets all DCA's environmental requirements and environmental report is prepared in accordance with DCA guidelines. Noise Attenuation Plan is included in Environmental Report that brings the project down to the HUD standard of 45 dB interior sound and 65 dB exterior sound levels.</v>
      </c>
      <c r="B1113" s="2969"/>
      <c r="C1113" s="2969"/>
      <c r="D1113" s="2969"/>
      <c r="E1113" s="2969"/>
      <c r="F1113" s="2969"/>
      <c r="G1113" s="2969"/>
      <c r="H1113" s="2969"/>
      <c r="I1113" s="2969"/>
      <c r="J1113" s="2969"/>
      <c r="K1113" s="2969"/>
      <c r="L1113" s="2969"/>
      <c r="M1113" s="2969"/>
      <c r="N1113" s="2969"/>
      <c r="O1113" s="2969"/>
      <c r="P1113" s="2969"/>
      <c r="Q1113" s="2969"/>
    </row>
    <row r="1115" spans="1:17">
      <c r="B1115" s="3034" t="s">
        <v>1959</v>
      </c>
      <c r="C1115" s="3035"/>
      <c r="D1115" s="3036"/>
      <c r="E1115" s="3036"/>
      <c r="F1115" s="3036"/>
      <c r="G1115" s="3036"/>
      <c r="H1115" s="3036"/>
      <c r="I1115" s="3036"/>
      <c r="J1115" s="3036"/>
      <c r="K1115" s="3036"/>
      <c r="L1115" s="3036"/>
      <c r="M1115" s="3036"/>
      <c r="N1115" s="3036"/>
      <c r="O1115" s="3036"/>
      <c r="P1115" s="3036"/>
      <c r="Q1115" s="3036"/>
    </row>
    <row r="1116" spans="1:17">
      <c r="A1116" s="2969">
        <f>'Part VIII-Threshold Criteria'!A166</f>
        <v>0</v>
      </c>
      <c r="B1116" s="2969"/>
      <c r="C1116" s="2969"/>
      <c r="D1116" s="2969"/>
      <c r="E1116" s="2969"/>
      <c r="F1116" s="2969"/>
      <c r="G1116" s="2969"/>
      <c r="H1116" s="2969"/>
      <c r="I1116" s="2969"/>
      <c r="J1116" s="2969"/>
      <c r="K1116" s="2969"/>
      <c r="L1116" s="2969"/>
      <c r="M1116" s="2969"/>
      <c r="N1116" s="2969"/>
      <c r="O1116" s="2969"/>
      <c r="P1116" s="2969"/>
      <c r="Q1116" s="2969"/>
    </row>
    <row r="1117" spans="1:17">
      <c r="A1117" s="2927"/>
      <c r="B1117" s="3028"/>
      <c r="C1117" s="3036"/>
      <c r="D1117" s="3036"/>
      <c r="E1117" s="3036"/>
      <c r="F1117" s="3036"/>
      <c r="G1117" s="3036"/>
      <c r="H1117" s="3036"/>
      <c r="I1117" s="3036"/>
      <c r="J1117" s="3036"/>
      <c r="K1117" s="3036"/>
      <c r="L1117" s="3036"/>
      <c r="M1117" s="3036"/>
      <c r="N1117" s="3036"/>
      <c r="O1117" s="3036"/>
      <c r="P1117" s="3036"/>
      <c r="Q1117" s="2927"/>
    </row>
    <row r="1118" spans="1:17">
      <c r="A1118" s="2906">
        <v>8</v>
      </c>
      <c r="B1118" s="2906" t="s">
        <v>2793</v>
      </c>
      <c r="C1118" s="2906"/>
      <c r="D1118" s="3036"/>
      <c r="E1118" s="3036"/>
      <c r="F1118" s="3036"/>
      <c r="G1118" s="3036"/>
      <c r="H1118" s="3036"/>
      <c r="I1118" s="3036"/>
      <c r="J1118" s="3036"/>
      <c r="K1118" s="3036"/>
      <c r="O1118" s="3029" t="s">
        <v>1960</v>
      </c>
      <c r="P1118" s="2933">
        <f>'Part VIII-Threshold Criteria'!P168</f>
        <v>0</v>
      </c>
      <c r="Q1118" s="2933"/>
    </row>
    <row r="1119" spans="1:17">
      <c r="B1119" s="3033" t="s">
        <v>2080</v>
      </c>
      <c r="C1119" s="522" t="s">
        <v>3836</v>
      </c>
      <c r="D1119" s="522"/>
      <c r="E1119" s="522"/>
      <c r="F1119" s="522"/>
      <c r="G1119" s="522"/>
      <c r="I1119" s="522" t="s">
        <v>2876</v>
      </c>
      <c r="K1119" s="3088">
        <f>'Part VIII-Threshold Criteria'!K169</f>
        <v>42735</v>
      </c>
      <c r="L1119" s="3088"/>
      <c r="N1119" s="522"/>
      <c r="O1119" s="3003" t="s">
        <v>2080</v>
      </c>
      <c r="P1119" s="3032" t="str">
        <f>'Part VIII-Threshold Criteria'!P169</f>
        <v>Yes</v>
      </c>
      <c r="Q1119" s="3032">
        <f>'Part VIII-Threshold Criteria'!Q169</f>
        <v>0</v>
      </c>
    </row>
    <row r="1120" spans="1:17">
      <c r="A1120" s="3081"/>
      <c r="B1120" s="3033" t="s">
        <v>2083</v>
      </c>
      <c r="C1120" s="3068" t="s">
        <v>155</v>
      </c>
      <c r="D1120" s="3068"/>
      <c r="E1120" s="3068"/>
      <c r="F1120" s="3068"/>
      <c r="G1120" s="3068"/>
      <c r="H1120" s="3068"/>
      <c r="M1120" s="3003" t="s">
        <v>2083</v>
      </c>
      <c r="N1120" s="3089" t="str">
        <f>'Part VIII-Threshold Criteria'!N170</f>
        <v>Contract/Option</v>
      </c>
      <c r="O1120" s="3089"/>
      <c r="P1120" s="3089">
        <f>'Part VIII-Threshold Criteria'!P170</f>
        <v>0</v>
      </c>
      <c r="Q1120" s="3089"/>
    </row>
    <row r="1121" spans="1:17">
      <c r="A1121" s="3081"/>
      <c r="B1121" s="3033" t="s">
        <v>788</v>
      </c>
      <c r="C1121" s="3068" t="s">
        <v>717</v>
      </c>
      <c r="D1121" s="3068"/>
      <c r="E1121" s="3068"/>
      <c r="F1121" s="3068"/>
      <c r="G1121" s="3068"/>
      <c r="H1121" s="3068"/>
      <c r="J1121" s="3003" t="s">
        <v>788</v>
      </c>
      <c r="K1121" s="3073" t="str">
        <f>'Part VIII-Threshold Criteria'!K171</f>
        <v>Arbor Trace II Lake Park, LP</v>
      </c>
      <c r="L1121" s="3073"/>
      <c r="M1121" s="3073"/>
      <c r="N1121" s="3073"/>
      <c r="O1121" s="3073"/>
      <c r="P1121" s="3073"/>
      <c r="Q1121" s="3032">
        <f>'Part VIII-Threshold Criteria'!Q171</f>
        <v>0</v>
      </c>
    </row>
    <row r="1122" spans="1:17">
      <c r="A1122" s="3081"/>
      <c r="B1122" s="3033" t="s">
        <v>2215</v>
      </c>
      <c r="C1122" s="3068" t="s">
        <v>3274</v>
      </c>
      <c r="D1122" s="3068"/>
      <c r="E1122" s="3068"/>
      <c r="F1122" s="3068"/>
      <c r="G1122" s="3068"/>
      <c r="H1122" s="3068"/>
      <c r="J1122" s="3003"/>
      <c r="K1122" s="3003"/>
      <c r="L1122" s="3003"/>
      <c r="M1122" s="3003"/>
      <c r="N1122" s="3003"/>
      <c r="O1122" s="3003" t="s">
        <v>2215</v>
      </c>
      <c r="P1122" s="3032" t="str">
        <f>'Part VIII-Threshold Criteria'!P172</f>
        <v>Yes</v>
      </c>
      <c r="Q1122" s="3032">
        <f>'Part VIII-Threshold Criteria'!Q172</f>
        <v>0</v>
      </c>
    </row>
    <row r="1123" spans="1:17">
      <c r="B1123" s="3067" t="s">
        <v>1958</v>
      </c>
      <c r="D1123" s="3067"/>
      <c r="E1123" s="3067"/>
      <c r="F1123" s="3067"/>
      <c r="G1123" s="3067"/>
      <c r="H1123" s="3031"/>
      <c r="I1123" s="3028"/>
      <c r="J1123" s="3028"/>
      <c r="K1123" s="3028"/>
      <c r="L1123" s="2927"/>
      <c r="M1123" s="2927"/>
      <c r="N1123" s="2927"/>
      <c r="O1123" s="2927"/>
      <c r="P1123" s="2927"/>
      <c r="Q1123" s="2927"/>
    </row>
    <row r="1124" spans="1:17">
      <c r="A1124" s="2969" t="str">
        <f>'Part VIII-Threshold Criteria'!A174</f>
        <v>David A. Brown and Melanie Ferrell have interests in the buyer and seller entities therefore an appraisal is provided.</v>
      </c>
      <c r="B1124" s="2969"/>
      <c r="C1124" s="2969"/>
      <c r="D1124" s="2969"/>
      <c r="E1124" s="2969"/>
      <c r="F1124" s="2969"/>
      <c r="G1124" s="2969"/>
      <c r="H1124" s="2969"/>
      <c r="I1124" s="2969"/>
      <c r="J1124" s="2969"/>
      <c r="K1124" s="2969"/>
      <c r="L1124" s="2969"/>
      <c r="M1124" s="2969"/>
      <c r="N1124" s="2969"/>
      <c r="O1124" s="2969"/>
      <c r="P1124" s="2969"/>
      <c r="Q1124" s="2969"/>
    </row>
    <row r="1125" spans="1:17">
      <c r="B1125" s="3034" t="s">
        <v>1959</v>
      </c>
      <c r="C1125" s="3035"/>
      <c r="D1125" s="3036"/>
      <c r="E1125" s="3036"/>
      <c r="F1125" s="3036"/>
      <c r="G1125" s="3036"/>
      <c r="H1125" s="3036"/>
      <c r="I1125" s="3036"/>
      <c r="J1125" s="3036"/>
      <c r="K1125" s="3036"/>
      <c r="L1125" s="3036"/>
      <c r="M1125" s="3036"/>
      <c r="N1125" s="3036"/>
      <c r="O1125" s="3036"/>
      <c r="P1125" s="3036"/>
    </row>
    <row r="1126" spans="1:17">
      <c r="A1126" s="2969">
        <f>'Part VIII-Threshold Criteria'!A176</f>
        <v>0</v>
      </c>
      <c r="B1126" s="2969"/>
      <c r="C1126" s="2969"/>
      <c r="D1126" s="2969"/>
      <c r="E1126" s="2969"/>
      <c r="F1126" s="2969"/>
      <c r="G1126" s="2969"/>
      <c r="H1126" s="2969"/>
      <c r="I1126" s="2969"/>
      <c r="J1126" s="2969"/>
      <c r="K1126" s="2969"/>
      <c r="L1126" s="2969"/>
      <c r="M1126" s="2969"/>
      <c r="N1126" s="2969"/>
      <c r="O1126" s="2969"/>
      <c r="P1126" s="2969"/>
      <c r="Q1126" s="2969"/>
    </row>
    <row r="1127" spans="1:17">
      <c r="A1127" s="2927"/>
      <c r="B1127" s="3028"/>
      <c r="C1127" s="3036"/>
      <c r="D1127" s="3036"/>
      <c r="E1127" s="3036"/>
      <c r="F1127" s="3036"/>
      <c r="G1127" s="3036"/>
      <c r="H1127" s="3036"/>
      <c r="I1127" s="3036"/>
      <c r="J1127" s="3036"/>
      <c r="K1127" s="3036"/>
      <c r="L1127" s="3036"/>
      <c r="M1127" s="3036"/>
      <c r="Q1127" s="2927"/>
    </row>
    <row r="1128" spans="1:17">
      <c r="A1128" s="2906">
        <v>9</v>
      </c>
      <c r="B1128" s="2906" t="s">
        <v>2794</v>
      </c>
      <c r="C1128" s="2906"/>
      <c r="D1128" s="3036"/>
      <c r="E1128" s="3036"/>
      <c r="F1128" s="3036"/>
      <c r="G1128" s="3036"/>
      <c r="H1128" s="3036"/>
      <c r="I1128" s="3036"/>
      <c r="J1128" s="3036"/>
      <c r="K1128" s="3036"/>
      <c r="L1128" s="3036"/>
      <c r="M1128" s="3036"/>
      <c r="O1128" s="3029" t="s">
        <v>1960</v>
      </c>
      <c r="P1128" s="2933">
        <f>'Part VIII-Threshold Criteria'!P178</f>
        <v>0</v>
      </c>
      <c r="Q1128" s="2933"/>
    </row>
    <row r="1129" spans="1:17">
      <c r="B1129" s="3030" t="s">
        <v>2080</v>
      </c>
      <c r="C1129" s="2969" t="s">
        <v>3265</v>
      </c>
      <c r="D1129" s="2969"/>
      <c r="E1129" s="2969"/>
      <c r="F1129" s="2969"/>
      <c r="G1129" s="2969"/>
      <c r="H1129" s="2969"/>
      <c r="I1129" s="2969"/>
      <c r="J1129" s="2969"/>
      <c r="K1129" s="2969"/>
      <c r="L1129" s="2969"/>
      <c r="M1129" s="2969"/>
      <c r="N1129" s="2969"/>
      <c r="O1129" s="3078" t="s">
        <v>2080</v>
      </c>
      <c r="P1129" s="3032" t="str">
        <f>'Part VIII-Threshold Criteria'!P179</f>
        <v>Yes</v>
      </c>
      <c r="Q1129" s="3032">
        <f>'Part VIII-Threshold Criteria'!Q179</f>
        <v>0</v>
      </c>
    </row>
    <row r="1130" spans="1:17">
      <c r="B1130" s="3030" t="s">
        <v>2083</v>
      </c>
      <c r="C1130" s="2969" t="s">
        <v>2632</v>
      </c>
      <c r="D1130" s="2969"/>
      <c r="E1130" s="2969"/>
      <c r="F1130" s="2969"/>
      <c r="G1130" s="2969"/>
      <c r="H1130" s="2969"/>
      <c r="I1130" s="2969"/>
      <c r="J1130" s="2969"/>
      <c r="K1130" s="2969"/>
      <c r="L1130" s="2969"/>
      <c r="M1130" s="2969"/>
      <c r="N1130" s="2969"/>
      <c r="O1130" s="3078" t="s">
        <v>2083</v>
      </c>
      <c r="P1130" s="3032">
        <f>'Part VIII-Threshold Criteria'!P180</f>
        <v>0</v>
      </c>
      <c r="Q1130" s="3032">
        <f>'Part VIII-Threshold Criteria'!Q180</f>
        <v>0</v>
      </c>
    </row>
    <row r="1131" spans="1:17">
      <c r="B1131" s="3030" t="s">
        <v>788</v>
      </c>
      <c r="C1131" s="2969" t="s">
        <v>2778</v>
      </c>
      <c r="D1131" s="2969"/>
      <c r="E1131" s="2969"/>
      <c r="F1131" s="2969"/>
      <c r="G1131" s="2969"/>
      <c r="H1131" s="2969"/>
      <c r="I1131" s="2969"/>
      <c r="J1131" s="2969"/>
      <c r="K1131" s="2969"/>
      <c r="L1131" s="2969"/>
      <c r="M1131" s="2969"/>
      <c r="N1131" s="2969"/>
      <c r="O1131" s="3078" t="s">
        <v>788</v>
      </c>
      <c r="P1131" s="3032">
        <f>'Part VIII-Threshold Criteria'!P181</f>
        <v>0</v>
      </c>
      <c r="Q1131" s="3032">
        <f>'Part VIII-Threshold Criteria'!Q181</f>
        <v>0</v>
      </c>
    </row>
    <row r="1132" spans="1:17">
      <c r="B1132" s="3067" t="s">
        <v>1958</v>
      </c>
      <c r="D1132" s="3067"/>
      <c r="E1132" s="3067"/>
      <c r="F1132" s="3067"/>
      <c r="G1132" s="3067"/>
      <c r="H1132" s="3031"/>
      <c r="I1132" s="3028"/>
      <c r="J1132" s="3028"/>
      <c r="K1132" s="3028"/>
      <c r="L1132" s="2927"/>
      <c r="M1132" s="2927"/>
      <c r="N1132" s="2927"/>
      <c r="O1132" s="2927"/>
      <c r="P1132" s="2927"/>
      <c r="Q1132" s="2927"/>
    </row>
    <row r="1133" spans="1:17">
      <c r="A1133" s="2969" t="str">
        <f>'Part VIII-Threshold Criteria'!A183</f>
        <v>The site is an existing apartment property that  has access from frontage on a paved road, Rolling Pine Drive.</v>
      </c>
      <c r="B1133" s="2969"/>
      <c r="C1133" s="2969"/>
      <c r="D1133" s="2969"/>
      <c r="E1133" s="2969"/>
      <c r="F1133" s="2969"/>
      <c r="G1133" s="2969"/>
      <c r="H1133" s="2969"/>
      <c r="I1133" s="2969"/>
      <c r="J1133" s="2969"/>
      <c r="K1133" s="2969"/>
      <c r="L1133" s="2969"/>
      <c r="M1133" s="2969"/>
      <c r="N1133" s="2969"/>
      <c r="O1133" s="2969"/>
      <c r="P1133" s="2969"/>
      <c r="Q1133" s="2969"/>
    </row>
    <row r="1134" spans="1:17">
      <c r="B1134" s="3034" t="s">
        <v>1959</v>
      </c>
      <c r="C1134" s="3035"/>
      <c r="D1134" s="3036"/>
      <c r="E1134" s="3036"/>
      <c r="F1134" s="3036"/>
      <c r="G1134" s="3036"/>
      <c r="H1134" s="3036"/>
      <c r="I1134" s="3036"/>
      <c r="J1134" s="3036"/>
      <c r="K1134" s="3036"/>
      <c r="L1134" s="3036"/>
      <c r="M1134" s="3036"/>
      <c r="N1134" s="3036"/>
      <c r="O1134" s="3036"/>
      <c r="P1134" s="3036"/>
    </row>
    <row r="1135" spans="1:17">
      <c r="A1135" s="2969">
        <f>'Part VIII-Threshold Criteria'!A185</f>
        <v>0</v>
      </c>
      <c r="B1135" s="2969"/>
      <c r="C1135" s="2969"/>
      <c r="D1135" s="2969"/>
      <c r="E1135" s="2969"/>
      <c r="F1135" s="2969"/>
      <c r="G1135" s="2969"/>
      <c r="H1135" s="2969"/>
      <c r="I1135" s="2969"/>
      <c r="J1135" s="2969"/>
      <c r="K1135" s="2969"/>
      <c r="L1135" s="2969"/>
      <c r="M1135" s="2969"/>
      <c r="N1135" s="2969"/>
      <c r="O1135" s="2969"/>
      <c r="P1135" s="2969"/>
      <c r="Q1135" s="2969"/>
    </row>
    <row r="1136" spans="1:17">
      <c r="B1136" s="3028"/>
      <c r="C1136" s="3036"/>
      <c r="D1136" s="3036"/>
      <c r="E1136" s="3036"/>
      <c r="F1136" s="3036"/>
      <c r="G1136" s="3036"/>
      <c r="H1136" s="3036"/>
      <c r="I1136" s="3036"/>
      <c r="J1136" s="3036"/>
      <c r="K1136" s="3036"/>
      <c r="L1136" s="3036"/>
      <c r="M1136" s="3036"/>
      <c r="N1136" s="3036"/>
      <c r="O1136" s="3036"/>
      <c r="P1136" s="3036"/>
      <c r="Q1136" s="2927"/>
    </row>
    <row r="1137" spans="1:17">
      <c r="A1137" s="2926">
        <v>10</v>
      </c>
      <c r="B1137" s="3090" t="s">
        <v>2795</v>
      </c>
      <c r="C1137" s="3090"/>
      <c r="D1137" s="3090"/>
      <c r="O1137" s="3029" t="s">
        <v>1960</v>
      </c>
      <c r="P1137" s="2933">
        <f>'Part VIII-Threshold Criteria'!P187</f>
        <v>0</v>
      </c>
      <c r="Q1137" s="2933"/>
    </row>
    <row r="1138" spans="1:17">
      <c r="B1138" s="3030" t="s">
        <v>2080</v>
      </c>
      <c r="C1138" s="3091" t="s">
        <v>489</v>
      </c>
      <c r="D1138" s="3091"/>
      <c r="E1138" s="3091"/>
      <c r="F1138" s="3091"/>
      <c r="G1138" s="3091"/>
      <c r="H1138" s="3091"/>
      <c r="I1138" s="3091"/>
      <c r="J1138" s="3091"/>
      <c r="K1138" s="3091"/>
      <c r="L1138" s="3091"/>
      <c r="M1138" s="3091"/>
      <c r="O1138" s="3078" t="s">
        <v>2080</v>
      </c>
      <c r="P1138" s="3032" t="str">
        <f>'Part VIII-Threshold Criteria'!P188</f>
        <v>Yes</v>
      </c>
      <c r="Q1138" s="3032">
        <f>'Part VIII-Threshold Criteria'!Q188</f>
        <v>0</v>
      </c>
    </row>
    <row r="1139" spans="1:17">
      <c r="B1139" s="3030" t="s">
        <v>2083</v>
      </c>
      <c r="C1139" s="3091" t="s">
        <v>2779</v>
      </c>
      <c r="D1139" s="3091"/>
      <c r="E1139" s="3091"/>
      <c r="F1139" s="3091"/>
      <c r="G1139" s="3091"/>
      <c r="H1139" s="3091"/>
      <c r="I1139" s="3091"/>
      <c r="J1139" s="3091"/>
      <c r="K1139" s="3091"/>
      <c r="L1139" s="3091"/>
      <c r="M1139" s="3091"/>
      <c r="O1139" s="3078" t="s">
        <v>2083</v>
      </c>
      <c r="P1139" s="3032" t="str">
        <f>'Part VIII-Threshold Criteria'!P189</f>
        <v>Yes</v>
      </c>
      <c r="Q1139" s="3032">
        <f>'Part VIII-Threshold Criteria'!Q189</f>
        <v>0</v>
      </c>
    </row>
    <row r="1140" spans="1:17">
      <c r="B1140" s="3030" t="s">
        <v>788</v>
      </c>
      <c r="C1140" s="3091" t="s">
        <v>2780</v>
      </c>
      <c r="D1140" s="3091"/>
      <c r="E1140" s="3091"/>
      <c r="F1140" s="3091"/>
      <c r="G1140" s="3091"/>
      <c r="H1140" s="3091"/>
      <c r="I1140" s="3091"/>
      <c r="J1140" s="3091"/>
      <c r="K1140" s="3091"/>
      <c r="L1140" s="3091"/>
      <c r="M1140" s="3091"/>
      <c r="O1140" s="3078" t="s">
        <v>788</v>
      </c>
      <c r="P1140" s="3032" t="str">
        <f>'Part VIII-Threshold Criteria'!P190</f>
        <v>Yes</v>
      </c>
      <c r="Q1140" s="3032">
        <f>'Part VIII-Threshold Criteria'!Q190</f>
        <v>0</v>
      </c>
    </row>
    <row r="1141" spans="1:17">
      <c r="B1141" s="3030"/>
      <c r="C1141" s="3091" t="s">
        <v>2768</v>
      </c>
      <c r="D1141" s="3091"/>
      <c r="E1141" s="3082" t="s">
        <v>1824</v>
      </c>
      <c r="F1141" s="3091" t="s">
        <v>2781</v>
      </c>
      <c r="G1141" s="3091"/>
      <c r="H1141" s="3091"/>
      <c r="I1141" s="3091"/>
      <c r="J1141" s="3091"/>
      <c r="K1141" s="3091"/>
      <c r="L1141" s="3091"/>
      <c r="M1141" s="3091"/>
      <c r="O1141" s="3082" t="s">
        <v>1824</v>
      </c>
      <c r="P1141" s="3032" t="str">
        <f>'Part VIII-Threshold Criteria'!P191</f>
        <v>Yes</v>
      </c>
      <c r="Q1141" s="3032">
        <f>'Part VIII-Threshold Criteria'!Q191</f>
        <v>0</v>
      </c>
    </row>
    <row r="1142" spans="1:17">
      <c r="B1142" s="3030"/>
      <c r="C1142" s="3091"/>
      <c r="D1142" s="3091"/>
      <c r="E1142" s="3082" t="s">
        <v>1825</v>
      </c>
      <c r="F1142" s="3091" t="s">
        <v>4614</v>
      </c>
      <c r="G1142" s="3091"/>
      <c r="H1142" s="3091"/>
      <c r="I1142" s="3091"/>
      <c r="J1142" s="3091"/>
      <c r="K1142" s="3091"/>
      <c r="L1142" s="3091"/>
      <c r="M1142" s="3091"/>
      <c r="O1142" s="3082" t="s">
        <v>1825</v>
      </c>
      <c r="P1142" s="3032" t="str">
        <f>'Part VIII-Threshold Criteria'!P192</f>
        <v>Yes</v>
      </c>
      <c r="Q1142" s="3032">
        <f>'Part VIII-Threshold Criteria'!Q192</f>
        <v>0</v>
      </c>
    </row>
    <row r="1143" spans="1:17">
      <c r="A1143" s="3077"/>
      <c r="B1143" s="3030"/>
      <c r="C1143" s="3091"/>
      <c r="D1143" s="3091"/>
      <c r="E1143" s="3078" t="s">
        <v>1826</v>
      </c>
      <c r="F1143" s="2969" t="s">
        <v>4175</v>
      </c>
      <c r="G1143" s="2969"/>
      <c r="H1143" s="2969"/>
      <c r="I1143" s="2969"/>
      <c r="J1143" s="2969"/>
      <c r="K1143" s="2969"/>
      <c r="L1143" s="2969"/>
      <c r="M1143" s="2969"/>
      <c r="N1143" s="2969"/>
      <c r="O1143" s="3078" t="s">
        <v>1826</v>
      </c>
      <c r="P1143" s="3032" t="str">
        <f>'Part VIII-Threshold Criteria'!P193</f>
        <v>Yes</v>
      </c>
      <c r="Q1143" s="3032">
        <f>'Part VIII-Threshold Criteria'!Q193</f>
        <v>0</v>
      </c>
    </row>
    <row r="1144" spans="1:17">
      <c r="B1144" s="3030"/>
      <c r="C1144" s="3091"/>
      <c r="D1144" s="3091"/>
      <c r="E1144" s="3082" t="s">
        <v>2476</v>
      </c>
      <c r="F1144" s="3091" t="s">
        <v>2783</v>
      </c>
      <c r="G1144" s="3091"/>
      <c r="H1144" s="3091"/>
      <c r="I1144" s="3091"/>
      <c r="J1144" s="3091"/>
      <c r="K1144" s="3091"/>
      <c r="L1144" s="3091"/>
      <c r="M1144" s="3091"/>
      <c r="O1144" s="3082" t="s">
        <v>2476</v>
      </c>
      <c r="P1144" s="3032" t="str">
        <f>'Part VIII-Threshold Criteria'!P194</f>
        <v>Yes</v>
      </c>
      <c r="Q1144" s="3032">
        <f>'Part VIII-Threshold Criteria'!Q194</f>
        <v>0</v>
      </c>
    </row>
    <row r="1145" spans="1:17">
      <c r="A1145" s="3077"/>
      <c r="B1145" s="3030"/>
      <c r="C1145" s="3091"/>
      <c r="D1145" s="3091"/>
      <c r="E1145" s="3078" t="s">
        <v>1625</v>
      </c>
      <c r="F1145" s="2969" t="s">
        <v>2784</v>
      </c>
      <c r="G1145" s="2969"/>
      <c r="H1145" s="2969"/>
      <c r="I1145" s="2969"/>
      <c r="J1145" s="2969"/>
      <c r="K1145" s="2969"/>
      <c r="L1145" s="2969"/>
      <c r="M1145" s="2969"/>
      <c r="N1145" s="2969"/>
      <c r="O1145" s="3078" t="s">
        <v>1625</v>
      </c>
      <c r="P1145" s="3032">
        <f>'Part VIII-Threshold Criteria'!P195</f>
        <v>0</v>
      </c>
      <c r="Q1145" s="3032">
        <f>'Part VIII-Threshold Criteria'!Q195</f>
        <v>0</v>
      </c>
    </row>
    <row r="1146" spans="1:17">
      <c r="B1146" s="3030" t="s">
        <v>2215</v>
      </c>
      <c r="C1146" s="2969" t="s">
        <v>2785</v>
      </c>
      <c r="D1146" s="2969"/>
      <c r="E1146" s="2969"/>
      <c r="F1146" s="2969"/>
      <c r="G1146" s="2969"/>
      <c r="H1146" s="2969"/>
      <c r="I1146" s="2969"/>
      <c r="J1146" s="2969"/>
      <c r="K1146" s="2969"/>
      <c r="L1146" s="2969"/>
      <c r="M1146" s="2969"/>
      <c r="N1146" s="2969"/>
      <c r="O1146" s="3078" t="s">
        <v>2215</v>
      </c>
      <c r="P1146" s="3032" t="str">
        <f>'Part VIII-Threshold Criteria'!P196</f>
        <v>Yes</v>
      </c>
      <c r="Q1146" s="3032">
        <f>'Part VIII-Threshold Criteria'!Q196</f>
        <v>0</v>
      </c>
    </row>
    <row r="1147" spans="1:17">
      <c r="B1147" s="3030" t="s">
        <v>1822</v>
      </c>
      <c r="C1147" s="3091" t="s">
        <v>2492</v>
      </c>
      <c r="D1147" s="3091"/>
      <c r="E1147" s="3091"/>
      <c r="F1147" s="3091"/>
      <c r="G1147" s="3091"/>
      <c r="H1147" s="3091"/>
      <c r="I1147" s="3091"/>
      <c r="J1147" s="3091"/>
      <c r="K1147" s="3091"/>
      <c r="L1147" s="3091"/>
      <c r="M1147" s="3091"/>
      <c r="O1147" s="3078" t="s">
        <v>1822</v>
      </c>
      <c r="P1147" s="3032" t="str">
        <f>'Part VIII-Threshold Criteria'!P197</f>
        <v>Yes</v>
      </c>
      <c r="Q1147" s="3032">
        <f>'Part VIII-Threshold Criteria'!Q197</f>
        <v>0</v>
      </c>
    </row>
    <row r="1148" spans="1:17">
      <c r="B1148" s="3067" t="s">
        <v>1958</v>
      </c>
      <c r="D1148" s="3067"/>
      <c r="E1148" s="3067"/>
      <c r="F1148" s="3067"/>
      <c r="G1148" s="3067"/>
      <c r="H1148" s="3031"/>
      <c r="I1148" s="3028"/>
      <c r="J1148" s="3028"/>
      <c r="K1148" s="3028"/>
      <c r="L1148" s="2927"/>
      <c r="M1148" s="2927"/>
      <c r="N1148" s="2927"/>
      <c r="O1148" s="2927"/>
      <c r="P1148" s="2927"/>
      <c r="Q1148" s="2927"/>
    </row>
    <row r="1149" spans="1:17">
      <c r="A1149" s="2969" t="str">
        <f>'Part VIII-Threshold Criteria'!A199</f>
        <v>Zoning is in place and all required information submitted with application.    The property is an existing apartment community conforming to Lowndes County's requirements.</v>
      </c>
      <c r="B1149" s="2969"/>
      <c r="C1149" s="2969"/>
      <c r="D1149" s="2969"/>
      <c r="E1149" s="2969"/>
      <c r="F1149" s="2969"/>
      <c r="G1149" s="2969"/>
      <c r="H1149" s="2969"/>
      <c r="I1149" s="2969"/>
      <c r="J1149" s="2969"/>
      <c r="K1149" s="2969"/>
      <c r="L1149" s="2969"/>
      <c r="M1149" s="2969"/>
      <c r="N1149" s="2969"/>
      <c r="O1149" s="2969"/>
      <c r="P1149" s="2969"/>
      <c r="Q1149" s="2969"/>
    </row>
    <row r="1150" spans="1:17">
      <c r="B1150" s="3034" t="s">
        <v>1959</v>
      </c>
      <c r="C1150" s="3035"/>
      <c r="D1150" s="3036"/>
      <c r="E1150" s="3036"/>
      <c r="F1150" s="3036"/>
      <c r="G1150" s="3036"/>
      <c r="H1150" s="3036"/>
      <c r="I1150" s="3036"/>
      <c r="J1150" s="3036"/>
      <c r="K1150" s="3036"/>
      <c r="L1150" s="3036"/>
      <c r="M1150" s="3036"/>
      <c r="N1150" s="3036"/>
      <c r="O1150" s="3036"/>
      <c r="P1150" s="3036"/>
    </row>
    <row r="1151" spans="1:17">
      <c r="A1151" s="2969">
        <f>'Part VIII-Threshold Criteria'!A201</f>
        <v>0</v>
      </c>
      <c r="B1151" s="2969"/>
      <c r="C1151" s="2969"/>
      <c r="D1151" s="2969"/>
      <c r="E1151" s="2969"/>
      <c r="F1151" s="2969"/>
      <c r="G1151" s="2969"/>
      <c r="H1151" s="2969"/>
      <c r="I1151" s="2969"/>
      <c r="J1151" s="2969"/>
      <c r="K1151" s="2969"/>
      <c r="L1151" s="2969"/>
      <c r="M1151" s="2969"/>
      <c r="N1151" s="2969"/>
      <c r="O1151" s="2969"/>
      <c r="P1151" s="2969"/>
      <c r="Q1151" s="2969"/>
    </row>
    <row r="1152" spans="1:17">
      <c r="A1152" s="2927"/>
      <c r="B1152" s="3028"/>
      <c r="C1152" s="3036"/>
      <c r="D1152" s="3036"/>
      <c r="E1152" s="3036"/>
      <c r="F1152" s="3036"/>
      <c r="G1152" s="3036"/>
      <c r="H1152" s="3036"/>
      <c r="I1152" s="3036"/>
      <c r="J1152" s="3036"/>
      <c r="K1152" s="3036"/>
      <c r="L1152" s="3036"/>
      <c r="M1152" s="3036"/>
      <c r="N1152" s="3036"/>
      <c r="O1152" s="3036"/>
      <c r="P1152" s="3036"/>
      <c r="Q1152" s="2927"/>
    </row>
    <row r="1153" spans="1:17">
      <c r="A1153" s="2906">
        <v>11</v>
      </c>
      <c r="B1153" s="2906" t="s">
        <v>2796</v>
      </c>
      <c r="C1153" s="2906"/>
      <c r="D1153" s="3036"/>
      <c r="E1153" s="2869"/>
      <c r="F1153" s="2869"/>
      <c r="G1153" s="3036"/>
      <c r="J1153" s="3070"/>
      <c r="K1153" s="3070"/>
      <c r="L1153" s="3070"/>
      <c r="M1153" s="3070"/>
      <c r="N1153" s="3070"/>
      <c r="O1153" s="3029" t="s">
        <v>1960</v>
      </c>
      <c r="P1153" s="2933">
        <f>'Part VIII-Threshold Criteria'!P203</f>
        <v>0</v>
      </c>
      <c r="Q1153" s="2933"/>
    </row>
    <row r="1154" spans="1:17">
      <c r="A1154" s="3081"/>
      <c r="B1154" s="3033" t="s">
        <v>2080</v>
      </c>
      <c r="C1154" s="2969" t="s">
        <v>99</v>
      </c>
      <c r="D1154" s="2969"/>
      <c r="E1154" s="2969"/>
      <c r="F1154" s="2969"/>
      <c r="G1154" s="2969"/>
      <c r="H1154" s="3003" t="s">
        <v>1824</v>
      </c>
      <c r="I1154" s="522" t="s">
        <v>157</v>
      </c>
      <c r="K1154" s="3073" t="str">
        <f>'Part VIII-Threshold Criteria'!K204</f>
        <v>N/A</v>
      </c>
      <c r="L1154" s="3073"/>
      <c r="M1154" s="3073"/>
      <c r="N1154" s="3073"/>
      <c r="O1154" s="3003" t="s">
        <v>1824</v>
      </c>
      <c r="P1154" s="3032" t="str">
        <f>'Part VIII-Threshold Criteria'!P204</f>
        <v>No</v>
      </c>
      <c r="Q1154" s="3032">
        <f>'Part VIII-Threshold Criteria'!Q204</f>
        <v>0</v>
      </c>
    </row>
    <row r="1155" spans="1:17">
      <c r="A1155" s="3081"/>
      <c r="B1155" s="3028"/>
      <c r="C1155" s="2944"/>
      <c r="D1155" s="2944"/>
      <c r="E1155" s="2944"/>
      <c r="F1155" s="2944"/>
      <c r="H1155" s="3003" t="s">
        <v>1825</v>
      </c>
      <c r="I1155" s="522" t="s">
        <v>1672</v>
      </c>
      <c r="K1155" s="3073" t="str">
        <f>'Part VIII-Threshold Criteria'!K205</f>
        <v>Georgia Power</v>
      </c>
      <c r="L1155" s="3073"/>
      <c r="M1155" s="3073"/>
      <c r="N1155" s="3073"/>
      <c r="O1155" s="3003" t="s">
        <v>1825</v>
      </c>
      <c r="P1155" s="3032" t="str">
        <f>'Part VIII-Threshold Criteria'!P205</f>
        <v>Yes</v>
      </c>
      <c r="Q1155" s="3032">
        <f>'Part VIII-Threshold Criteria'!Q205</f>
        <v>0</v>
      </c>
    </row>
    <row r="1156" spans="1:17">
      <c r="B1156" s="3067" t="s">
        <v>1958</v>
      </c>
      <c r="D1156" s="3067"/>
      <c r="E1156" s="3067"/>
      <c r="F1156" s="3067"/>
      <c r="G1156" s="3067"/>
      <c r="J1156" s="3028"/>
      <c r="K1156" s="3028"/>
      <c r="L1156" s="2927"/>
      <c r="M1156" s="2927"/>
      <c r="N1156" s="2927"/>
      <c r="O1156" s="2927"/>
      <c r="P1156" s="2927"/>
      <c r="Q1156" s="2927"/>
    </row>
    <row r="1157" spans="1:17">
      <c r="A1157" s="2969" t="str">
        <f>'Part VIII-Threshold Criteria'!A207</f>
        <v>Georgia Power is currently providing power to the existing apartments and will continue to provide power.  Required letter is provided.  Gas will not be used.</v>
      </c>
      <c r="B1157" s="2969"/>
      <c r="C1157" s="2969"/>
      <c r="D1157" s="2969"/>
      <c r="E1157" s="2969"/>
      <c r="F1157" s="2969"/>
      <c r="G1157" s="2969"/>
      <c r="H1157" s="2969"/>
      <c r="I1157" s="2969"/>
      <c r="J1157" s="2969"/>
      <c r="K1157" s="2969"/>
      <c r="L1157" s="2969"/>
      <c r="M1157" s="2969"/>
      <c r="N1157" s="2969"/>
      <c r="O1157" s="2969"/>
      <c r="P1157" s="2969"/>
      <c r="Q1157" s="2969"/>
    </row>
    <row r="1158" spans="1:17">
      <c r="B1158" s="3034" t="s">
        <v>1959</v>
      </c>
      <c r="C1158" s="3035"/>
      <c r="D1158" s="3036"/>
      <c r="E1158" s="3036"/>
      <c r="F1158" s="3036"/>
      <c r="G1158" s="3036"/>
      <c r="H1158" s="3036"/>
      <c r="I1158" s="3036"/>
      <c r="J1158" s="3036"/>
      <c r="K1158" s="3036"/>
      <c r="L1158" s="3036"/>
      <c r="M1158" s="3036"/>
      <c r="N1158" s="3036"/>
      <c r="O1158" s="3036"/>
      <c r="P1158" s="3036"/>
    </row>
    <row r="1159" spans="1:17">
      <c r="A1159" s="2969">
        <f>'Part VIII-Threshold Criteria'!A209</f>
        <v>0</v>
      </c>
      <c r="B1159" s="2969"/>
      <c r="C1159" s="2969"/>
      <c r="D1159" s="2969"/>
      <c r="E1159" s="2969"/>
      <c r="F1159" s="2969"/>
      <c r="G1159" s="2969"/>
      <c r="H1159" s="2969"/>
      <c r="I1159" s="2969"/>
      <c r="J1159" s="2969"/>
      <c r="K1159" s="2969"/>
      <c r="L1159" s="2969"/>
      <c r="M1159" s="2969"/>
      <c r="N1159" s="2969"/>
      <c r="O1159" s="2969"/>
      <c r="P1159" s="2969"/>
      <c r="Q1159" s="2969"/>
    </row>
    <row r="1160" spans="1:17">
      <c r="B1160" s="3028"/>
      <c r="C1160" s="3036"/>
      <c r="D1160" s="3036"/>
      <c r="E1160" s="3036"/>
      <c r="F1160" s="3036"/>
      <c r="G1160" s="3036"/>
      <c r="H1160" s="3036"/>
      <c r="I1160" s="3036"/>
      <c r="J1160" s="3036"/>
      <c r="K1160" s="3036"/>
      <c r="L1160" s="3036"/>
      <c r="M1160" s="3036"/>
      <c r="Q1160" s="2927"/>
    </row>
    <row r="1161" spans="1:17">
      <c r="A1161" s="2906">
        <v>12</v>
      </c>
      <c r="B1161" s="524" t="s">
        <v>2797</v>
      </c>
      <c r="C1161" s="524"/>
      <c r="D1161" s="3027"/>
      <c r="E1161" s="3027"/>
      <c r="F1161" s="3027"/>
      <c r="G1161" s="3036"/>
      <c r="H1161" s="3036"/>
      <c r="I1161" s="3036"/>
      <c r="J1161" s="3036"/>
      <c r="K1161" s="3036"/>
      <c r="L1161" s="3036"/>
      <c r="M1161" s="3036"/>
      <c r="O1161" s="3029" t="s">
        <v>1960</v>
      </c>
      <c r="P1161" s="2933">
        <f>'Part VIII-Threshold Criteria'!P211</f>
        <v>0</v>
      </c>
      <c r="Q1161" s="2933"/>
    </row>
    <row r="1163" spans="1:17">
      <c r="B1163" s="3030" t="s">
        <v>2080</v>
      </c>
      <c r="C1163" s="3092" t="s">
        <v>1824</v>
      </c>
      <c r="D1163" s="3093" t="s">
        <v>537</v>
      </c>
      <c r="E1163" s="3093"/>
      <c r="F1163" s="3093"/>
      <c r="G1163" s="3093"/>
      <c r="H1163" s="3093"/>
      <c r="I1163" s="3093"/>
      <c r="J1163" s="3093"/>
      <c r="K1163" s="3093"/>
      <c r="L1163" s="3093"/>
      <c r="M1163" s="3093"/>
      <c r="N1163" s="3093"/>
      <c r="O1163" s="3078" t="s">
        <v>1561</v>
      </c>
      <c r="P1163" s="3032" t="str">
        <f>'Part VIII-Threshold Criteria'!P213</f>
        <v>No</v>
      </c>
      <c r="Q1163" s="3032">
        <f>'Part VIII-Threshold Criteria'!Q213</f>
        <v>0</v>
      </c>
    </row>
    <row r="1164" spans="1:17">
      <c r="B1164" s="3030"/>
      <c r="C1164" s="3092" t="s">
        <v>1825</v>
      </c>
      <c r="D1164" s="3093" t="s">
        <v>1541</v>
      </c>
      <c r="E1164" s="3093"/>
      <c r="F1164" s="3093"/>
      <c r="G1164" s="3093"/>
      <c r="H1164" s="3093"/>
      <c r="I1164" s="3093"/>
      <c r="J1164" s="3093"/>
      <c r="K1164" s="3093"/>
      <c r="L1164" s="3093"/>
      <c r="M1164" s="3093"/>
      <c r="N1164" s="3093"/>
      <c r="O1164" s="3078" t="s">
        <v>1825</v>
      </c>
      <c r="P1164" s="3032">
        <f>'Part VIII-Threshold Criteria'!P214</f>
        <v>0</v>
      </c>
      <c r="Q1164" s="3032">
        <f>'Part VIII-Threshold Criteria'!Q214</f>
        <v>0</v>
      </c>
    </row>
    <row r="1165" spans="1:17">
      <c r="A1165" s="3081"/>
      <c r="B1165" s="3030" t="s">
        <v>2083</v>
      </c>
      <c r="C1165" s="2969" t="s">
        <v>1941</v>
      </c>
      <c r="D1165" s="2969"/>
      <c r="E1165" s="2969"/>
      <c r="F1165" s="2969"/>
      <c r="G1165" s="2969"/>
      <c r="H1165" s="3003" t="s">
        <v>1824</v>
      </c>
      <c r="I1165" s="522" t="s">
        <v>665</v>
      </c>
      <c r="K1165" s="3073" t="str">
        <f>'Part VIII-Threshold Criteria'!K215</f>
        <v>Lowndes County Utilities</v>
      </c>
      <c r="L1165" s="3073"/>
      <c r="M1165" s="3073"/>
      <c r="N1165" s="3073"/>
      <c r="O1165" s="3003" t="s">
        <v>1519</v>
      </c>
      <c r="P1165" s="3032" t="str">
        <f>'Part VIII-Threshold Criteria'!P215</f>
        <v>Yes</v>
      </c>
      <c r="Q1165" s="3032">
        <f>'Part VIII-Threshold Criteria'!Q215</f>
        <v>0</v>
      </c>
    </row>
    <row r="1166" spans="1:17">
      <c r="A1166" s="3081"/>
      <c r="B1166" s="2921"/>
      <c r="C1166" s="2969"/>
      <c r="D1166" s="2969"/>
      <c r="E1166" s="2969"/>
      <c r="F1166" s="2969"/>
      <c r="G1166" s="2969"/>
      <c r="H1166" s="3003" t="s">
        <v>1825</v>
      </c>
      <c r="I1166" s="522" t="s">
        <v>118</v>
      </c>
      <c r="K1166" s="3073" t="str">
        <f>'Part VIII-Threshold Criteria'!K216</f>
        <v>Lowndes County Utilities</v>
      </c>
      <c r="L1166" s="3073"/>
      <c r="M1166" s="3073"/>
      <c r="N1166" s="3073"/>
      <c r="O1166" s="3003" t="s">
        <v>1825</v>
      </c>
      <c r="P1166" s="3032" t="str">
        <f>'Part VIII-Threshold Criteria'!P216</f>
        <v>Yes</v>
      </c>
      <c r="Q1166" s="3032">
        <f>'Part VIII-Threshold Criteria'!Q216</f>
        <v>0</v>
      </c>
    </row>
    <row r="1167" spans="1:17">
      <c r="B1167" s="3067" t="s">
        <v>1958</v>
      </c>
      <c r="D1167" s="3067"/>
      <c r="E1167" s="3067"/>
      <c r="F1167" s="3067"/>
      <c r="G1167" s="3067"/>
      <c r="H1167" s="3031"/>
      <c r="I1167" s="3028"/>
      <c r="J1167" s="3028"/>
      <c r="K1167" s="3028"/>
      <c r="L1167" s="2927"/>
      <c r="M1167" s="2927"/>
      <c r="N1167" s="2927"/>
      <c r="O1167" s="2927"/>
      <c r="P1167" s="2927"/>
      <c r="Q1167" s="2927"/>
    </row>
    <row r="1168" spans="1:17">
      <c r="A1168" s="2969" t="str">
        <f>'Part VIII-Threshold Criteria'!A218</f>
        <v>Lowndes County is currently providing water and sewer to the existing apartments and will continue to provide water and sewer.   Required letter is provided.</v>
      </c>
      <c r="B1168" s="2969"/>
      <c r="C1168" s="2969"/>
      <c r="D1168" s="2969"/>
      <c r="E1168" s="2969"/>
      <c r="F1168" s="2969"/>
      <c r="G1168" s="2969"/>
      <c r="H1168" s="2969"/>
      <c r="I1168" s="2969"/>
      <c r="J1168" s="2969"/>
      <c r="K1168" s="2969"/>
      <c r="L1168" s="2969"/>
      <c r="M1168" s="2969"/>
      <c r="N1168" s="2969"/>
      <c r="O1168" s="2969"/>
      <c r="P1168" s="2969"/>
      <c r="Q1168" s="2969"/>
    </row>
    <row r="1169" spans="1:17">
      <c r="B1169" s="3034" t="s">
        <v>1959</v>
      </c>
      <c r="C1169" s="3035"/>
      <c r="D1169" s="3036"/>
      <c r="E1169" s="3036"/>
      <c r="F1169" s="3036"/>
      <c r="G1169" s="3036"/>
      <c r="H1169" s="3036"/>
      <c r="I1169" s="3036"/>
      <c r="J1169" s="3036"/>
      <c r="K1169" s="3036"/>
      <c r="L1169" s="3036"/>
      <c r="M1169" s="3036"/>
      <c r="N1169" s="3036"/>
      <c r="O1169" s="3036"/>
      <c r="P1169" s="3036"/>
    </row>
    <row r="1170" spans="1:17">
      <c r="A1170" s="2969">
        <f>'Part VIII-Threshold Criteria'!A220</f>
        <v>0</v>
      </c>
      <c r="B1170" s="2969"/>
      <c r="C1170" s="2969"/>
      <c r="D1170" s="2969"/>
      <c r="E1170" s="2969"/>
      <c r="F1170" s="2969"/>
      <c r="G1170" s="2969"/>
      <c r="H1170" s="2969"/>
      <c r="I1170" s="2969"/>
      <c r="J1170" s="2969"/>
      <c r="K1170" s="2969"/>
      <c r="L1170" s="2969"/>
      <c r="M1170" s="2969"/>
      <c r="N1170" s="2969"/>
      <c r="O1170" s="2969"/>
      <c r="P1170" s="2969"/>
      <c r="Q1170" s="2969"/>
    </row>
    <row r="1171" spans="1:17">
      <c r="A1171" s="2927"/>
      <c r="B1171" s="3028"/>
      <c r="C1171" s="3036"/>
      <c r="D1171" s="3036"/>
      <c r="E1171" s="3036"/>
      <c r="F1171" s="3036"/>
      <c r="G1171" s="3036"/>
      <c r="H1171" s="3036"/>
      <c r="I1171" s="3036"/>
      <c r="J1171" s="3036"/>
      <c r="K1171" s="3036"/>
      <c r="L1171" s="3036"/>
      <c r="M1171" s="3036"/>
      <c r="Q1171" s="2927"/>
    </row>
    <row r="1172" spans="1:17">
      <c r="A1172" s="2906">
        <v>13</v>
      </c>
      <c r="B1172" s="524" t="s">
        <v>2798</v>
      </c>
      <c r="C1172" s="524"/>
      <c r="D1172" s="3027"/>
      <c r="E1172" s="3027"/>
      <c r="F1172" s="3027"/>
      <c r="G1172" s="3027"/>
      <c r="H1172" s="3036"/>
      <c r="I1172" s="3036"/>
      <c r="J1172" s="3036"/>
      <c r="K1172" s="3036"/>
      <c r="L1172" s="3036"/>
      <c r="M1172" s="3036"/>
      <c r="O1172" s="3029" t="s">
        <v>1960</v>
      </c>
      <c r="P1172" s="2933">
        <f>'Part VIII-Threshold Criteria'!P222</f>
        <v>0</v>
      </c>
      <c r="Q1172" s="2933"/>
    </row>
    <row r="1173" spans="1:17">
      <c r="B1173" s="505" t="s">
        <v>149</v>
      </c>
    </row>
    <row r="1174" spans="1:17">
      <c r="B1174" s="3033" t="s">
        <v>2080</v>
      </c>
      <c r="C1174" s="522" t="s">
        <v>3329</v>
      </c>
      <c r="D1174" s="521"/>
      <c r="E1174" s="522"/>
      <c r="F1174" s="522"/>
      <c r="G1174" s="522"/>
      <c r="H1174" s="522"/>
      <c r="I1174" s="521"/>
      <c r="J1174" s="521"/>
      <c r="K1174" s="521"/>
      <c r="L1174" s="3091"/>
      <c r="M1174" s="3091"/>
      <c r="O1174" s="3078" t="s">
        <v>2080</v>
      </c>
      <c r="P1174" s="3032" t="str">
        <f>'Part VIII-Threshold Criteria'!P224</f>
        <v>Yes</v>
      </c>
      <c r="Q1174" s="3032">
        <f>'Part VIII-Threshold Criteria'!Q224</f>
        <v>0</v>
      </c>
    </row>
    <row r="1175" spans="1:17" ht="12.75" customHeight="1">
      <c r="B1175" s="3033"/>
      <c r="C1175" s="522"/>
      <c r="D1175" s="522" t="s">
        <v>3299</v>
      </c>
      <c r="E1175" s="522"/>
      <c r="F1175" s="522"/>
      <c r="G1175" s="3094" t="str">
        <f>'Part VIII-Threshold Criteria'!G225</f>
        <v>4/21 - 4/28</v>
      </c>
      <c r="H1175" s="3094"/>
      <c r="L1175" s="3095" t="s">
        <v>4366</v>
      </c>
      <c r="M1175" s="3094" t="str">
        <f>'Part VIII-Threshold Criteria'!M225</f>
        <v>4/21 - 4/28</v>
      </c>
      <c r="N1175" s="3094"/>
    </row>
    <row r="1176" spans="1:17">
      <c r="B1176" s="3033"/>
      <c r="C1176" s="522"/>
      <c r="D1176" s="505" t="s">
        <v>3301</v>
      </c>
      <c r="E1176" s="522"/>
      <c r="F1176" s="522"/>
      <c r="G1176" s="3073" t="str">
        <f>'Part VIII-Threshold Criteria'!G226</f>
        <v>Valdosta Daily Times,County Website,Posting At County Admin Building</v>
      </c>
      <c r="H1176" s="3073"/>
      <c r="I1176" s="3073"/>
      <c r="J1176" s="3073"/>
      <c r="K1176" s="3073"/>
      <c r="L1176" s="3095"/>
      <c r="M1176" s="3073" t="str">
        <f>'Part VIII-Threshold Criteria'!M226</f>
        <v>Valdosta Daily Times,County Website,Posting At County Admin Building</v>
      </c>
      <c r="N1176" s="3073"/>
      <c r="O1176" s="3073"/>
      <c r="P1176" s="3073"/>
      <c r="Q1176" s="3073"/>
    </row>
    <row r="1177" spans="1:17">
      <c r="B1177" s="3033"/>
      <c r="C1177" s="522"/>
      <c r="D1177" s="522" t="s">
        <v>3300</v>
      </c>
      <c r="E1177" s="521"/>
      <c r="G1177" s="3094">
        <f>'Part VIII-Threshold Criteria'!G227</f>
        <v>42122</v>
      </c>
      <c r="H1177" s="3094"/>
      <c r="I1177" s="522"/>
      <c r="J1177" s="521"/>
      <c r="K1177" s="521"/>
      <c r="L1177" s="3095"/>
      <c r="M1177" s="3094">
        <f>'Part VIII-Threshold Criteria'!M227</f>
        <v>42121</v>
      </c>
      <c r="N1177" s="3094"/>
    </row>
    <row r="1178" spans="1:17">
      <c r="B1178" s="3033" t="s">
        <v>2083</v>
      </c>
      <c r="C1178" s="522" t="s">
        <v>4363</v>
      </c>
      <c r="D1178" s="522"/>
      <c r="E1178" s="522"/>
      <c r="F1178" s="522"/>
      <c r="G1178" s="522"/>
      <c r="H1178" s="522"/>
      <c r="I1178" s="521"/>
      <c r="J1178" s="521"/>
      <c r="K1178" s="521"/>
      <c r="L1178" s="3068"/>
      <c r="M1178" s="3068"/>
      <c r="O1178" s="3078" t="s">
        <v>2083</v>
      </c>
      <c r="P1178" s="3032" t="str">
        <f>'Part VIII-Threshold Criteria'!P228</f>
        <v>Yes</v>
      </c>
      <c r="Q1178" s="3032">
        <f>'Part VIII-Threshold Criteria'!Q228</f>
        <v>0</v>
      </c>
    </row>
    <row r="1179" spans="1:17">
      <c r="B1179" s="3033" t="s">
        <v>788</v>
      </c>
      <c r="C1179" s="522" t="s">
        <v>4364</v>
      </c>
      <c r="D1179" s="522"/>
      <c r="E1179" s="522"/>
      <c r="F1179" s="522"/>
      <c r="G1179" s="522"/>
      <c r="H1179" s="522"/>
      <c r="I1179" s="521"/>
      <c r="J1179" s="521"/>
      <c r="K1179" s="521"/>
      <c r="L1179" s="3068"/>
      <c r="M1179" s="3068"/>
      <c r="O1179" s="3078" t="s">
        <v>788</v>
      </c>
      <c r="P1179" s="3032" t="str">
        <f>'Part VIII-Threshold Criteria'!P229</f>
        <v>Yes</v>
      </c>
      <c r="Q1179" s="3032">
        <f>'Part VIII-Threshold Criteria'!Q229</f>
        <v>0</v>
      </c>
    </row>
    <row r="1180" spans="1:17">
      <c r="B1180" s="3033" t="s">
        <v>2215</v>
      </c>
      <c r="C1180" s="522" t="s">
        <v>4176</v>
      </c>
      <c r="D1180" s="522"/>
      <c r="E1180" s="522"/>
      <c r="F1180" s="522"/>
      <c r="G1180" s="522"/>
      <c r="H1180" s="522"/>
      <c r="I1180" s="521"/>
      <c r="J1180" s="521"/>
      <c r="K1180" s="521"/>
      <c r="L1180" s="3091"/>
      <c r="M1180" s="3091"/>
      <c r="O1180" s="3003" t="s">
        <v>2215</v>
      </c>
      <c r="P1180" s="3032" t="str">
        <f>'Part VIII-Threshold Criteria'!P230</f>
        <v>Yes</v>
      </c>
      <c r="Q1180" s="3032">
        <f>'Part VIII-Threshold Criteria'!Q230</f>
        <v>0</v>
      </c>
    </row>
    <row r="1181" spans="1:17">
      <c r="B1181" s="3033" t="s">
        <v>1822</v>
      </c>
      <c r="C1181" s="522" t="s">
        <v>150</v>
      </c>
      <c r="D1181" s="522"/>
      <c r="E1181" s="522"/>
      <c r="F1181" s="522"/>
      <c r="G1181" s="522"/>
      <c r="H1181" s="522"/>
      <c r="I1181" s="521"/>
      <c r="J1181" s="521"/>
      <c r="K1181" s="521"/>
      <c r="L1181" s="521"/>
      <c r="M1181" s="521"/>
      <c r="O1181" s="3003" t="s">
        <v>1822</v>
      </c>
      <c r="P1181" s="3032" t="str">
        <f>'Part VIII-Threshold Criteria'!P231</f>
        <v>No</v>
      </c>
      <c r="Q1181" s="3032">
        <f>'Part VIII-Threshold Criteria'!Q231</f>
        <v>0</v>
      </c>
    </row>
    <row r="1182" spans="1:17">
      <c r="B1182" s="3067" t="s">
        <v>1958</v>
      </c>
      <c r="D1182" s="3067"/>
      <c r="E1182" s="3067"/>
      <c r="F1182" s="3067"/>
      <c r="G1182" s="3067"/>
      <c r="H1182" s="3031"/>
      <c r="I1182" s="3028"/>
      <c r="J1182" s="3028"/>
      <c r="K1182" s="3028"/>
      <c r="L1182" s="2927"/>
      <c r="M1182" s="2927"/>
      <c r="N1182" s="2927"/>
      <c r="O1182" s="2927"/>
      <c r="P1182" s="2927"/>
      <c r="Q1182" s="2927"/>
    </row>
    <row r="1183" spans="1:17">
      <c r="A1183" s="2969" t="str">
        <f>'Part VIII-Threshold Criteria'!A233</f>
        <v>Two public meetings were held and the County Commision issued a Resolution of Support.  Please see documentation included in TAB 13.</v>
      </c>
      <c r="B1183" s="2969"/>
      <c r="C1183" s="2969"/>
      <c r="D1183" s="2969"/>
      <c r="E1183" s="2969"/>
      <c r="F1183" s="2969"/>
      <c r="G1183" s="2969"/>
      <c r="H1183" s="2969"/>
      <c r="I1183" s="2969"/>
      <c r="J1183" s="2969"/>
      <c r="K1183" s="2969"/>
      <c r="L1183" s="2969"/>
      <c r="M1183" s="2969"/>
      <c r="N1183" s="2969"/>
      <c r="O1183" s="2969"/>
      <c r="P1183" s="2969"/>
      <c r="Q1183" s="2969"/>
    </row>
    <row r="1185" spans="1:17">
      <c r="B1185" s="3034" t="s">
        <v>1959</v>
      </c>
      <c r="C1185" s="3035"/>
      <c r="D1185" s="3036"/>
      <c r="E1185" s="3036"/>
      <c r="F1185" s="3036"/>
      <c r="G1185" s="3036"/>
      <c r="H1185" s="3036"/>
      <c r="I1185" s="3036"/>
      <c r="J1185" s="3036"/>
      <c r="K1185" s="3036"/>
      <c r="L1185" s="3036"/>
      <c r="M1185" s="3036"/>
      <c r="N1185" s="3036"/>
      <c r="O1185" s="3036"/>
      <c r="P1185" s="3036"/>
      <c r="Q1185" s="3036"/>
    </row>
    <row r="1186" spans="1:17">
      <c r="A1186" s="2969">
        <f>'Part VIII-Threshold Criteria'!A236</f>
        <v>0</v>
      </c>
      <c r="B1186" s="2969"/>
      <c r="C1186" s="2969"/>
      <c r="D1186" s="2969"/>
      <c r="E1186" s="2969"/>
      <c r="F1186" s="2969"/>
      <c r="G1186" s="2969"/>
      <c r="H1186" s="2969"/>
      <c r="I1186" s="2969"/>
      <c r="J1186" s="2969"/>
      <c r="K1186" s="2969"/>
      <c r="L1186" s="2969"/>
      <c r="M1186" s="2969"/>
      <c r="N1186" s="2969"/>
      <c r="O1186" s="2969"/>
      <c r="P1186" s="2969"/>
      <c r="Q1186" s="2969"/>
    </row>
    <row r="1187" spans="1:17">
      <c r="A1187" s="2927"/>
      <c r="B1187" s="3028"/>
      <c r="C1187" s="3036"/>
      <c r="D1187" s="3036"/>
      <c r="E1187" s="3036"/>
      <c r="F1187" s="3036"/>
      <c r="G1187" s="3036"/>
      <c r="H1187" s="3036"/>
      <c r="I1187" s="3036"/>
      <c r="J1187" s="3036"/>
      <c r="K1187" s="3036"/>
      <c r="L1187" s="3036"/>
      <c r="M1187" s="3036"/>
      <c r="Q1187" s="2927"/>
    </row>
    <row r="1188" spans="1:17">
      <c r="A1188" s="2906">
        <v>14</v>
      </c>
      <c r="B1188" s="2906" t="s">
        <v>2799</v>
      </c>
      <c r="C1188" s="3064"/>
      <c r="D1188" s="3036"/>
      <c r="E1188" s="3036"/>
      <c r="F1188" s="3036"/>
      <c r="G1188" s="3036"/>
      <c r="H1188" s="3036"/>
      <c r="I1188" s="3036"/>
      <c r="J1188" s="3036"/>
      <c r="K1188" s="3036"/>
      <c r="L1188" s="3036"/>
      <c r="M1188" s="3036"/>
      <c r="O1188" s="3029" t="s">
        <v>1960</v>
      </c>
      <c r="P1188" s="2933">
        <f>'Part VIII-Threshold Criteria'!P238</f>
        <v>0</v>
      </c>
      <c r="Q1188" s="2933"/>
    </row>
    <row r="1189" spans="1:17">
      <c r="B1189" s="505" t="s">
        <v>1247</v>
      </c>
      <c r="N1189" s="2909"/>
      <c r="P1189" s="3032" t="str">
        <f>'Part VIII-Threshold Criteria'!P239</f>
        <v>No</v>
      </c>
      <c r="Q1189" s="3032">
        <f>'Part VIII-Threshold Criteria'!Q239</f>
        <v>0</v>
      </c>
    </row>
    <row r="1190" spans="1:17">
      <c r="B1190" s="3033" t="s">
        <v>2080</v>
      </c>
      <c r="C1190" s="3027" t="s">
        <v>1446</v>
      </c>
      <c r="D1190" s="521"/>
      <c r="E1190" s="521"/>
      <c r="F1190" s="521"/>
      <c r="G1190" s="521"/>
      <c r="H1190" s="521"/>
      <c r="I1190" s="521"/>
      <c r="J1190" s="521"/>
      <c r="K1190" s="521"/>
      <c r="L1190" s="521"/>
      <c r="M1190" s="521"/>
    </row>
    <row r="1191" spans="1:17">
      <c r="B1191" s="3033"/>
      <c r="C1191" s="3003" t="s">
        <v>1824</v>
      </c>
      <c r="D1191" s="522" t="s">
        <v>2027</v>
      </c>
      <c r="E1191" s="522"/>
      <c r="F1191" s="522"/>
      <c r="G1191" s="522"/>
      <c r="H1191" s="522"/>
      <c r="I1191" s="521"/>
      <c r="K1191" s="3003" t="s">
        <v>1561</v>
      </c>
      <c r="L1191" s="3073" t="str">
        <f>'Part VIII-Threshold Criteria'!L241</f>
        <v>Building</v>
      </c>
      <c r="M1191" s="3073"/>
      <c r="Q1191" s="3032">
        <f>'Part VIII-Threshold Criteria'!Q241</f>
        <v>0</v>
      </c>
    </row>
    <row r="1192" spans="1:17" ht="13.5">
      <c r="B1192" s="3033"/>
      <c r="C1192" s="3003" t="s">
        <v>1825</v>
      </c>
      <c r="D1192" s="3031" t="s">
        <v>2896</v>
      </c>
      <c r="E1192" s="3031"/>
      <c r="F1192" s="3031"/>
      <c r="G1192" s="3031"/>
      <c r="H1192" s="3031"/>
      <c r="I1192" s="521"/>
      <c r="K1192" s="3003" t="s">
        <v>1562</v>
      </c>
      <c r="L1192" s="3073" t="str">
        <f>'Part VIII-Threshold Criteria'!L242</f>
        <v>Gazebo</v>
      </c>
      <c r="M1192" s="3073"/>
      <c r="N1192" s="3096" t="str">
        <f>'Part VIII-Threshold Criteria'!N242</f>
        <v>If "Other", explain here</v>
      </c>
      <c r="O1192" s="3096"/>
      <c r="P1192" s="3096"/>
      <c r="Q1192" s="3032">
        <f>'Part VIII-Threshold Criteria'!Q242</f>
        <v>0</v>
      </c>
    </row>
    <row r="1193" spans="1:17">
      <c r="B1193" s="3033"/>
      <c r="C1193" s="3003" t="s">
        <v>1826</v>
      </c>
      <c r="D1193" s="3031" t="s">
        <v>581</v>
      </c>
      <c r="E1193" s="3031"/>
      <c r="F1193" s="3031"/>
      <c r="G1193" s="3031"/>
      <c r="H1193" s="3031"/>
      <c r="I1193" s="521"/>
      <c r="K1193" s="3003" t="s">
        <v>1563</v>
      </c>
      <c r="L1193" s="3073" t="str">
        <f>'Part VIII-Threshold Criteria'!L243</f>
        <v>On-site laundry</v>
      </c>
      <c r="M1193" s="3073"/>
      <c r="N1193" s="3073"/>
      <c r="Q1193" s="3032">
        <f>'Part VIII-Threshold Criteria'!Q243</f>
        <v>0</v>
      </c>
    </row>
    <row r="1194" spans="1:17">
      <c r="B1194" s="3033"/>
      <c r="C1194" s="3003"/>
      <c r="D1194" s="522"/>
      <c r="E1194" s="522"/>
      <c r="F1194" s="522"/>
      <c r="G1194" s="522"/>
      <c r="H1194" s="522"/>
      <c r="I1194" s="521"/>
      <c r="J1194" s="521"/>
      <c r="K1194" s="521"/>
      <c r="L1194" s="521"/>
      <c r="M1194" s="521"/>
    </row>
    <row r="1195" spans="1:17">
      <c r="B1195" s="3033" t="s">
        <v>2083</v>
      </c>
      <c r="C1195" s="3027" t="s">
        <v>2634</v>
      </c>
      <c r="D1195" s="522"/>
      <c r="E1195" s="522"/>
      <c r="F1195" s="522"/>
      <c r="G1195" s="522"/>
      <c r="H1195" s="522"/>
      <c r="I1195" s="522"/>
      <c r="J1195" s="522"/>
      <c r="K1195" s="521"/>
      <c r="L1195" s="521"/>
      <c r="M1195" s="521"/>
      <c r="N1195" s="521"/>
      <c r="O1195" s="3003" t="s">
        <v>2083</v>
      </c>
      <c r="P1195" s="3032" t="str">
        <f>'Part VIII-Threshold Criteria'!P245</f>
        <v>Agree</v>
      </c>
      <c r="Q1195" s="3032">
        <f>'Part VIII-Threshold Criteria'!Q245</f>
        <v>0</v>
      </c>
    </row>
    <row r="1196" spans="1:17">
      <c r="B1196" s="3033"/>
      <c r="C1196" s="522" t="s">
        <v>4615</v>
      </c>
      <c r="D1196" s="522"/>
      <c r="E1196" s="522"/>
      <c r="F1196" s="522"/>
      <c r="G1196" s="522"/>
      <c r="H1196" s="522"/>
      <c r="I1196" s="522"/>
      <c r="J1196" s="522"/>
      <c r="K1196" s="521"/>
      <c r="L1196" s="521"/>
      <c r="M1196" s="521"/>
      <c r="N1196" s="521"/>
      <c r="O1196" s="521"/>
      <c r="P1196" s="3097" t="s">
        <v>3</v>
      </c>
      <c r="Q1196" s="3097"/>
    </row>
    <row r="1197" spans="1:17">
      <c r="B1197" s="3033"/>
      <c r="D1197" s="522" t="s">
        <v>2</v>
      </c>
      <c r="E1197" s="522"/>
      <c r="F1197" s="522"/>
      <c r="G1197" s="522"/>
      <c r="I1197" s="2788" t="s">
        <v>813</v>
      </c>
      <c r="J1197" s="2718" t="s">
        <v>814</v>
      </c>
      <c r="L1197" s="522" t="s">
        <v>2898</v>
      </c>
      <c r="M1197" s="521"/>
      <c r="N1197" s="521"/>
      <c r="O1197" s="2788"/>
      <c r="P1197" s="2876" t="s">
        <v>813</v>
      </c>
      <c r="Q1197" s="2718" t="s">
        <v>814</v>
      </c>
    </row>
    <row r="1198" spans="1:17">
      <c r="A1198" s="521"/>
      <c r="B1198" s="3032"/>
      <c r="C1198" s="3003" t="s">
        <v>1824</v>
      </c>
      <c r="D1198" s="2969" t="str">
        <f>'Part VIII-Threshold Criteria'!D248</f>
        <v>Equipped Playground</v>
      </c>
      <c r="E1198" s="2969"/>
      <c r="F1198" s="2969"/>
      <c r="G1198" s="2969"/>
      <c r="H1198" s="2969"/>
      <c r="I1198" s="3032">
        <f>'Part VIII-Threshold Criteria'!I248</f>
        <v>0</v>
      </c>
      <c r="J1198" s="3032">
        <f>'Part VIII-Threshold Criteria'!J248</f>
        <v>0</v>
      </c>
      <c r="K1198" s="3003" t="s">
        <v>1826</v>
      </c>
      <c r="L1198" s="2969">
        <f>'Part VIII-Threshold Criteria'!L248</f>
        <v>0</v>
      </c>
      <c r="M1198" s="2969"/>
      <c r="N1198" s="2969"/>
      <c r="O1198" s="2969"/>
      <c r="P1198" s="3032">
        <f>'Part VIII-Threshold Criteria'!P248</f>
        <v>0</v>
      </c>
      <c r="Q1198" s="3032">
        <f>'Part VIII-Threshold Criteria'!Q248</f>
        <v>0</v>
      </c>
    </row>
    <row r="1199" spans="1:17">
      <c r="A1199" s="521"/>
      <c r="B1199" s="3032"/>
      <c r="C1199" s="3003" t="s">
        <v>1825</v>
      </c>
      <c r="D1199" s="2969" t="str">
        <f>'Part VIII-Threshold Criteria'!D249</f>
        <v>Covered Pavilion with Picnic/barbecue Facilities</v>
      </c>
      <c r="E1199" s="2969"/>
      <c r="F1199" s="2969"/>
      <c r="G1199" s="2969"/>
      <c r="H1199" s="2969"/>
      <c r="I1199" s="3032">
        <f>'Part VIII-Threshold Criteria'!I249</f>
        <v>0</v>
      </c>
      <c r="J1199" s="3032">
        <f>'Part VIII-Threshold Criteria'!J249</f>
        <v>0</v>
      </c>
      <c r="K1199" s="3003" t="s">
        <v>2476</v>
      </c>
      <c r="L1199" s="2969">
        <f>'Part VIII-Threshold Criteria'!L249</f>
        <v>0</v>
      </c>
      <c r="M1199" s="2969"/>
      <c r="N1199" s="2969"/>
      <c r="O1199" s="2969"/>
      <c r="P1199" s="3032">
        <f>'Part VIII-Threshold Criteria'!P249</f>
        <v>0</v>
      </c>
      <c r="Q1199" s="3032">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33" t="s">
        <v>788</v>
      </c>
      <c r="C1201" s="3027" t="s">
        <v>1447</v>
      </c>
      <c r="D1201" s="522"/>
      <c r="E1201" s="522"/>
      <c r="F1201" s="522"/>
      <c r="G1201" s="522"/>
      <c r="H1201" s="522"/>
      <c r="I1201" s="522"/>
      <c r="J1201" s="522"/>
      <c r="K1201" s="521"/>
      <c r="L1201" s="522"/>
      <c r="M1201" s="522"/>
      <c r="O1201" s="3003" t="s">
        <v>788</v>
      </c>
      <c r="P1201" s="3032" t="str">
        <f>'Part VIII-Threshold Criteria'!P251</f>
        <v>Agree</v>
      </c>
      <c r="Q1201" s="3032">
        <f>'Part VIII-Threshold Criteria'!Q251</f>
        <v>0</v>
      </c>
    </row>
    <row r="1202" spans="1:17">
      <c r="B1202" s="3033"/>
      <c r="C1202" s="3003" t="s">
        <v>1824</v>
      </c>
      <c r="D1202" s="522" t="s">
        <v>4091</v>
      </c>
      <c r="E1202" s="522"/>
      <c r="F1202" s="522"/>
      <c r="G1202" s="522"/>
      <c r="H1202" s="522"/>
      <c r="I1202" s="521"/>
      <c r="J1202" s="521"/>
      <c r="K1202" s="521"/>
      <c r="L1202" s="521"/>
      <c r="M1202" s="521"/>
      <c r="O1202" s="3003" t="s">
        <v>1824</v>
      </c>
      <c r="P1202" s="3032" t="str">
        <f>'Part VIII-Threshold Criteria'!P252</f>
        <v>Yes</v>
      </c>
      <c r="Q1202" s="3032">
        <f>'Part VIII-Threshold Criteria'!Q252</f>
        <v>0</v>
      </c>
    </row>
    <row r="1203" spans="1:17">
      <c r="C1203" s="3003" t="s">
        <v>1825</v>
      </c>
      <c r="D1203" s="3031" t="s">
        <v>3118</v>
      </c>
      <c r="E1203" s="3031"/>
      <c r="F1203" s="3031"/>
      <c r="G1203" s="3031"/>
      <c r="H1203" s="3031"/>
      <c r="I1203" s="521"/>
      <c r="J1203" s="521"/>
      <c r="K1203" s="521"/>
      <c r="L1203" s="521"/>
      <c r="M1203" s="521"/>
      <c r="O1203" s="3003" t="s">
        <v>1825</v>
      </c>
      <c r="P1203" s="3032" t="str">
        <f>'Part VIII-Threshold Criteria'!P253</f>
        <v>Yes</v>
      </c>
      <c r="Q1203" s="3032">
        <f>'Part VIII-Threshold Criteria'!Q253</f>
        <v>0</v>
      </c>
    </row>
    <row r="1204" spans="1:17">
      <c r="C1204" s="3003" t="s">
        <v>1826</v>
      </c>
      <c r="D1204" s="3031" t="s">
        <v>3119</v>
      </c>
      <c r="E1204" s="3031"/>
      <c r="F1204" s="3031"/>
      <c r="G1204" s="3031"/>
      <c r="H1204" s="3031"/>
      <c r="I1204" s="521"/>
      <c r="J1204" s="521"/>
      <c r="K1204" s="521"/>
      <c r="L1204" s="521"/>
      <c r="M1204" s="521"/>
      <c r="O1204" s="3003" t="s">
        <v>1826</v>
      </c>
      <c r="P1204" s="3032" t="str">
        <f>'Part VIII-Threshold Criteria'!P254</f>
        <v>Yes</v>
      </c>
      <c r="Q1204" s="3032">
        <f>'Part VIII-Threshold Criteria'!Q254</f>
        <v>0</v>
      </c>
    </row>
    <row r="1205" spans="1:17">
      <c r="B1205" s="3033"/>
      <c r="C1205" s="3003" t="s">
        <v>2476</v>
      </c>
      <c r="D1205" s="3031" t="s">
        <v>3120</v>
      </c>
      <c r="E1205" s="3031"/>
      <c r="F1205" s="3031"/>
      <c r="G1205" s="3031"/>
      <c r="H1205" s="3031"/>
      <c r="I1205" s="521"/>
      <c r="J1205" s="521"/>
      <c r="K1205" s="521"/>
      <c r="L1205" s="521"/>
      <c r="M1205" s="521"/>
      <c r="O1205" s="3003" t="s">
        <v>2476</v>
      </c>
      <c r="P1205" s="3032" t="str">
        <f>'Part VIII-Threshold Criteria'!P255</f>
        <v>Yes</v>
      </c>
      <c r="Q1205" s="3032">
        <f>'Part VIII-Threshold Criteria'!Q255</f>
        <v>0</v>
      </c>
    </row>
    <row r="1206" spans="1:17">
      <c r="B1206" s="3033"/>
      <c r="C1206" s="3003" t="s">
        <v>1625</v>
      </c>
      <c r="D1206" s="3031" t="s">
        <v>3121</v>
      </c>
      <c r="E1206" s="3031"/>
      <c r="F1206" s="3031"/>
      <c r="G1206" s="3031"/>
      <c r="H1206" s="3031"/>
      <c r="I1206" s="521"/>
      <c r="J1206" s="521"/>
      <c r="K1206" s="521"/>
      <c r="L1206" s="521"/>
      <c r="M1206" s="521"/>
      <c r="O1206" s="3003" t="s">
        <v>1625</v>
      </c>
      <c r="P1206" s="3032" t="str">
        <f>'Part VIII-Threshold Criteria'!P256</f>
        <v>Yes</v>
      </c>
      <c r="Q1206" s="3032">
        <f>'Part VIII-Threshold Criteria'!Q256</f>
        <v>0</v>
      </c>
    </row>
    <row r="1207" spans="1:17">
      <c r="B1207" s="3033"/>
      <c r="C1207" s="3003" t="s">
        <v>1626</v>
      </c>
      <c r="D1207" s="522" t="s">
        <v>815</v>
      </c>
      <c r="E1207" s="522"/>
      <c r="F1207" s="522"/>
      <c r="G1207" s="522"/>
      <c r="H1207" s="522"/>
      <c r="I1207" s="521"/>
      <c r="J1207" s="521"/>
      <c r="K1207" s="521"/>
      <c r="L1207" s="521"/>
      <c r="M1207" s="521"/>
      <c r="O1207" s="3003" t="s">
        <v>3106</v>
      </c>
      <c r="P1207" s="3032" t="str">
        <f>'Part VIII-Threshold Criteria'!P257</f>
        <v>Yes</v>
      </c>
      <c r="Q1207" s="3032">
        <f>'Part VIII-Threshold Criteria'!Q257</f>
        <v>0</v>
      </c>
    </row>
    <row r="1208" spans="1:17">
      <c r="B1208" s="3033"/>
      <c r="C1208" s="3003"/>
      <c r="D1208" s="522" t="s">
        <v>1564</v>
      </c>
      <c r="E1208" s="522"/>
      <c r="F1208" s="522"/>
      <c r="G1208" s="522"/>
      <c r="H1208" s="522"/>
      <c r="I1208" s="521"/>
      <c r="J1208" s="521"/>
      <c r="K1208" s="521"/>
      <c r="L1208" s="521"/>
      <c r="M1208" s="521"/>
      <c r="O1208" s="3003" t="s">
        <v>3107</v>
      </c>
      <c r="P1208" s="3032" t="str">
        <f>'Part VIII-Threshold Criteria'!P258</f>
        <v>No</v>
      </c>
      <c r="Q1208" s="3032">
        <f>'Part VIII-Threshold Criteria'!Q258</f>
        <v>0</v>
      </c>
    </row>
    <row r="1209" spans="1:17">
      <c r="B1209" s="3033"/>
      <c r="C1209" s="3003"/>
      <c r="D1209" s="522"/>
      <c r="E1209" s="522"/>
      <c r="F1209" s="522"/>
      <c r="G1209" s="522"/>
      <c r="H1209" s="522"/>
      <c r="I1209" s="521"/>
      <c r="J1209" s="521"/>
      <c r="K1209" s="521"/>
      <c r="L1209" s="521"/>
      <c r="M1209" s="521"/>
    </row>
    <row r="1210" spans="1:17">
      <c r="B1210" s="3033" t="s">
        <v>2215</v>
      </c>
      <c r="C1210" s="3027" t="s">
        <v>2827</v>
      </c>
      <c r="D1210" s="522"/>
      <c r="E1210" s="522"/>
      <c r="F1210" s="522"/>
      <c r="G1210" s="522"/>
      <c r="H1210" s="522"/>
      <c r="I1210" s="522"/>
      <c r="J1210" s="522"/>
      <c r="K1210" s="521"/>
      <c r="L1210" s="522"/>
      <c r="M1210" s="522"/>
      <c r="O1210" s="3003" t="s">
        <v>2215</v>
      </c>
      <c r="P1210" s="3032">
        <f>'Part VIII-Threshold Criteria'!P260</f>
        <v>0</v>
      </c>
      <c r="Q1210" s="3032">
        <f>'Part VIII-Threshold Criteria'!Q260</f>
        <v>0</v>
      </c>
    </row>
    <row r="1211" spans="1:17">
      <c r="B1211" s="3033"/>
      <c r="C1211" s="3003" t="s">
        <v>1824</v>
      </c>
      <c r="D1211" s="522" t="s">
        <v>1314</v>
      </c>
      <c r="E1211" s="521"/>
      <c r="F1211" s="521"/>
      <c r="G1211" s="522"/>
      <c r="H1211" s="3031"/>
      <c r="I1211" s="521"/>
      <c r="J1211" s="3031"/>
      <c r="K1211" s="521"/>
      <c r="L1211" s="3031"/>
      <c r="M1211" s="3031"/>
      <c r="O1211" s="3003" t="s">
        <v>1824</v>
      </c>
      <c r="P1211" s="3032">
        <f>'Part VIII-Threshold Criteria'!P261</f>
        <v>0</v>
      </c>
      <c r="Q1211" s="3032">
        <f>'Part VIII-Threshold Criteria'!Q261</f>
        <v>0</v>
      </c>
    </row>
    <row r="1212" spans="1:17">
      <c r="B1212" s="3033"/>
      <c r="C1212" s="3003" t="s">
        <v>1825</v>
      </c>
      <c r="D1212" s="522" t="s">
        <v>151</v>
      </c>
      <c r="E1212" s="521"/>
      <c r="F1212" s="521"/>
      <c r="G1212" s="3031"/>
      <c r="H1212" s="3031"/>
      <c r="I1212" s="521"/>
      <c r="J1212" s="3031"/>
      <c r="K1212" s="521"/>
      <c r="L1212" s="3031"/>
      <c r="M1212" s="3031"/>
      <c r="O1212" s="3003" t="s">
        <v>1825</v>
      </c>
      <c r="P1212" s="3032">
        <f>'Part VIII-Threshold Criteria'!P262</f>
        <v>0</v>
      </c>
      <c r="Q1212" s="3032">
        <f>'Part VIII-Threshold Criteria'!Q262</f>
        <v>0</v>
      </c>
    </row>
    <row r="1213" spans="1:17">
      <c r="B1213" s="3033"/>
      <c r="C1213" s="3003" t="s">
        <v>1826</v>
      </c>
      <c r="D1213" s="3031" t="s">
        <v>1719</v>
      </c>
      <c r="E1213" s="521"/>
      <c r="F1213" s="521"/>
      <c r="G1213" s="3031"/>
      <c r="H1213" s="3031"/>
      <c r="I1213" s="521"/>
      <c r="J1213" s="3031"/>
      <c r="K1213" s="521"/>
      <c r="L1213" s="3031"/>
      <c r="M1213" s="3031"/>
      <c r="O1213" s="3003" t="s">
        <v>2482</v>
      </c>
      <c r="P1213" s="3032">
        <f>'Part VIII-Threshold Criteria'!P263</f>
        <v>0</v>
      </c>
      <c r="Q1213" s="3032">
        <f>'Part VIII-Threshold Criteria'!Q263</f>
        <v>0</v>
      </c>
    </row>
    <row r="1214" spans="1:17">
      <c r="B1214" s="522"/>
      <c r="C1214" s="521"/>
      <c r="D1214" s="3031" t="s">
        <v>1349</v>
      </c>
      <c r="E1214" s="521"/>
      <c r="F1214" s="521"/>
      <c r="G1214" s="3031"/>
      <c r="H1214" s="3031"/>
      <c r="I1214" s="521"/>
      <c r="J1214" s="3031"/>
      <c r="K1214" s="521"/>
      <c r="L1214" s="3031"/>
      <c r="M1214" s="3031"/>
      <c r="O1214" s="3003" t="s">
        <v>2483</v>
      </c>
      <c r="P1214" s="3032">
        <f>'Part VIII-Threshold Criteria'!P264</f>
        <v>0</v>
      </c>
      <c r="Q1214" s="3032">
        <f>'Part VIII-Threshold Criteria'!Q264</f>
        <v>0</v>
      </c>
    </row>
    <row r="1215" spans="1:17">
      <c r="B1215" s="3067" t="s">
        <v>1958</v>
      </c>
      <c r="D1215" s="3067"/>
      <c r="E1215" s="3067"/>
      <c r="F1215" s="3067"/>
      <c r="G1215" s="3067"/>
      <c r="H1215" s="3031"/>
      <c r="I1215" s="3028"/>
      <c r="J1215" s="3028"/>
      <c r="K1215" s="3028"/>
      <c r="L1215" s="2927"/>
      <c r="M1215" s="2927"/>
      <c r="N1215" s="2927"/>
      <c r="O1215" s="2927"/>
      <c r="P1215" s="2927"/>
      <c r="Q1215" s="2927"/>
    </row>
    <row r="1216" spans="1:17">
      <c r="A1216" s="2969" t="str">
        <f>'Part VIII-Threshold Criteria'!A266</f>
        <v>Applicant will provide more amenities than are required for the family project.</v>
      </c>
      <c r="B1216" s="2969"/>
      <c r="C1216" s="2969"/>
      <c r="D1216" s="2969"/>
      <c r="E1216" s="2969"/>
      <c r="F1216" s="2969"/>
      <c r="G1216" s="2969"/>
      <c r="H1216" s="2969"/>
      <c r="I1216" s="2969"/>
      <c r="J1216" s="2969"/>
      <c r="K1216" s="2969"/>
      <c r="L1216" s="2969"/>
      <c r="M1216" s="2969"/>
      <c r="N1216" s="2969"/>
      <c r="O1216" s="2969"/>
      <c r="P1216" s="2969"/>
      <c r="Q1216" s="2969"/>
    </row>
    <row r="1217" spans="1:17">
      <c r="B1217" s="3034" t="s">
        <v>1959</v>
      </c>
      <c r="C1217" s="3035"/>
      <c r="D1217" s="3036"/>
      <c r="E1217" s="3036"/>
      <c r="F1217" s="3036"/>
      <c r="G1217" s="3036"/>
      <c r="H1217" s="3036"/>
      <c r="I1217" s="3036"/>
      <c r="J1217" s="3036"/>
      <c r="K1217" s="3036"/>
      <c r="L1217" s="3036"/>
      <c r="M1217" s="3036"/>
      <c r="N1217" s="3036"/>
      <c r="O1217" s="3036"/>
      <c r="P1217" s="3036"/>
    </row>
    <row r="1218" spans="1:17">
      <c r="A1218" s="2969">
        <f>'Part VIII-Threshold Criteria'!A268</f>
        <v>0</v>
      </c>
      <c r="B1218" s="2969"/>
      <c r="C1218" s="2969"/>
      <c r="D1218" s="2969"/>
      <c r="E1218" s="2969"/>
      <c r="F1218" s="2969"/>
      <c r="G1218" s="2969"/>
      <c r="H1218" s="2969"/>
      <c r="I1218" s="2969"/>
      <c r="J1218" s="2969"/>
      <c r="K1218" s="2969"/>
      <c r="L1218" s="2969"/>
      <c r="M1218" s="2969"/>
      <c r="N1218" s="2969"/>
      <c r="O1218" s="2969"/>
      <c r="P1218" s="2969"/>
      <c r="Q1218" s="2969"/>
    </row>
    <row r="1219" spans="1:17">
      <c r="A1219" s="2927"/>
      <c r="B1219" s="3028"/>
      <c r="C1219" s="3036"/>
      <c r="D1219" s="3036"/>
      <c r="E1219" s="3036"/>
      <c r="F1219" s="3036"/>
      <c r="G1219" s="3036"/>
      <c r="H1219" s="3036"/>
      <c r="I1219" s="3036"/>
      <c r="J1219" s="3036"/>
      <c r="K1219" s="3036"/>
      <c r="L1219" s="3036"/>
      <c r="M1219" s="3036"/>
      <c r="Q1219" s="2927"/>
    </row>
    <row r="1220" spans="1:17">
      <c r="A1220" s="2906">
        <v>15</v>
      </c>
      <c r="B1220" s="524" t="s">
        <v>2800</v>
      </c>
      <c r="C1220" s="524"/>
      <c r="D1220" s="3027"/>
      <c r="E1220" s="3027"/>
      <c r="F1220" s="3027"/>
      <c r="G1220" s="3027"/>
      <c r="H1220" s="3036"/>
      <c r="I1220" s="3036"/>
      <c r="J1220" s="3036"/>
      <c r="K1220" s="3036"/>
      <c r="L1220" s="3036"/>
      <c r="M1220" s="3036"/>
      <c r="O1220" s="3029" t="s">
        <v>1960</v>
      </c>
      <c r="P1220" s="2933">
        <f>'Part VIII-Threshold Criteria'!P270</f>
        <v>0</v>
      </c>
      <c r="Q1220" s="2933"/>
    </row>
    <row r="1222" spans="1:17">
      <c r="B1222" s="3033" t="s">
        <v>2080</v>
      </c>
      <c r="C1222" s="522" t="s">
        <v>1327</v>
      </c>
      <c r="D1222" s="521"/>
      <c r="E1222" s="522"/>
      <c r="F1222" s="522"/>
      <c r="G1222" s="522"/>
      <c r="H1222" s="522"/>
      <c r="I1222" s="521"/>
      <c r="J1222" s="521"/>
      <c r="K1222" s="521"/>
      <c r="L1222" s="3003" t="s">
        <v>2080</v>
      </c>
      <c r="M1222" s="3073" t="str">
        <f>'Part VIII-Threshold Criteria'!M272</f>
        <v>Substantial Gut Rehab</v>
      </c>
      <c r="N1222" s="3073"/>
      <c r="O1222" s="3073"/>
      <c r="P1222" s="3073" t="str">
        <f>'Part VIII-Threshold Criteria'!P272</f>
        <v>&lt;&lt;Select&gt;&gt;</v>
      </c>
      <c r="Q1222" s="3073"/>
    </row>
    <row r="1223" spans="1:17">
      <c r="B1223" s="3033" t="s">
        <v>2083</v>
      </c>
      <c r="C1223" s="522" t="s">
        <v>3122</v>
      </c>
      <c r="D1223" s="522"/>
      <c r="E1223" s="522"/>
      <c r="F1223" s="522"/>
      <c r="G1223" s="522"/>
      <c r="H1223" s="522"/>
      <c r="I1223" s="521"/>
      <c r="J1223" s="521"/>
      <c r="K1223" s="521"/>
      <c r="L1223" s="3003" t="s">
        <v>2083</v>
      </c>
      <c r="M1223" s="3073">
        <f>'Part VIII-Threshold Criteria'!M273</f>
        <v>42165</v>
      </c>
      <c r="N1223" s="3073"/>
      <c r="O1223" s="3073"/>
      <c r="P1223" s="3073">
        <f>'Part VIII-Threshold Criteria'!P273</f>
        <v>0</v>
      </c>
      <c r="Q1223" s="3073"/>
    </row>
    <row r="1224" spans="1:17">
      <c r="B1224" s="3033" t="s">
        <v>788</v>
      </c>
      <c r="C1224" s="522" t="s">
        <v>2041</v>
      </c>
      <c r="D1224" s="522"/>
      <c r="E1224" s="522"/>
      <c r="F1224" s="522"/>
      <c r="G1224" s="522"/>
      <c r="H1224" s="522"/>
      <c r="I1224" s="521"/>
      <c r="J1224" s="521"/>
      <c r="K1224" s="521"/>
      <c r="L1224" s="3003" t="s">
        <v>788</v>
      </c>
      <c r="M1224" s="3073" t="str">
        <f>'Part VIII-Threshold Criteria'!M274</f>
        <v>Dominion</v>
      </c>
      <c r="N1224" s="3073"/>
      <c r="O1224" s="3073"/>
      <c r="P1224" s="3073">
        <f>'Part VIII-Threshold Criteria'!P274</f>
        <v>0</v>
      </c>
      <c r="Q1224" s="3073"/>
    </row>
    <row r="1225" spans="1:17">
      <c r="B1225" s="3033" t="s">
        <v>2215</v>
      </c>
      <c r="C1225" s="522" t="s">
        <v>2670</v>
      </c>
      <c r="D1225" s="522"/>
      <c r="E1225" s="522"/>
      <c r="F1225" s="522"/>
      <c r="G1225" s="522"/>
      <c r="H1225" s="522"/>
      <c r="I1225" s="521"/>
      <c r="J1225" s="521"/>
      <c r="K1225" s="521"/>
      <c r="L1225" s="521"/>
      <c r="M1225" s="521"/>
      <c r="O1225" s="3003" t="s">
        <v>2215</v>
      </c>
      <c r="P1225" s="3032" t="str">
        <f>'Part VIII-Threshold Criteria'!P275</f>
        <v>Yes</v>
      </c>
      <c r="Q1225" s="3032">
        <f>'Part VIII-Threshold Criteria'!Q275</f>
        <v>0</v>
      </c>
    </row>
    <row r="1226" spans="1:17">
      <c r="B1226" s="3030" t="s">
        <v>1822</v>
      </c>
      <c r="C1226" s="2969" t="s">
        <v>4616</v>
      </c>
      <c r="D1226" s="2969"/>
      <c r="E1226" s="2969"/>
      <c r="F1226" s="2969"/>
      <c r="G1226" s="2969"/>
      <c r="H1226" s="2969"/>
      <c r="I1226" s="2969"/>
      <c r="J1226" s="2969"/>
      <c r="K1226" s="2969"/>
      <c r="L1226" s="2969"/>
      <c r="M1226" s="2969"/>
      <c r="N1226" s="2969"/>
      <c r="O1226" s="3078" t="s">
        <v>1822</v>
      </c>
      <c r="P1226" s="3032" t="str">
        <f>'Part VIII-Threshold Criteria'!P276</f>
        <v>Agree</v>
      </c>
      <c r="Q1226" s="3032">
        <f>'Part VIII-Threshold Criteria'!Q276</f>
        <v>0</v>
      </c>
    </row>
    <row r="1227" spans="1:17">
      <c r="B1227" s="3067" t="s">
        <v>1958</v>
      </c>
      <c r="D1227" s="3067"/>
      <c r="E1227" s="3067"/>
      <c r="F1227" s="3067"/>
      <c r="G1227" s="3067"/>
      <c r="H1227" s="3031"/>
      <c r="I1227" s="3028"/>
      <c r="J1227" s="3028"/>
      <c r="K1227" s="3028"/>
      <c r="L1227" s="2927"/>
      <c r="M1227" s="2927"/>
      <c r="N1227" s="2927"/>
      <c r="O1227" s="2927"/>
      <c r="P1227" s="2927"/>
      <c r="Q1227" s="2927"/>
    </row>
    <row r="1228" spans="1:17">
      <c r="A1228" s="2969" t="str">
        <f>'Part VIII-Threshold Criteria'!A278</f>
        <v>Rehab will meet all code requirements and DCA requirements according to the QAP and Manuals.</v>
      </c>
      <c r="B1228" s="2969"/>
      <c r="C1228" s="2969"/>
      <c r="D1228" s="2969"/>
      <c r="E1228" s="2969"/>
      <c r="F1228" s="2969"/>
      <c r="G1228" s="2969"/>
      <c r="H1228" s="2969"/>
      <c r="I1228" s="2969"/>
      <c r="J1228" s="2969"/>
      <c r="K1228" s="2969"/>
      <c r="L1228" s="2969"/>
      <c r="M1228" s="2969"/>
      <c r="N1228" s="2969"/>
      <c r="O1228" s="2969"/>
      <c r="P1228" s="2969"/>
      <c r="Q1228" s="2969"/>
    </row>
    <row r="1229" spans="1:17">
      <c r="B1229" s="3034" t="s">
        <v>1959</v>
      </c>
      <c r="C1229" s="3035"/>
      <c r="D1229" s="3036"/>
      <c r="E1229" s="3036"/>
      <c r="F1229" s="3036"/>
      <c r="G1229" s="3036"/>
      <c r="H1229" s="3036"/>
      <c r="I1229" s="3036"/>
      <c r="J1229" s="3036"/>
      <c r="K1229" s="3036"/>
      <c r="L1229" s="3036"/>
      <c r="M1229" s="3036"/>
      <c r="N1229" s="3036"/>
      <c r="O1229" s="3036"/>
      <c r="P1229" s="3036"/>
    </row>
    <row r="1230" spans="1:17">
      <c r="A1230" s="2969">
        <f>'Part VIII-Threshold Criteria'!A280</f>
        <v>0</v>
      </c>
      <c r="B1230" s="2969"/>
      <c r="C1230" s="2969"/>
      <c r="D1230" s="2969"/>
      <c r="E1230" s="2969"/>
      <c r="F1230" s="2969"/>
      <c r="G1230" s="2969"/>
      <c r="H1230" s="2969"/>
      <c r="I1230" s="2969"/>
      <c r="J1230" s="2969"/>
      <c r="K1230" s="2969"/>
      <c r="L1230" s="2969"/>
      <c r="M1230" s="2969"/>
      <c r="N1230" s="2969"/>
      <c r="O1230" s="2969"/>
      <c r="P1230" s="2969"/>
      <c r="Q1230" s="2969"/>
    </row>
    <row r="1231" spans="1:17">
      <c r="A1231" s="2927"/>
      <c r="B1231" s="3028"/>
      <c r="C1231" s="3036"/>
      <c r="D1231" s="3036"/>
      <c r="E1231" s="3036"/>
      <c r="F1231" s="3036"/>
      <c r="G1231" s="3036"/>
      <c r="H1231" s="3036"/>
      <c r="I1231" s="3036"/>
      <c r="J1231" s="3036"/>
      <c r="K1231" s="3036"/>
      <c r="L1231" s="3036"/>
      <c r="M1231" s="3036"/>
      <c r="Q1231" s="2927"/>
    </row>
    <row r="1232" spans="1:17">
      <c r="A1232" s="2906">
        <v>16</v>
      </c>
      <c r="B1232" s="524" t="s">
        <v>2801</v>
      </c>
      <c r="C1232" s="524"/>
      <c r="D1232" s="3027"/>
      <c r="E1232" s="3027"/>
      <c r="F1232" s="3027"/>
      <c r="G1232" s="3027"/>
      <c r="H1232" s="3036"/>
      <c r="I1232" s="3036"/>
      <c r="J1232" s="3036"/>
      <c r="K1232" s="3036"/>
      <c r="L1232" s="3036"/>
      <c r="M1232" s="3036"/>
      <c r="O1232" s="3029" t="s">
        <v>1960</v>
      </c>
      <c r="P1232" s="2933">
        <f>'Part VIII-Threshold Criteria'!P282</f>
        <v>0</v>
      </c>
      <c r="Q1232" s="2933"/>
    </row>
    <row r="1234" spans="1:17">
      <c r="A1234" s="3077"/>
      <c r="B1234" s="3030" t="s">
        <v>2080</v>
      </c>
      <c r="C1234" s="2969" t="s">
        <v>3123</v>
      </c>
      <c r="D1234" s="2969"/>
      <c r="E1234" s="2969"/>
      <c r="F1234" s="2969"/>
      <c r="G1234" s="2969"/>
      <c r="H1234" s="2969"/>
      <c r="I1234" s="2969"/>
      <c r="J1234" s="2969"/>
      <c r="K1234" s="2969"/>
      <c r="L1234" s="2969"/>
      <c r="M1234" s="2969"/>
      <c r="N1234" s="2969"/>
      <c r="O1234" s="3078" t="s">
        <v>2080</v>
      </c>
      <c r="P1234" s="3032" t="str">
        <f>'Part VIII-Threshold Criteria'!P284</f>
        <v>Yes</v>
      </c>
      <c r="Q1234" s="3032">
        <f>'Part VIII-Threshold Criteria'!Q284</f>
        <v>0</v>
      </c>
    </row>
    <row r="1235" spans="1:17">
      <c r="B1235" s="3033" t="s">
        <v>2083</v>
      </c>
      <c r="C1235" s="522" t="s">
        <v>1473</v>
      </c>
      <c r="D1235" s="522"/>
      <c r="E1235" s="522"/>
      <c r="F1235" s="522"/>
      <c r="G1235" s="522"/>
      <c r="H1235" s="522"/>
      <c r="I1235" s="522"/>
      <c r="J1235" s="522"/>
      <c r="K1235" s="522"/>
      <c r="L1235" s="522"/>
      <c r="M1235" s="522"/>
      <c r="O1235" s="3003" t="s">
        <v>2083</v>
      </c>
      <c r="P1235" s="3032" t="str">
        <f>'Part VIII-Threshold Criteria'!P285</f>
        <v>Yes</v>
      </c>
      <c r="Q1235" s="3032">
        <f>'Part VIII-Threshold Criteria'!Q285</f>
        <v>0</v>
      </c>
    </row>
    <row r="1236" spans="1:17">
      <c r="B1236" s="3067" t="s">
        <v>1958</v>
      </c>
      <c r="D1236" s="3067"/>
      <c r="E1236" s="3067"/>
      <c r="F1236" s="3067"/>
      <c r="G1236" s="3067"/>
      <c r="H1236" s="3031"/>
      <c r="I1236" s="3028"/>
      <c r="J1236" s="3028"/>
      <c r="K1236" s="3028"/>
      <c r="L1236" s="2927"/>
      <c r="M1236" s="2927"/>
      <c r="N1236" s="2927"/>
      <c r="O1236" s="2927"/>
      <c r="P1236" s="2927"/>
      <c r="Q1236" s="2927"/>
    </row>
    <row r="1237" spans="1:17">
      <c r="A1237" s="2969" t="str">
        <f>'Part VIII-Threshold Criteria'!A287</f>
        <v>Site plan conforms to requirements.</v>
      </c>
      <c r="B1237" s="2969"/>
      <c r="C1237" s="2969"/>
      <c r="D1237" s="2969"/>
      <c r="E1237" s="2969"/>
      <c r="F1237" s="2969"/>
      <c r="G1237" s="2969"/>
      <c r="H1237" s="2969"/>
      <c r="I1237" s="2969"/>
      <c r="J1237" s="2969"/>
      <c r="K1237" s="2969"/>
      <c r="L1237" s="2969"/>
      <c r="M1237" s="2969"/>
      <c r="N1237" s="2969"/>
      <c r="O1237" s="2969"/>
      <c r="P1237" s="2969"/>
      <c r="Q1237" s="2969"/>
    </row>
    <row r="1238" spans="1:17">
      <c r="B1238" s="3034" t="s">
        <v>1959</v>
      </c>
      <c r="C1238" s="3035"/>
      <c r="D1238" s="3036"/>
      <c r="E1238" s="3036"/>
      <c r="F1238" s="3036"/>
      <c r="G1238" s="3036"/>
      <c r="H1238" s="3036"/>
      <c r="I1238" s="3036"/>
      <c r="J1238" s="3036"/>
      <c r="K1238" s="3036"/>
      <c r="L1238" s="3036"/>
      <c r="M1238" s="3036"/>
      <c r="N1238" s="3036"/>
      <c r="O1238" s="3036"/>
      <c r="P1238" s="3036"/>
    </row>
    <row r="1239" spans="1:17">
      <c r="A1239" s="2969">
        <f>'Part VIII-Threshold Criteria'!A289</f>
        <v>0</v>
      </c>
      <c r="B1239" s="2969"/>
      <c r="C1239" s="2969"/>
      <c r="D1239" s="2969"/>
      <c r="E1239" s="2969"/>
      <c r="F1239" s="2969"/>
      <c r="G1239" s="2969"/>
      <c r="H1239" s="2969"/>
      <c r="I1239" s="2969"/>
      <c r="J1239" s="2969"/>
      <c r="K1239" s="2969"/>
      <c r="L1239" s="2969"/>
      <c r="M1239" s="2969"/>
      <c r="N1239" s="2969"/>
      <c r="O1239" s="2969"/>
      <c r="P1239" s="2969"/>
      <c r="Q1239" s="2969"/>
    </row>
    <row r="1240" spans="1:17">
      <c r="A1240" s="2927"/>
      <c r="B1240" s="3028"/>
      <c r="C1240" s="3036"/>
      <c r="D1240" s="3036"/>
      <c r="E1240" s="3036"/>
      <c r="F1240" s="3036"/>
      <c r="G1240" s="3036"/>
      <c r="H1240" s="3036"/>
      <c r="I1240" s="3036"/>
      <c r="J1240" s="3036"/>
      <c r="K1240" s="3036"/>
      <c r="L1240" s="3036"/>
      <c r="M1240" s="3036"/>
      <c r="N1240" s="3036"/>
      <c r="O1240" s="3036"/>
      <c r="P1240" s="3029"/>
      <c r="Q1240" s="2927"/>
    </row>
    <row r="1241" spans="1:17">
      <c r="A1241" s="2906">
        <v>17</v>
      </c>
      <c r="B1241" s="2906" t="s">
        <v>2802</v>
      </c>
      <c r="C1241" s="2906"/>
      <c r="D1241" s="3036"/>
      <c r="E1241" s="3036"/>
      <c r="F1241" s="3036"/>
      <c r="G1241" s="3036"/>
      <c r="H1241" s="3036"/>
      <c r="I1241" s="3036"/>
      <c r="J1241" s="3036"/>
      <c r="K1241" s="3036"/>
      <c r="L1241" s="3036"/>
      <c r="M1241" s="3036"/>
      <c r="O1241" s="3029" t="s">
        <v>1960</v>
      </c>
      <c r="P1241" s="2933">
        <f>'Part VIII-Threshold Criteria'!P291</f>
        <v>0</v>
      </c>
      <c r="Q1241" s="2933"/>
    </row>
    <row r="1243" spans="1:17">
      <c r="A1243" s="3077"/>
      <c r="B1243" s="3030" t="s">
        <v>2080</v>
      </c>
      <c r="C1243" s="3098" t="s">
        <v>3124</v>
      </c>
      <c r="D1243" s="3099"/>
      <c r="E1243" s="3099"/>
      <c r="F1243" s="3099"/>
      <c r="G1243" s="3099"/>
      <c r="H1243" s="3099"/>
      <c r="I1243" s="3099"/>
      <c r="J1243" s="3099"/>
      <c r="K1243" s="3099"/>
      <c r="L1243" s="3099"/>
      <c r="M1243" s="3099"/>
      <c r="N1243" s="3099"/>
      <c r="O1243" s="3078" t="s">
        <v>2080</v>
      </c>
      <c r="P1243" s="3032" t="str">
        <f>'Part VIII-Threshold Criteria'!P293</f>
        <v>Agree</v>
      </c>
      <c r="Q1243" s="3032">
        <f>'Part VIII-Threshold Criteria'!Q293</f>
        <v>0</v>
      </c>
    </row>
    <row r="1244" spans="1:17">
      <c r="A1244" s="3077"/>
      <c r="B1244" s="3030" t="s">
        <v>2083</v>
      </c>
      <c r="C1244" s="3098" t="s">
        <v>3125</v>
      </c>
      <c r="D1244" s="3099"/>
      <c r="E1244" s="3099"/>
      <c r="F1244" s="3099"/>
      <c r="G1244" s="3099"/>
      <c r="H1244" s="3099"/>
      <c r="I1244" s="3099"/>
      <c r="J1244" s="3099"/>
      <c r="K1244" s="3099"/>
      <c r="L1244" s="3099"/>
      <c r="M1244" s="3099"/>
      <c r="N1244" s="3099"/>
      <c r="O1244" s="3078" t="s">
        <v>2083</v>
      </c>
      <c r="P1244" s="3032" t="str">
        <f>'Part VIII-Threshold Criteria'!P294</f>
        <v>Agree</v>
      </c>
      <c r="Q1244" s="3032">
        <f>'Part VIII-Threshold Criteria'!Q294</f>
        <v>0</v>
      </c>
    </row>
    <row r="1245" spans="1:17">
      <c r="B1245" s="3067" t="s">
        <v>1958</v>
      </c>
      <c r="D1245" s="3067"/>
      <c r="E1245" s="3067"/>
      <c r="F1245" s="3067"/>
      <c r="G1245" s="3067"/>
      <c r="H1245" s="3031"/>
      <c r="I1245" s="3028"/>
      <c r="J1245" s="3028"/>
      <c r="K1245" s="3028"/>
      <c r="L1245" s="2927"/>
      <c r="M1245" s="2927"/>
      <c r="N1245" s="2927"/>
      <c r="O1245" s="2927"/>
      <c r="P1245" s="2927"/>
      <c r="Q1245" s="2927"/>
    </row>
    <row r="1246" spans="1:17">
      <c r="A1246" s="2969" t="str">
        <f>'Part VIII-Threshold Criteria'!A296</f>
        <v>Applicant will exceed all threshold sustainability requirements.</v>
      </c>
      <c r="B1246" s="2969"/>
      <c r="C1246" s="2969"/>
      <c r="D1246" s="2969"/>
      <c r="E1246" s="2969"/>
      <c r="F1246" s="2969"/>
      <c r="G1246" s="2969"/>
      <c r="H1246" s="2969"/>
      <c r="I1246" s="2969"/>
      <c r="J1246" s="2969"/>
      <c r="K1246" s="2969"/>
      <c r="L1246" s="2969"/>
      <c r="M1246" s="2969"/>
      <c r="N1246" s="2969"/>
      <c r="O1246" s="2969"/>
      <c r="P1246" s="2969"/>
      <c r="Q1246" s="2969"/>
    </row>
    <row r="1247" spans="1:17">
      <c r="B1247" s="3034" t="s">
        <v>1959</v>
      </c>
      <c r="C1247" s="3035"/>
      <c r="D1247" s="3036"/>
      <c r="E1247" s="3036"/>
      <c r="F1247" s="3036"/>
      <c r="G1247" s="3036"/>
      <c r="H1247" s="3036"/>
      <c r="I1247" s="3036"/>
      <c r="J1247" s="3036"/>
      <c r="K1247" s="3036"/>
      <c r="L1247" s="3036"/>
      <c r="M1247" s="3036"/>
      <c r="N1247" s="3036"/>
      <c r="O1247" s="3036"/>
      <c r="P1247" s="3036"/>
    </row>
    <row r="1248" spans="1:17">
      <c r="A1248" s="2969">
        <f>'Part VIII-Threshold Criteria'!A298</f>
        <v>0</v>
      </c>
      <c r="B1248" s="2969"/>
      <c r="C1248" s="2969"/>
      <c r="D1248" s="2969"/>
      <c r="E1248" s="2969"/>
      <c r="F1248" s="2969"/>
      <c r="G1248" s="2969"/>
      <c r="H1248" s="2969"/>
      <c r="I1248" s="2969"/>
      <c r="J1248" s="2969"/>
      <c r="K1248" s="2969"/>
      <c r="L1248" s="2969"/>
      <c r="M1248" s="2969"/>
      <c r="N1248" s="2969"/>
      <c r="O1248" s="2969"/>
      <c r="P1248" s="2969"/>
      <c r="Q1248" s="2969"/>
    </row>
    <row r="1249" spans="1:17">
      <c r="A1249" s="2927"/>
      <c r="B1249" s="3028"/>
      <c r="C1249" s="3036"/>
      <c r="D1249" s="3036"/>
      <c r="E1249" s="3036"/>
      <c r="F1249" s="3036"/>
      <c r="G1249" s="3036"/>
      <c r="H1249" s="3036"/>
      <c r="I1249" s="3036"/>
      <c r="J1249" s="3036"/>
      <c r="K1249" s="3036"/>
      <c r="L1249" s="3036"/>
      <c r="M1249" s="3036"/>
      <c r="Q1249" s="2927"/>
    </row>
    <row r="1250" spans="1:17">
      <c r="A1250" s="2906">
        <v>18</v>
      </c>
      <c r="B1250" s="2906" t="s">
        <v>2803</v>
      </c>
      <c r="C1250" s="3100"/>
      <c r="D1250" s="3101"/>
      <c r="E1250" s="3036"/>
      <c r="F1250" s="3036"/>
      <c r="G1250" s="3036"/>
      <c r="H1250" s="3036"/>
      <c r="I1250" s="3036"/>
      <c r="J1250" s="3036"/>
      <c r="K1250" s="3036"/>
      <c r="L1250" s="3036"/>
      <c r="M1250" s="3036"/>
      <c r="O1250" s="3029" t="s">
        <v>1960</v>
      </c>
      <c r="P1250" s="2933">
        <f>'Part VIII-Threshold Criteria'!P300</f>
        <v>0</v>
      </c>
      <c r="Q1250" s="2933"/>
    </row>
    <row r="1251" spans="1:17">
      <c r="B1251" s="3030" t="s">
        <v>2080</v>
      </c>
      <c r="C1251" s="3078" t="s">
        <v>1824</v>
      </c>
      <c r="D1251" s="3098" t="s">
        <v>4177</v>
      </c>
      <c r="E1251" s="3098"/>
      <c r="F1251" s="3098"/>
      <c r="G1251" s="3098"/>
      <c r="H1251" s="3098"/>
      <c r="I1251" s="3098"/>
      <c r="J1251" s="3098"/>
      <c r="K1251" s="3098"/>
      <c r="L1251" s="3098"/>
      <c r="M1251" s="3098"/>
      <c r="N1251" s="3098"/>
      <c r="O1251" s="3078" t="s">
        <v>2901</v>
      </c>
      <c r="P1251" s="3032" t="str">
        <f>'Part VIII-Threshold Criteria'!P301</f>
        <v>Yes</v>
      </c>
      <c r="Q1251" s="3032">
        <f>'Part VIII-Threshold Criteria'!Q301</f>
        <v>0</v>
      </c>
    </row>
    <row r="1252" spans="1:17">
      <c r="A1252" s="3077"/>
      <c r="B1252" s="3030"/>
      <c r="C1252" s="3078" t="s">
        <v>1825</v>
      </c>
      <c r="D1252" s="3098" t="s">
        <v>4079</v>
      </c>
      <c r="E1252" s="3098"/>
      <c r="F1252" s="3098"/>
      <c r="G1252" s="3098"/>
      <c r="H1252" s="3098"/>
      <c r="I1252" s="3098"/>
      <c r="J1252" s="3098"/>
      <c r="K1252" s="3098"/>
      <c r="L1252" s="3098"/>
      <c r="M1252" s="3098"/>
      <c r="N1252" s="3098"/>
      <c r="O1252" s="3078" t="s">
        <v>1825</v>
      </c>
      <c r="P1252" s="3032" t="str">
        <f>'Part VIII-Threshold Criteria'!P302</f>
        <v>No</v>
      </c>
      <c r="Q1252" s="3032">
        <f>'Part VIII-Threshold Criteria'!Q302</f>
        <v>0</v>
      </c>
    </row>
    <row r="1253" spans="1:17">
      <c r="A1253" s="521"/>
      <c r="B1253" s="3033"/>
      <c r="C1253" s="3003" t="s">
        <v>1826</v>
      </c>
      <c r="D1253" s="3102" t="s">
        <v>4077</v>
      </c>
      <c r="E1253" s="3102"/>
      <c r="F1253" s="3102"/>
      <c r="G1253" s="3102"/>
      <c r="H1253" s="3102"/>
      <c r="I1253" s="3102"/>
      <c r="J1253" s="3102"/>
      <c r="K1253" s="3102"/>
      <c r="L1253" s="3102"/>
      <c r="M1253" s="3102"/>
      <c r="N1253" s="3102"/>
      <c r="O1253" s="3003" t="s">
        <v>1826</v>
      </c>
      <c r="P1253" s="3032" t="str">
        <f>'Part VIII-Threshold Criteria'!P303</f>
        <v>Yes</v>
      </c>
      <c r="Q1253" s="3032">
        <f>'Part VIII-Threshold Criteria'!Q303</f>
        <v>0</v>
      </c>
    </row>
    <row r="1254" spans="1:17">
      <c r="A1254" s="521"/>
      <c r="B1254" s="3030" t="s">
        <v>2083</v>
      </c>
      <c r="C1254" s="3078" t="s">
        <v>1824</v>
      </c>
      <c r="D1254" s="3098" t="s">
        <v>2899</v>
      </c>
      <c r="E1254" s="3098"/>
      <c r="F1254" s="3098"/>
      <c r="G1254" s="3098"/>
      <c r="H1254" s="3098"/>
      <c r="I1254" s="3098"/>
      <c r="J1254" s="3098"/>
      <c r="K1254" s="3098"/>
      <c r="L1254" s="3098"/>
      <c r="M1254" s="3098"/>
      <c r="N1254" s="3098"/>
      <c r="O1254" s="3003" t="s">
        <v>2902</v>
      </c>
      <c r="P1254" s="3032" t="str">
        <f>'Part VIII-Threshold Criteria'!P304</f>
        <v>Yes</v>
      </c>
      <c r="Q1254" s="3032">
        <f>'Part VIII-Threshold Criteria'!Q304</f>
        <v>0</v>
      </c>
    </row>
    <row r="1255" spans="1:17">
      <c r="A1255" s="521"/>
      <c r="B1255" s="3030"/>
      <c r="C1255" s="3078" t="s">
        <v>1825</v>
      </c>
      <c r="D1255" s="3098" t="s">
        <v>2900</v>
      </c>
      <c r="E1255" s="3098"/>
      <c r="F1255" s="3098"/>
      <c r="G1255" s="3098"/>
      <c r="H1255" s="3098"/>
      <c r="I1255" s="3098"/>
      <c r="J1255" s="3098"/>
      <c r="K1255" s="3098"/>
      <c r="L1255" s="3098"/>
      <c r="M1255" s="3098"/>
      <c r="N1255" s="3098"/>
      <c r="O1255" s="3003" t="s">
        <v>3126</v>
      </c>
      <c r="P1255" s="3032" t="str">
        <f>'Part VIII-Threshold Criteria'!P305</f>
        <v>Yes</v>
      </c>
      <c r="Q1255" s="3032">
        <f>'Part VIII-Threshold Criteria'!Q305</f>
        <v>0</v>
      </c>
    </row>
    <row r="1256" spans="1:17">
      <c r="A1256" s="3077"/>
      <c r="B1256" s="3030" t="s">
        <v>788</v>
      </c>
      <c r="C1256" s="3078"/>
      <c r="D1256" s="3098" t="s">
        <v>4178</v>
      </c>
      <c r="E1256" s="3098"/>
      <c r="F1256" s="3098"/>
      <c r="G1256" s="3098"/>
      <c r="H1256" s="3098"/>
      <c r="I1256" s="3098"/>
      <c r="J1256" s="3098"/>
      <c r="K1256" s="3098"/>
      <c r="L1256" s="3098"/>
      <c r="M1256" s="3098"/>
      <c r="N1256" s="3098"/>
      <c r="O1256" s="3078" t="s">
        <v>788</v>
      </c>
      <c r="P1256" s="3032" t="str">
        <f>'Part VIII-Threshold Criteria'!P306</f>
        <v>Yes</v>
      </c>
      <c r="Q1256" s="3032">
        <f>'Part VIII-Threshold Criteria'!Q306</f>
        <v>0</v>
      </c>
    </row>
    <row r="1257" spans="1:17">
      <c r="B1257" s="3067" t="s">
        <v>1958</v>
      </c>
      <c r="D1257" s="3067"/>
      <c r="E1257" s="3067"/>
      <c r="F1257" s="3067"/>
      <c r="G1257" s="3067"/>
      <c r="H1257" s="3031"/>
      <c r="I1257" s="3028"/>
      <c r="J1257" s="3028"/>
      <c r="K1257" s="3028"/>
      <c r="L1257" s="2927"/>
      <c r="M1257" s="2927"/>
      <c r="N1257" s="2927"/>
      <c r="O1257" s="2927"/>
      <c r="P1257" s="2927"/>
      <c r="Q1257" s="2927"/>
    </row>
    <row r="1258" spans="1:17">
      <c r="A1258" s="2969" t="str">
        <f>'Part VIII-Threshold Criteria'!A308</f>
        <v>Applicant will complete  all accessibility requirements and is not eligible for statutory exemptions</v>
      </c>
      <c r="B1258" s="2969"/>
      <c r="C1258" s="2969"/>
      <c r="D1258" s="2969"/>
      <c r="E1258" s="2969"/>
      <c r="F1258" s="2969"/>
      <c r="G1258" s="2969"/>
      <c r="H1258" s="2969"/>
      <c r="I1258" s="2969"/>
      <c r="J1258" s="2969"/>
      <c r="K1258" s="2969"/>
      <c r="L1258" s="2969"/>
      <c r="M1258" s="2969"/>
      <c r="N1258" s="2969"/>
      <c r="O1258" s="2969"/>
      <c r="P1258" s="2969"/>
      <c r="Q1258" s="2969"/>
    </row>
    <row r="1259" spans="1:17">
      <c r="B1259" s="3034" t="s">
        <v>1959</v>
      </c>
      <c r="C1259" s="3035"/>
      <c r="D1259" s="3036"/>
      <c r="E1259" s="3036"/>
      <c r="F1259" s="3036"/>
      <c r="G1259" s="3036"/>
      <c r="H1259" s="3036"/>
      <c r="I1259" s="3036"/>
      <c r="J1259" s="3036"/>
      <c r="K1259" s="3036"/>
      <c r="L1259" s="3036"/>
      <c r="M1259" s="3036"/>
      <c r="N1259" s="3036"/>
      <c r="O1259" s="3036"/>
      <c r="P1259" s="3036"/>
    </row>
    <row r="1260" spans="1:17">
      <c r="A1260" s="2969">
        <f>'Part VIII-Threshold Criteria'!A310</f>
        <v>0</v>
      </c>
      <c r="B1260" s="2969"/>
      <c r="C1260" s="2969"/>
      <c r="D1260" s="2969"/>
      <c r="E1260" s="2969"/>
      <c r="F1260" s="2969"/>
      <c r="G1260" s="2969"/>
      <c r="H1260" s="2969"/>
      <c r="I1260" s="2969"/>
      <c r="J1260" s="2969"/>
      <c r="K1260" s="2969"/>
      <c r="L1260" s="2969"/>
      <c r="M1260" s="2969"/>
      <c r="N1260" s="2969"/>
      <c r="O1260" s="2969"/>
      <c r="P1260" s="2969"/>
      <c r="Q1260" s="2969"/>
    </row>
    <row r="1261" spans="1:17">
      <c r="A1261" s="2906">
        <v>19</v>
      </c>
      <c r="B1261" s="524" t="s">
        <v>2804</v>
      </c>
      <c r="C1261" s="524"/>
      <c r="D1261" s="524"/>
      <c r="E1261" s="524"/>
      <c r="F1261" s="524"/>
      <c r="G1261" s="524"/>
      <c r="H1261" s="3036"/>
      <c r="I1261" s="3036"/>
      <c r="J1261" s="3036"/>
      <c r="K1261" s="3036"/>
      <c r="L1261" s="3036"/>
      <c r="M1261" s="3036"/>
      <c r="O1261" s="3029" t="s">
        <v>1960</v>
      </c>
      <c r="P1261" s="2933">
        <f>'Part VIII-Threshold Criteria'!P311</f>
        <v>0</v>
      </c>
      <c r="Q1261" s="2933"/>
    </row>
    <row r="1262" spans="1:17">
      <c r="B1262" s="505" t="s">
        <v>2360</v>
      </c>
      <c r="P1262" s="3032" t="str">
        <f>'Part VIII-Threshold Criteria'!P312</f>
        <v>No</v>
      </c>
      <c r="Q1262" s="3032">
        <f>'Part VIII-Threshold Criteria'!Q312</f>
        <v>0</v>
      </c>
    </row>
    <row r="1263" spans="1:17">
      <c r="B1263" s="3091" t="s">
        <v>2315</v>
      </c>
      <c r="C1263" s="3091"/>
      <c r="D1263" s="3091"/>
      <c r="E1263" s="3091"/>
      <c r="F1263" s="3091"/>
      <c r="G1263" s="3091"/>
      <c r="H1263" s="3091"/>
      <c r="I1263" s="3091"/>
      <c r="J1263" s="3091"/>
      <c r="K1263" s="3091"/>
      <c r="L1263" s="3091"/>
      <c r="P1263" s="3032" t="str">
        <f>'Part VIII-Threshold Criteria'!P313</f>
        <v>Yes</v>
      </c>
      <c r="Q1263" s="3032">
        <f>'Part VIII-Threshold Criteria'!Q313</f>
        <v>0</v>
      </c>
    </row>
    <row r="1264" spans="1:17">
      <c r="B1264" s="3030" t="s">
        <v>2080</v>
      </c>
      <c r="C1264" s="3064" t="s">
        <v>4617</v>
      </c>
      <c r="D1264" s="3031"/>
      <c r="E1264" s="3031"/>
      <c r="F1264" s="3031"/>
      <c r="G1264" s="3031"/>
      <c r="H1264" s="3031"/>
      <c r="I1264" s="3031"/>
      <c r="J1264" s="3031"/>
      <c r="K1264" s="3031"/>
      <c r="L1264" s="3031"/>
      <c r="M1264" s="3031"/>
      <c r="N1264" s="3078"/>
    </row>
    <row r="1265" spans="1:17">
      <c r="A1265" s="3071"/>
      <c r="C1265" s="3098" t="s">
        <v>3266</v>
      </c>
      <c r="D1265" s="3098"/>
      <c r="E1265" s="3098"/>
      <c r="F1265" s="3098"/>
      <c r="G1265" s="3098"/>
      <c r="H1265" s="3098"/>
      <c r="I1265" s="3098"/>
      <c r="J1265" s="3098"/>
      <c r="K1265" s="3098"/>
      <c r="L1265" s="3098"/>
      <c r="M1265" s="3098"/>
      <c r="N1265" s="3098"/>
      <c r="O1265" s="3078" t="s">
        <v>2080</v>
      </c>
      <c r="P1265" s="3032" t="str">
        <f>'Part VIII-Threshold Criteria'!P315</f>
        <v>Yes</v>
      </c>
      <c r="Q1265" s="3032">
        <f>'Part VIII-Threshold Criteria'!Q315</f>
        <v>0</v>
      </c>
    </row>
    <row r="1266" spans="1:17">
      <c r="B1266" s="3030" t="s">
        <v>2083</v>
      </c>
      <c r="C1266" s="3072" t="s">
        <v>479</v>
      </c>
      <c r="D1266" s="3072"/>
      <c r="E1266" s="3072"/>
      <c r="F1266" s="3072"/>
      <c r="G1266" s="3072"/>
      <c r="H1266" s="3072"/>
      <c r="I1266" s="3072"/>
      <c r="J1266" s="3072"/>
      <c r="K1266" s="3072"/>
      <c r="L1266" s="3072"/>
      <c r="M1266" s="3072"/>
      <c r="O1266" s="3078" t="s">
        <v>2083</v>
      </c>
      <c r="P1266" s="2927"/>
      <c r="Q1266" s="2927"/>
    </row>
    <row r="1267" spans="1:17">
      <c r="A1267" s="3071"/>
      <c r="C1267" s="3080" t="s">
        <v>1824</v>
      </c>
      <c r="D1267" s="3068" t="s">
        <v>1182</v>
      </c>
      <c r="E1267" s="3077"/>
      <c r="F1267" s="3077"/>
      <c r="G1267" s="3103" t="str">
        <f>'Part VIII-Threshold Criteria'!G317</f>
        <v>Exterior wall faces will have an excess of 40% brick or stone on each total wall surface</v>
      </c>
      <c r="H1267" s="3104"/>
      <c r="I1267" s="3104"/>
      <c r="J1267" s="3104"/>
      <c r="K1267" s="3104"/>
      <c r="L1267" s="3104"/>
      <c r="M1267" s="3104"/>
      <c r="N1267" s="3104"/>
      <c r="O1267" s="3078" t="s">
        <v>1824</v>
      </c>
      <c r="P1267" s="3032" t="str">
        <f>'Part VIII-Threshold Criteria'!P317</f>
        <v>Yes</v>
      </c>
      <c r="Q1267" s="3032">
        <f>'Part VIII-Threshold Criteria'!Q317</f>
        <v>0</v>
      </c>
    </row>
    <row r="1268" spans="1:17" ht="12.75" customHeight="1">
      <c r="A1268" s="3071"/>
      <c r="C1268" s="3080" t="s">
        <v>1825</v>
      </c>
      <c r="D1268" s="2969" t="s">
        <v>1183</v>
      </c>
      <c r="E1268" s="2842"/>
      <c r="F1268" s="2842"/>
      <c r="G1268" s="3103" t="str">
        <f>'Part VIII-Threshold Criteria'!G318</f>
        <v>Upgraded roofing shingles, or roofing materials  (warranty 30 years or greater)</v>
      </c>
      <c r="H1268" s="3104"/>
      <c r="I1268" s="3104"/>
      <c r="J1268" s="3104"/>
      <c r="K1268" s="3104"/>
      <c r="L1268" s="3104"/>
      <c r="M1268" s="3104"/>
      <c r="N1268" s="3104"/>
      <c r="O1268" s="3078" t="s">
        <v>1825</v>
      </c>
      <c r="P1268" s="3032" t="str">
        <f>'Part VIII-Threshold Criteria'!P318</f>
        <v>Yes</v>
      </c>
      <c r="Q1268" s="3032">
        <f>'Part VIII-Threshold Criteria'!Q318</f>
        <v>0</v>
      </c>
    </row>
    <row r="1269" spans="1:17">
      <c r="A1269" s="2927"/>
      <c r="B1269" s="2927"/>
      <c r="C1269" s="2927"/>
      <c r="D1269" s="2927"/>
      <c r="E1269" s="2927"/>
      <c r="F1269" s="2927"/>
      <c r="G1269" s="2927"/>
      <c r="H1269" s="2927"/>
      <c r="I1269" s="2927"/>
      <c r="J1269" s="2927"/>
      <c r="K1269" s="2927"/>
      <c r="L1269" s="2927"/>
      <c r="M1269" s="2927"/>
      <c r="N1269" s="2927"/>
      <c r="O1269" s="2927"/>
      <c r="P1269" s="2927"/>
      <c r="Q1269" s="2927"/>
    </row>
    <row r="1270" spans="1:17">
      <c r="A1270" s="3077"/>
      <c r="B1270" s="3030" t="s">
        <v>788</v>
      </c>
      <c r="C1270" s="3105" t="s">
        <v>4618</v>
      </c>
      <c r="D1270" s="3105"/>
      <c r="E1270" s="3105"/>
      <c r="F1270" s="3105"/>
      <c r="G1270" s="3105"/>
      <c r="H1270" s="3105"/>
      <c r="I1270" s="3105"/>
      <c r="J1270" s="3105"/>
      <c r="K1270" s="3105"/>
      <c r="L1270" s="3105"/>
      <c r="M1270" s="3105"/>
      <c r="N1270" s="3105"/>
      <c r="O1270" s="3082" t="s">
        <v>788</v>
      </c>
      <c r="P1270" s="2927"/>
      <c r="Q1270" s="2927"/>
    </row>
    <row r="1271" spans="1:17">
      <c r="A1271" s="3071"/>
      <c r="B1271" s="3077"/>
      <c r="C1271" s="3080" t="s">
        <v>1824</v>
      </c>
      <c r="D1271" s="2969" t="str">
        <f>'Part VIII-Threshold Criteria'!D321</f>
        <v>N/A</v>
      </c>
      <c r="E1271" s="2969"/>
      <c r="F1271" s="2969"/>
      <c r="G1271" s="2969"/>
      <c r="H1271" s="2969"/>
      <c r="I1271" s="2969"/>
      <c r="J1271" s="2969"/>
      <c r="K1271" s="2969"/>
      <c r="L1271" s="2969"/>
      <c r="M1271" s="2969"/>
      <c r="N1271" s="2969"/>
      <c r="O1271" s="3078" t="s">
        <v>1824</v>
      </c>
      <c r="P1271" s="3032" t="str">
        <f>'Part VIII-Threshold Criteria'!P321</f>
        <v>No</v>
      </c>
      <c r="Q1271" s="3032">
        <f>'Part VIII-Threshold Criteria'!Q321</f>
        <v>0</v>
      </c>
    </row>
    <row r="1272" spans="1:17">
      <c r="A1272" s="3071"/>
      <c r="B1272" s="3077"/>
      <c r="C1272" s="3080" t="s">
        <v>1825</v>
      </c>
      <c r="D1272" s="2969">
        <f>'Part VIII-Threshold Criteria'!D322</f>
        <v>0</v>
      </c>
      <c r="E1272" s="2969"/>
      <c r="F1272" s="2969"/>
      <c r="G1272" s="2969"/>
      <c r="H1272" s="2969"/>
      <c r="I1272" s="2969"/>
      <c r="J1272" s="2969"/>
      <c r="K1272" s="2969"/>
      <c r="L1272" s="2969"/>
      <c r="M1272" s="2969"/>
      <c r="N1272" s="2969"/>
      <c r="O1272" s="3078" t="s">
        <v>1825</v>
      </c>
      <c r="P1272" s="3032" t="str">
        <f>'Part VIII-Threshold Criteria'!P322</f>
        <v>No</v>
      </c>
      <c r="Q1272" s="3032">
        <f>'Part VIII-Threshold Criteria'!Q322</f>
        <v>0</v>
      </c>
    </row>
    <row r="1273" spans="1:17">
      <c r="A1273" s="2927"/>
      <c r="B1273" s="2927"/>
      <c r="C1273" s="2927"/>
      <c r="D1273" s="2927"/>
      <c r="E1273" s="2927"/>
      <c r="F1273" s="2927"/>
      <c r="G1273" s="2927"/>
      <c r="H1273" s="2927"/>
      <c r="I1273" s="2927"/>
      <c r="J1273" s="2927"/>
      <c r="K1273" s="2927"/>
      <c r="L1273" s="2927"/>
      <c r="M1273" s="2927"/>
      <c r="N1273" s="2927"/>
      <c r="O1273" s="2927"/>
      <c r="P1273" s="2927"/>
      <c r="Q1273" s="2927"/>
    </row>
    <row r="1274" spans="1:17">
      <c r="B1274" s="3067" t="s">
        <v>1958</v>
      </c>
      <c r="D1274" s="3067"/>
      <c r="E1274" s="3067"/>
      <c r="F1274" s="3067"/>
      <c r="G1274" s="3067"/>
      <c r="H1274" s="3031"/>
      <c r="I1274" s="3028"/>
      <c r="J1274" s="3028"/>
      <c r="K1274" s="3028"/>
      <c r="L1274" s="2927"/>
      <c r="M1274" s="2927"/>
      <c r="N1274" s="2927"/>
      <c r="O1274" s="2927"/>
      <c r="P1274" s="2927"/>
      <c r="Q1274" s="2927"/>
    </row>
    <row r="1275" spans="1:17">
      <c r="A1275" s="2969">
        <f>'Part VIII-Threshold Criteria'!A325</f>
        <v>0</v>
      </c>
      <c r="B1275" s="2969"/>
      <c r="C1275" s="2969"/>
      <c r="D1275" s="2969"/>
      <c r="E1275" s="2969"/>
      <c r="F1275" s="2969"/>
      <c r="G1275" s="2969"/>
      <c r="H1275" s="2969"/>
      <c r="I1275" s="2969"/>
      <c r="J1275" s="2969"/>
      <c r="K1275" s="2969"/>
      <c r="L1275" s="2969"/>
      <c r="M1275" s="2969"/>
      <c r="N1275" s="2969"/>
      <c r="O1275" s="2969"/>
      <c r="P1275" s="2969"/>
      <c r="Q1275" s="2969"/>
    </row>
    <row r="1276" spans="1:17">
      <c r="B1276" s="3034" t="s">
        <v>1959</v>
      </c>
      <c r="C1276" s="3035"/>
      <c r="D1276" s="3036"/>
      <c r="E1276" s="3036"/>
      <c r="F1276" s="3036"/>
      <c r="G1276" s="3036"/>
      <c r="H1276" s="3036"/>
      <c r="I1276" s="3036"/>
      <c r="J1276" s="3036"/>
      <c r="K1276" s="3036"/>
      <c r="L1276" s="3036"/>
      <c r="M1276" s="3036"/>
      <c r="N1276" s="3036"/>
      <c r="O1276" s="3036"/>
      <c r="P1276" s="3036"/>
    </row>
    <row r="1277" spans="1:17">
      <c r="A1277" s="2969">
        <f>'Part VIII-Threshold Criteria'!A327</f>
        <v>0</v>
      </c>
      <c r="B1277" s="2969"/>
      <c r="C1277" s="2969"/>
      <c r="D1277" s="2969"/>
      <c r="E1277" s="2969"/>
      <c r="F1277" s="2969"/>
      <c r="G1277" s="2969"/>
      <c r="H1277" s="2969"/>
      <c r="I1277" s="2969"/>
      <c r="J1277" s="2969"/>
      <c r="K1277" s="2969"/>
      <c r="L1277" s="2969"/>
      <c r="M1277" s="2969"/>
      <c r="N1277" s="2969"/>
      <c r="O1277" s="2969"/>
      <c r="P1277" s="2969"/>
      <c r="Q1277" s="2969"/>
    </row>
    <row r="1278" spans="1:17">
      <c r="A1278" s="2927"/>
      <c r="B1278" s="3028"/>
      <c r="C1278" s="3036"/>
      <c r="D1278" s="3036"/>
      <c r="E1278" s="3036"/>
      <c r="F1278" s="3036"/>
      <c r="G1278" s="3036"/>
      <c r="H1278" s="3036"/>
      <c r="I1278" s="3036"/>
      <c r="J1278" s="3036"/>
      <c r="K1278" s="3036"/>
      <c r="L1278" s="3036"/>
      <c r="M1278" s="3036"/>
      <c r="N1278" s="3036"/>
      <c r="O1278" s="3036"/>
      <c r="P1278" s="3036"/>
      <c r="Q1278" s="2927"/>
    </row>
    <row r="1279" spans="1:17">
      <c r="A1279" s="2906">
        <v>20</v>
      </c>
      <c r="B1279" s="2906" t="s">
        <v>3276</v>
      </c>
      <c r="C1279" s="2906"/>
      <c r="D1279" s="3036"/>
      <c r="E1279" s="3036"/>
      <c r="F1279" s="3036"/>
      <c r="G1279" s="3036"/>
      <c r="H1279" s="3036"/>
      <c r="O1279" s="3029" t="s">
        <v>1960</v>
      </c>
      <c r="P1279" s="2933">
        <f>'Part VIII-Threshold Criteria'!P329</f>
        <v>0</v>
      </c>
      <c r="Q1279" s="2933"/>
    </row>
    <row r="1280" spans="1:17">
      <c r="B1280" s="505" t="s">
        <v>3277</v>
      </c>
      <c r="P1280" s="3032" t="str">
        <f>'Part VIII-Threshold Criteria'!P330</f>
        <v>No</v>
      </c>
      <c r="Q1280" s="3032">
        <f>'Part VIII-Threshold Criteria'!Q330</f>
        <v>0</v>
      </c>
    </row>
    <row r="1281" spans="1:17">
      <c r="B1281" s="505" t="s">
        <v>2459</v>
      </c>
      <c r="P1281" s="3032">
        <f>'Part VIII-Threshold Criteria'!P331</f>
        <v>0</v>
      </c>
      <c r="Q1281" s="3032">
        <f>'Part VIII-Threshold Criteria'!Q331</f>
        <v>0</v>
      </c>
    </row>
    <row r="1282" spans="1:17">
      <c r="B1282" s="505" t="s">
        <v>3278</v>
      </c>
      <c r="M1282" s="3106" t="str">
        <f>'Part VIII-Threshold Criteria'!M332</f>
        <v>&lt;&lt; Select Designation &gt;&gt;</v>
      </c>
      <c r="N1282" s="3106"/>
      <c r="O1282" s="3106"/>
    </row>
    <row r="1283" spans="1:17">
      <c r="B1283" s="3084" t="s">
        <v>2460</v>
      </c>
      <c r="M1283" s="3106" t="str">
        <f>'Part VIII-Threshold Criteria'!M333</f>
        <v>&lt;&lt; Select Designation &gt;&gt;</v>
      </c>
      <c r="N1283" s="3106"/>
      <c r="O1283" s="3106"/>
    </row>
    <row r="1284" spans="1:17">
      <c r="B1284" s="3067" t="s">
        <v>1958</v>
      </c>
      <c r="D1284" s="3067"/>
      <c r="E1284" s="3067"/>
      <c r="F1284" s="3067"/>
      <c r="G1284" s="3067"/>
      <c r="H1284" s="3031"/>
      <c r="I1284" s="3028"/>
      <c r="J1284" s="3028"/>
      <c r="K1284" s="3028"/>
      <c r="L1284" s="2927"/>
      <c r="M1284" s="2927"/>
      <c r="N1284" s="2927"/>
      <c r="O1284" s="2927"/>
      <c r="P1284" s="2927"/>
      <c r="Q1284" s="2927"/>
    </row>
    <row r="1285" spans="1:17">
      <c r="A1285" s="2969" t="str">
        <f>'Part VIII-Threshold Criteria'!A335</f>
        <v>We have included our Qualified Without Conditions determination for pre-application 2015PA-079 for informational purposes only.       This application is for the same project team and the same type project - a small rural project.   Our complete performance workbook is  included in this application  for project specific determination.  There have been no changes in the project team from 2015PA-079 pre-application to this application.</v>
      </c>
      <c r="B1285" s="2969"/>
      <c r="C1285" s="2969"/>
      <c r="D1285" s="2969"/>
      <c r="E1285" s="2969"/>
      <c r="F1285" s="2969"/>
      <c r="G1285" s="2969"/>
      <c r="H1285" s="2969"/>
      <c r="I1285" s="2969"/>
      <c r="J1285" s="2969"/>
      <c r="K1285" s="2969"/>
      <c r="L1285" s="2969"/>
      <c r="M1285" s="2969"/>
      <c r="N1285" s="2969"/>
      <c r="O1285" s="2969"/>
      <c r="P1285" s="2969"/>
      <c r="Q1285" s="2969"/>
    </row>
    <row r="1286" spans="1:17">
      <c r="B1286" s="3034" t="s">
        <v>1959</v>
      </c>
      <c r="C1286" s="3035"/>
      <c r="D1286" s="3036"/>
      <c r="E1286" s="3036"/>
      <c r="F1286" s="3036"/>
      <c r="G1286" s="3036"/>
      <c r="H1286" s="3036"/>
      <c r="I1286" s="3036"/>
      <c r="J1286" s="3036"/>
      <c r="K1286" s="3036"/>
      <c r="L1286" s="3036"/>
      <c r="M1286" s="3036"/>
      <c r="N1286" s="3036"/>
      <c r="O1286" s="3036"/>
      <c r="P1286" s="3036"/>
    </row>
    <row r="1287" spans="1:17">
      <c r="A1287" s="2969">
        <f>'Part VIII-Threshold Criteria'!A337</f>
        <v>0</v>
      </c>
      <c r="B1287" s="2969"/>
      <c r="C1287" s="2969"/>
      <c r="D1287" s="2969"/>
      <c r="E1287" s="2969"/>
      <c r="F1287" s="2969"/>
      <c r="G1287" s="2969"/>
      <c r="H1287" s="2969"/>
      <c r="I1287" s="2969"/>
      <c r="J1287" s="2969"/>
      <c r="K1287" s="2969"/>
      <c r="L1287" s="2969"/>
      <c r="M1287" s="2969"/>
      <c r="N1287" s="2969"/>
      <c r="O1287" s="2969"/>
      <c r="P1287" s="2969"/>
      <c r="Q1287" s="2969"/>
    </row>
    <row r="1288" spans="1:17">
      <c r="B1288" s="3028"/>
      <c r="C1288" s="3036"/>
      <c r="D1288" s="3036"/>
      <c r="E1288" s="3036"/>
      <c r="F1288" s="3036"/>
      <c r="G1288" s="3036"/>
      <c r="H1288" s="3036"/>
      <c r="I1288" s="3036"/>
      <c r="J1288" s="3036"/>
      <c r="K1288" s="3036"/>
      <c r="L1288" s="3036"/>
      <c r="M1288" s="3036"/>
      <c r="Q1288" s="2927"/>
    </row>
    <row r="1289" spans="1:17">
      <c r="A1289" s="2906">
        <v>21</v>
      </c>
      <c r="B1289" s="524" t="s">
        <v>2805</v>
      </c>
      <c r="C1289" s="524"/>
      <c r="D1289" s="3027"/>
      <c r="E1289" s="3036"/>
      <c r="F1289" s="3036"/>
      <c r="G1289" s="3036"/>
      <c r="H1289" s="3036"/>
      <c r="I1289" s="3036"/>
      <c r="J1289" s="3036"/>
      <c r="K1289" s="3036"/>
      <c r="L1289" s="3036"/>
      <c r="M1289" s="3036"/>
      <c r="O1289" s="3029" t="s">
        <v>1960</v>
      </c>
      <c r="P1289" s="2933">
        <f>'Part VIII-Threshold Criteria'!P339</f>
        <v>0</v>
      </c>
      <c r="Q1289" s="2933"/>
    </row>
    <row r="1290" spans="1:17">
      <c r="B1290" s="3030" t="s">
        <v>2080</v>
      </c>
      <c r="C1290" s="2969" t="s">
        <v>4179</v>
      </c>
      <c r="D1290" s="2969"/>
      <c r="E1290" s="2969"/>
      <c r="F1290" s="2969"/>
      <c r="G1290" s="2969"/>
      <c r="H1290" s="2969"/>
      <c r="I1290" s="2969"/>
      <c r="J1290" s="2969"/>
      <c r="K1290" s="2969"/>
      <c r="L1290" s="2969"/>
      <c r="M1290" s="2969"/>
      <c r="N1290" s="2969"/>
      <c r="O1290" s="3078" t="s">
        <v>2080</v>
      </c>
      <c r="P1290" s="3032" t="str">
        <f>'Part VIII-Threshold Criteria'!P340</f>
        <v>Yes</v>
      </c>
      <c r="Q1290" s="3032">
        <f>'Part VIII-Threshold Criteria'!Q340</f>
        <v>0</v>
      </c>
    </row>
    <row r="1291" spans="1:17">
      <c r="B1291" s="3030" t="s">
        <v>2083</v>
      </c>
      <c r="C1291" s="2969" t="s">
        <v>3302</v>
      </c>
      <c r="D1291" s="2969"/>
      <c r="E1291" s="2969"/>
      <c r="F1291" s="2969"/>
      <c r="G1291" s="2969"/>
      <c r="H1291" s="2969"/>
      <c r="I1291" s="2969"/>
      <c r="J1291" s="2969"/>
      <c r="K1291" s="2969"/>
      <c r="L1291" s="2969"/>
      <c r="M1291" s="2969"/>
      <c r="N1291" s="2969"/>
      <c r="O1291" s="3078" t="s">
        <v>2083</v>
      </c>
      <c r="P1291" s="3032" t="str">
        <f>'Part VIII-Threshold Criteria'!P341</f>
        <v>Yes</v>
      </c>
      <c r="Q1291" s="3032">
        <f>'Part VIII-Threshold Criteria'!Q341</f>
        <v>0</v>
      </c>
    </row>
    <row r="1292" spans="1:17">
      <c r="B1292" s="3030" t="s">
        <v>788</v>
      </c>
      <c r="C1292" s="3091" t="s">
        <v>3127</v>
      </c>
      <c r="D1292" s="3091"/>
      <c r="E1292" s="3091"/>
      <c r="F1292" s="3091"/>
      <c r="G1292" s="3091"/>
      <c r="H1292" s="3091"/>
      <c r="I1292" s="3091"/>
      <c r="J1292" s="3091"/>
      <c r="K1292" s="3091"/>
      <c r="L1292" s="3091"/>
      <c r="M1292" s="3091"/>
      <c r="O1292" s="3078" t="s">
        <v>788</v>
      </c>
      <c r="P1292" s="3032" t="str">
        <f>'Part VIII-Threshold Criteria'!P342</f>
        <v>Yes</v>
      </c>
      <c r="Q1292" s="3032">
        <f>'Part VIII-Threshold Criteria'!Q342</f>
        <v>0</v>
      </c>
    </row>
    <row r="1293" spans="1:17">
      <c r="B1293" s="3030" t="s">
        <v>2215</v>
      </c>
      <c r="C1293" s="2969" t="s">
        <v>4619</v>
      </c>
      <c r="D1293" s="2969"/>
      <c r="E1293" s="2969"/>
      <c r="F1293" s="2969"/>
      <c r="G1293" s="2969"/>
      <c r="H1293" s="2969"/>
      <c r="I1293" s="2969"/>
      <c r="J1293" s="2969"/>
      <c r="K1293" s="2969"/>
      <c r="L1293" s="2969"/>
      <c r="M1293" s="2969"/>
      <c r="N1293" s="2969"/>
      <c r="O1293" s="3078" t="s">
        <v>2215</v>
      </c>
      <c r="P1293" s="3032" t="str">
        <f>'Part VIII-Threshold Criteria'!P343</f>
        <v>No</v>
      </c>
      <c r="Q1293" s="3032">
        <f>'Part VIII-Threshold Criteria'!Q343</f>
        <v>0</v>
      </c>
    </row>
    <row r="1294" spans="1:17">
      <c r="B1294" s="3030" t="s">
        <v>1822</v>
      </c>
      <c r="C1294" s="2969" t="s">
        <v>4620</v>
      </c>
      <c r="D1294" s="2969"/>
      <c r="E1294" s="2969"/>
      <c r="F1294" s="2969"/>
      <c r="G1294" s="2969"/>
      <c r="H1294" s="2969"/>
      <c r="I1294" s="2969"/>
      <c r="J1294" s="2969"/>
      <c r="K1294" s="2969"/>
      <c r="L1294" s="2969"/>
      <c r="M1294" s="2969"/>
      <c r="N1294" s="2969"/>
      <c r="O1294" s="3078" t="s">
        <v>1822</v>
      </c>
      <c r="P1294" s="3032" t="str">
        <f>'Part VIII-Threshold Criteria'!P344</f>
        <v>Yes</v>
      </c>
      <c r="Q1294" s="3032">
        <f>'Part VIII-Threshold Criteria'!Q344</f>
        <v>0</v>
      </c>
    </row>
    <row r="1295" spans="1:17">
      <c r="B1295" s="3067" t="s">
        <v>1958</v>
      </c>
      <c r="D1295" s="3067"/>
      <c r="E1295" s="3067"/>
      <c r="F1295" s="3067"/>
      <c r="G1295" s="3067"/>
      <c r="H1295" s="3031"/>
      <c r="I1295" s="3028"/>
      <c r="J1295" s="3028"/>
      <c r="K1295" s="3028"/>
      <c r="L1295" s="2927"/>
      <c r="M1295" s="2927"/>
      <c r="N1295" s="2927"/>
      <c r="O1295" s="2927"/>
      <c r="P1295" s="2927"/>
      <c r="Q1295" s="2927"/>
    </row>
    <row r="1296" spans="1:17">
      <c r="A1296" s="2969" t="str">
        <f>'Part VIII-Threshold Criteria'!A346</f>
        <v>We did not submit a pre-application for this project. However, we submitted a pre-application for 2015PA-079.  This application is for the same project team and the same type project - a small rural project.   Our complete performance workbook with compliance history is included in this application  for project specific certification.  There have been no changes in the project team from 2015PA-079 pre-application to this application.  Multi-state release is not required because we have no projects being monitered by  other housing agencies.</v>
      </c>
      <c r="B1296" s="2969"/>
      <c r="C1296" s="2969"/>
      <c r="D1296" s="2969"/>
      <c r="E1296" s="2969"/>
      <c r="F1296" s="2969"/>
      <c r="G1296" s="2969"/>
      <c r="H1296" s="2969"/>
      <c r="I1296" s="2969"/>
      <c r="J1296" s="2969"/>
      <c r="K1296" s="2969"/>
      <c r="L1296" s="2969"/>
      <c r="M1296" s="2969"/>
      <c r="N1296" s="2969"/>
      <c r="O1296" s="2969"/>
      <c r="P1296" s="2969"/>
      <c r="Q1296" s="2969"/>
    </row>
    <row r="1297" spans="1:17">
      <c r="B1297" s="3034" t="s">
        <v>1959</v>
      </c>
      <c r="C1297" s="3035"/>
      <c r="D1297" s="3036"/>
      <c r="E1297" s="3036"/>
      <c r="F1297" s="3036"/>
      <c r="G1297" s="3036"/>
      <c r="H1297" s="3036"/>
      <c r="I1297" s="3036"/>
      <c r="J1297" s="3036"/>
      <c r="K1297" s="3036"/>
      <c r="L1297" s="3036"/>
      <c r="M1297" s="3036"/>
      <c r="N1297" s="3036"/>
      <c r="O1297" s="3036"/>
      <c r="P1297" s="3036"/>
    </row>
    <row r="1298" spans="1:17">
      <c r="A1298" s="2969">
        <f>'Part VIII-Threshold Criteria'!A348</f>
        <v>0</v>
      </c>
      <c r="B1298" s="2969"/>
      <c r="C1298" s="2969"/>
      <c r="D1298" s="2969"/>
      <c r="E1298" s="2969"/>
      <c r="F1298" s="2969"/>
      <c r="G1298" s="2969"/>
      <c r="H1298" s="2969"/>
      <c r="I1298" s="2969"/>
      <c r="J1298" s="2969"/>
      <c r="K1298" s="2969"/>
      <c r="L1298" s="2969"/>
      <c r="M1298" s="2969"/>
      <c r="N1298" s="2969"/>
      <c r="O1298" s="2969"/>
      <c r="P1298" s="2969"/>
      <c r="Q1298" s="2969"/>
    </row>
    <row r="1299" spans="1:17">
      <c r="A1299" s="2927"/>
      <c r="B1299" s="3028"/>
      <c r="C1299" s="3036"/>
      <c r="D1299" s="3036"/>
      <c r="E1299" s="3036"/>
      <c r="F1299" s="3036"/>
      <c r="G1299" s="3036"/>
      <c r="H1299" s="3036"/>
      <c r="I1299" s="3036"/>
      <c r="J1299" s="3036"/>
      <c r="K1299" s="3036"/>
      <c r="L1299" s="3036"/>
      <c r="M1299" s="3036"/>
      <c r="N1299" s="3036"/>
      <c r="O1299" s="3036"/>
      <c r="P1299" s="3036"/>
      <c r="Q1299" s="2927"/>
    </row>
    <row r="1300" spans="1:17">
      <c r="A1300" s="2906">
        <v>22</v>
      </c>
      <c r="B1300" s="524" t="s">
        <v>2833</v>
      </c>
      <c r="C1300" s="524"/>
      <c r="D1300" s="524"/>
      <c r="E1300" s="524"/>
      <c r="F1300" s="524"/>
      <c r="G1300" s="524"/>
      <c r="H1300" s="3036"/>
      <c r="I1300" s="3036"/>
      <c r="J1300" s="3036"/>
      <c r="K1300" s="3036"/>
      <c r="L1300" s="3036"/>
      <c r="M1300" s="3036"/>
      <c r="O1300" s="3029" t="s">
        <v>1960</v>
      </c>
      <c r="P1300" s="2933">
        <f>'Part VIII-Threshold Criteria'!P350</f>
        <v>0</v>
      </c>
      <c r="Q1300" s="2933"/>
    </row>
    <row r="1301" spans="1:17">
      <c r="B1301" s="3033" t="s">
        <v>2080</v>
      </c>
      <c r="C1301" s="522" t="s">
        <v>2829</v>
      </c>
      <c r="D1301" s="2921"/>
      <c r="E1301" s="2921"/>
      <c r="F1301" s="2921"/>
      <c r="G1301" s="2921"/>
      <c r="H1301" s="2921"/>
      <c r="I1301" s="521"/>
      <c r="J1301" s="3003" t="s">
        <v>2080</v>
      </c>
      <c r="K1301" s="3073">
        <f>'Part VIII-Threshold Criteria'!K351</f>
        <v>0</v>
      </c>
      <c r="L1301" s="3073"/>
      <c r="M1301" s="3073"/>
      <c r="N1301" s="3073"/>
      <c r="O1301" s="3073"/>
      <c r="P1301" s="3073"/>
      <c r="Q1301" s="3032">
        <f>'Part VIII-Threshold Criteria'!Q351</f>
        <v>0</v>
      </c>
    </row>
    <row r="1302" spans="1:17">
      <c r="B1302" s="3030" t="s">
        <v>2083</v>
      </c>
      <c r="C1302" s="2957" t="s">
        <v>2828</v>
      </c>
      <c r="D1302" s="2957"/>
      <c r="E1302" s="2957"/>
      <c r="F1302" s="2957"/>
      <c r="G1302" s="2957"/>
      <c r="H1302" s="2957"/>
      <c r="I1302" s="2957"/>
      <c r="J1302" s="2957"/>
      <c r="K1302" s="2957"/>
      <c r="L1302" s="2957"/>
      <c r="M1302" s="2957"/>
      <c r="N1302" s="2957"/>
      <c r="O1302" s="3078" t="s">
        <v>2083</v>
      </c>
      <c r="P1302" s="3032">
        <f>'Part VIII-Threshold Criteria'!P352</f>
        <v>0</v>
      </c>
      <c r="Q1302" s="3032">
        <f>'Part VIII-Threshold Criteria'!Q352</f>
        <v>0</v>
      </c>
    </row>
    <row r="1303" spans="1:17">
      <c r="B1303" s="3033" t="s">
        <v>788</v>
      </c>
      <c r="C1303" s="522" t="s">
        <v>2830</v>
      </c>
      <c r="D1303" s="522"/>
      <c r="E1303" s="522"/>
      <c r="F1303" s="522"/>
      <c r="G1303" s="522"/>
      <c r="H1303" s="522"/>
      <c r="I1303" s="522"/>
      <c r="J1303" s="522"/>
      <c r="K1303" s="522"/>
      <c r="L1303" s="3031"/>
      <c r="M1303" s="3031"/>
      <c r="O1303" s="3003" t="s">
        <v>788</v>
      </c>
      <c r="P1303" s="3032">
        <f>'Part VIII-Threshold Criteria'!P353</f>
        <v>0</v>
      </c>
      <c r="Q1303" s="3032">
        <f>'Part VIII-Threshold Criteria'!Q353</f>
        <v>0</v>
      </c>
    </row>
    <row r="1304" spans="1:17">
      <c r="B1304" s="3033" t="s">
        <v>2215</v>
      </c>
      <c r="C1304" s="522" t="s">
        <v>2831</v>
      </c>
      <c r="D1304" s="522"/>
      <c r="E1304" s="522"/>
      <c r="F1304" s="522"/>
      <c r="G1304" s="522"/>
      <c r="H1304" s="522"/>
      <c r="I1304" s="522"/>
      <c r="J1304" s="522"/>
      <c r="K1304" s="522"/>
      <c r="L1304" s="522"/>
      <c r="M1304" s="522"/>
      <c r="O1304" s="3003" t="s">
        <v>2215</v>
      </c>
      <c r="P1304" s="3032">
        <f>'Part VIII-Threshold Criteria'!P354</f>
        <v>0</v>
      </c>
      <c r="Q1304" s="3032">
        <f>'Part VIII-Threshold Criteria'!Q354</f>
        <v>0</v>
      </c>
    </row>
    <row r="1305" spans="1:17">
      <c r="A1305" s="3077"/>
      <c r="B1305" s="3030" t="s">
        <v>1822</v>
      </c>
      <c r="C1305" s="2969" t="s">
        <v>2834</v>
      </c>
      <c r="D1305" s="2969"/>
      <c r="E1305" s="2969"/>
      <c r="F1305" s="2969"/>
      <c r="G1305" s="2969"/>
      <c r="H1305" s="2969"/>
      <c r="I1305" s="2969"/>
      <c r="J1305" s="2969"/>
      <c r="K1305" s="2969"/>
      <c r="L1305" s="2969"/>
      <c r="M1305" s="2969"/>
      <c r="N1305" s="2969"/>
      <c r="O1305" s="3078" t="s">
        <v>1822</v>
      </c>
      <c r="P1305" s="3032">
        <f>'Part VIII-Threshold Criteria'!P355</f>
        <v>0</v>
      </c>
      <c r="Q1305" s="3032">
        <f>'Part VIII-Threshold Criteria'!Q355</f>
        <v>0</v>
      </c>
    </row>
    <row r="1306" spans="1:17">
      <c r="A1306" s="3077"/>
      <c r="B1306" s="3030" t="s">
        <v>1823</v>
      </c>
      <c r="C1306" s="2969" t="s">
        <v>2835</v>
      </c>
      <c r="D1306" s="2969"/>
      <c r="E1306" s="2969"/>
      <c r="F1306" s="2969"/>
      <c r="G1306" s="2969"/>
      <c r="H1306" s="2969"/>
      <c r="I1306" s="2969"/>
      <c r="J1306" s="2969"/>
      <c r="K1306" s="2969"/>
      <c r="L1306" s="2969"/>
      <c r="M1306" s="2969"/>
      <c r="N1306" s="2969"/>
      <c r="O1306" s="3078" t="s">
        <v>1823</v>
      </c>
      <c r="P1306" s="3032">
        <f>'Part VIII-Threshold Criteria'!P356</f>
        <v>0</v>
      </c>
      <c r="Q1306" s="3032">
        <f>'Part VIII-Threshold Criteria'!Q356</f>
        <v>0</v>
      </c>
    </row>
    <row r="1307" spans="1:17">
      <c r="B1307" s="3033" t="s">
        <v>2043</v>
      </c>
      <c r="C1307" s="522" t="s">
        <v>2832</v>
      </c>
      <c r="D1307" s="522"/>
      <c r="E1307" s="522"/>
      <c r="F1307" s="522"/>
      <c r="G1307" s="522"/>
      <c r="H1307" s="522"/>
      <c r="I1307" s="522"/>
      <c r="J1307" s="522"/>
      <c r="K1307" s="522"/>
      <c r="L1307" s="522"/>
      <c r="M1307" s="522"/>
      <c r="O1307" s="3003" t="s">
        <v>2043</v>
      </c>
      <c r="P1307" s="3032">
        <f>'Part VIII-Threshold Criteria'!P357</f>
        <v>0</v>
      </c>
      <c r="Q1307" s="3032">
        <f>'Part VIII-Threshold Criteria'!Q357</f>
        <v>0</v>
      </c>
    </row>
    <row r="1308" spans="1:17">
      <c r="B1308" s="3067" t="s">
        <v>1958</v>
      </c>
      <c r="D1308" s="3067"/>
      <c r="E1308" s="3067"/>
      <c r="F1308" s="3067"/>
      <c r="G1308" s="3067"/>
      <c r="H1308" s="3031"/>
      <c r="I1308" s="3028"/>
      <c r="J1308" s="3028"/>
      <c r="K1308" s="3028"/>
      <c r="L1308" s="2927"/>
      <c r="M1308" s="2927"/>
      <c r="N1308" s="2927"/>
      <c r="O1308" s="2927"/>
      <c r="P1308" s="2927"/>
      <c r="Q1308" s="2927"/>
    </row>
    <row r="1309" spans="1:17">
      <c r="A1309" s="2969" t="str">
        <f>'Part VIII-Threshold Criteria'!A359</f>
        <v>n/a</v>
      </c>
      <c r="B1309" s="2969"/>
      <c r="C1309" s="2969"/>
      <c r="D1309" s="2969"/>
      <c r="E1309" s="2969"/>
      <c r="F1309" s="2969"/>
      <c r="G1309" s="2969"/>
      <c r="H1309" s="2969"/>
      <c r="I1309" s="2969"/>
      <c r="J1309" s="2969"/>
      <c r="K1309" s="2969"/>
      <c r="L1309" s="2969"/>
      <c r="M1309" s="2969"/>
      <c r="N1309" s="2969"/>
      <c r="O1309" s="2969"/>
      <c r="P1309" s="2969"/>
      <c r="Q1309" s="2969"/>
    </row>
    <row r="1310" spans="1:17">
      <c r="B1310" s="3034" t="s">
        <v>1959</v>
      </c>
      <c r="C1310" s="3035"/>
      <c r="D1310" s="3036"/>
      <c r="E1310" s="3036"/>
      <c r="F1310" s="3036"/>
      <c r="G1310" s="3036"/>
      <c r="H1310" s="3036"/>
      <c r="I1310" s="3036"/>
      <c r="J1310" s="3036"/>
      <c r="K1310" s="3036"/>
      <c r="L1310" s="3036"/>
      <c r="M1310" s="3036"/>
      <c r="N1310" s="3036"/>
      <c r="O1310" s="3036"/>
      <c r="P1310" s="3036"/>
    </row>
    <row r="1311" spans="1:17">
      <c r="A1311" s="2969">
        <f>'Part VIII-Threshold Criteria'!A361</f>
        <v>0</v>
      </c>
      <c r="B1311" s="2969"/>
      <c r="C1311" s="2969"/>
      <c r="D1311" s="2969"/>
      <c r="E1311" s="2969"/>
      <c r="F1311" s="2969"/>
      <c r="G1311" s="2969"/>
      <c r="H1311" s="2969"/>
      <c r="I1311" s="2969"/>
      <c r="J1311" s="2969"/>
      <c r="K1311" s="2969"/>
      <c r="L1311" s="2969"/>
      <c r="M1311" s="2969"/>
      <c r="N1311" s="2969"/>
      <c r="O1311" s="2969"/>
      <c r="P1311" s="2969"/>
      <c r="Q1311" s="2969"/>
    </row>
    <row r="1312" spans="1:17">
      <c r="A1312" s="2927"/>
      <c r="B1312" s="3028"/>
      <c r="C1312" s="3036"/>
      <c r="D1312" s="3036"/>
      <c r="E1312" s="3036"/>
      <c r="F1312" s="3036"/>
      <c r="G1312" s="3036"/>
      <c r="H1312" s="3036"/>
      <c r="I1312" s="3036"/>
      <c r="J1312" s="3036"/>
      <c r="K1312" s="3036"/>
      <c r="L1312" s="3036"/>
      <c r="M1312" s="3036"/>
      <c r="Q1312" s="2927"/>
    </row>
    <row r="1313" spans="1:17">
      <c r="A1313" s="2906">
        <v>23</v>
      </c>
      <c r="B1313" s="524" t="s">
        <v>2836</v>
      </c>
      <c r="C1313" s="524"/>
      <c r="D1313" s="524"/>
      <c r="E1313" s="524"/>
      <c r="F1313" s="524"/>
      <c r="G1313" s="524"/>
      <c r="H1313" s="3036"/>
      <c r="I1313" s="3036"/>
      <c r="J1313" s="3036"/>
      <c r="O1313" s="3029" t="s">
        <v>1960</v>
      </c>
      <c r="P1313" s="2933">
        <f>'Part VIII-Threshold Criteria'!P363</f>
        <v>0</v>
      </c>
      <c r="Q1313" s="2933"/>
    </row>
    <row r="1314" spans="1:17">
      <c r="B1314" s="3033" t="s">
        <v>2080</v>
      </c>
      <c r="C1314" s="522" t="s">
        <v>1083</v>
      </c>
      <c r="E1314" s="3073">
        <f>'Part VIII-Threshold Criteria'!E364</f>
        <v>0</v>
      </c>
      <c r="F1314" s="3073"/>
      <c r="G1314" s="3073"/>
      <c r="H1314" s="3073"/>
      <c r="I1314" s="3073"/>
      <c r="J1314" s="3040" t="s">
        <v>2810</v>
      </c>
      <c r="K1314" s="3040"/>
      <c r="L1314" s="3040"/>
      <c r="M1314" s="3073">
        <f>'Part VIII-Threshold Criteria'!M364</f>
        <v>0</v>
      </c>
      <c r="N1314" s="3073"/>
      <c r="O1314" s="3073"/>
      <c r="P1314" s="3073"/>
      <c r="Q1314" s="3073"/>
    </row>
    <row r="1315" spans="1:17">
      <c r="B1315" s="3033" t="s">
        <v>2083</v>
      </c>
      <c r="C1315" s="522" t="s">
        <v>4080</v>
      </c>
      <c r="D1315" s="522"/>
      <c r="E1315" s="522"/>
      <c r="F1315" s="522"/>
      <c r="G1315" s="522"/>
      <c r="H1315" s="522"/>
      <c r="I1315" s="522"/>
      <c r="J1315" s="522"/>
      <c r="K1315" s="522"/>
      <c r="L1315" s="3031"/>
      <c r="M1315" s="3031"/>
      <c r="O1315" s="3003" t="s">
        <v>2083</v>
      </c>
      <c r="P1315" s="3032">
        <f>'Part VIII-Threshold Criteria'!P365</f>
        <v>0</v>
      </c>
      <c r="Q1315" s="3032">
        <f>'Part VIII-Threshold Criteria'!Q365</f>
        <v>0</v>
      </c>
    </row>
    <row r="1316" spans="1:17">
      <c r="B1316" s="3030" t="s">
        <v>788</v>
      </c>
      <c r="C1316" s="2957" t="s">
        <v>4180</v>
      </c>
      <c r="D1316" s="2957"/>
      <c r="E1316" s="2957"/>
      <c r="F1316" s="2957"/>
      <c r="G1316" s="2957"/>
      <c r="H1316" s="2957"/>
      <c r="I1316" s="2957"/>
      <c r="J1316" s="2957"/>
      <c r="K1316" s="2957"/>
      <c r="L1316" s="2957"/>
      <c r="M1316" s="2957"/>
      <c r="N1316" s="2957"/>
      <c r="O1316" s="3003" t="s">
        <v>788</v>
      </c>
      <c r="P1316" s="3032">
        <f>'Part VIII-Threshold Criteria'!P366</f>
        <v>0</v>
      </c>
      <c r="Q1316" s="3032">
        <f>'Part VIII-Threshold Criteria'!Q366</f>
        <v>0</v>
      </c>
    </row>
    <row r="1317" spans="1:17">
      <c r="B1317" s="3033" t="s">
        <v>2215</v>
      </c>
      <c r="C1317" s="3031" t="s">
        <v>4181</v>
      </c>
      <c r="D1317" s="2958"/>
      <c r="E1317" s="3107">
        <f>'Part III-Sources of Funds'!H960</f>
        <v>0</v>
      </c>
      <c r="F1317" s="3107"/>
      <c r="G1317" s="2958"/>
      <c r="H1317" s="2958"/>
      <c r="I1317" s="2958"/>
      <c r="J1317" s="2958"/>
      <c r="K1317" s="2958"/>
      <c r="L1317" s="2958"/>
      <c r="M1317" s="2958"/>
      <c r="N1317" s="2958"/>
      <c r="O1317" s="3003" t="s">
        <v>2215</v>
      </c>
      <c r="P1317" s="3032">
        <f>'Part VIII-Threshold Criteria'!P367</f>
        <v>0</v>
      </c>
      <c r="Q1317" s="3032">
        <f>'Part VIII-Threshold Criteria'!Q367</f>
        <v>0</v>
      </c>
    </row>
    <row r="1318" spans="1:17">
      <c r="B1318" s="3067" t="s">
        <v>1958</v>
      </c>
      <c r="D1318" s="3067"/>
      <c r="E1318" s="3067"/>
      <c r="F1318" s="3067"/>
      <c r="G1318" s="3067"/>
      <c r="H1318" s="3031"/>
      <c r="I1318" s="3028"/>
      <c r="J1318" s="3028"/>
      <c r="K1318" s="3028"/>
      <c r="L1318" s="2927"/>
      <c r="M1318" s="2927"/>
      <c r="N1318" s="2927"/>
      <c r="O1318" s="2927"/>
      <c r="P1318" s="2927"/>
      <c r="Q1318" s="2927"/>
    </row>
    <row r="1319" spans="1:17">
      <c r="A1319" s="2969" t="str">
        <f>'Part VIII-Threshold Criteria'!A369</f>
        <v>n/a</v>
      </c>
      <c r="B1319" s="2969"/>
      <c r="C1319" s="2969"/>
      <c r="D1319" s="2969"/>
      <c r="E1319" s="2969"/>
      <c r="F1319" s="2969"/>
      <c r="G1319" s="2969"/>
      <c r="H1319" s="2969"/>
      <c r="I1319" s="2969"/>
      <c r="J1319" s="2969"/>
      <c r="K1319" s="2969"/>
      <c r="L1319" s="2969"/>
      <c r="M1319" s="2969"/>
      <c r="N1319" s="2969"/>
      <c r="O1319" s="2969"/>
      <c r="P1319" s="2969"/>
      <c r="Q1319" s="2969"/>
    </row>
    <row r="1320" spans="1:17">
      <c r="B1320" s="3034" t="s">
        <v>1959</v>
      </c>
      <c r="C1320" s="3035"/>
      <c r="D1320" s="3036"/>
      <c r="E1320" s="3036"/>
      <c r="F1320" s="3036"/>
      <c r="G1320" s="3036"/>
      <c r="H1320" s="3036"/>
      <c r="I1320" s="3036"/>
      <c r="J1320" s="3036"/>
      <c r="K1320" s="3036"/>
      <c r="L1320" s="3036"/>
      <c r="M1320" s="3036"/>
      <c r="N1320" s="3036"/>
      <c r="O1320" s="3036"/>
      <c r="P1320" s="3036"/>
    </row>
    <row r="1321" spans="1:17">
      <c r="A1321" s="2969">
        <f>'Part VIII-Threshold Criteria'!A371</f>
        <v>0</v>
      </c>
      <c r="B1321" s="2969"/>
      <c r="C1321" s="2969"/>
      <c r="D1321" s="2969"/>
      <c r="E1321" s="2969"/>
      <c r="F1321" s="2969"/>
      <c r="G1321" s="2969"/>
      <c r="H1321" s="2969"/>
      <c r="I1321" s="2969"/>
      <c r="J1321" s="2969"/>
      <c r="K1321" s="2969"/>
      <c r="L1321" s="2969"/>
      <c r="M1321" s="2969"/>
      <c r="N1321" s="2969"/>
      <c r="O1321" s="2969"/>
      <c r="P1321" s="2969"/>
      <c r="Q1321" s="2969"/>
    </row>
    <row r="1322" spans="1:17">
      <c r="A1322" s="2927"/>
      <c r="B1322" s="3028"/>
      <c r="C1322" s="3036"/>
      <c r="D1322" s="3036"/>
      <c r="E1322" s="3036"/>
      <c r="F1322" s="3036"/>
      <c r="G1322" s="3036"/>
      <c r="H1322" s="3036"/>
      <c r="I1322" s="3036"/>
      <c r="J1322" s="3036"/>
      <c r="K1322" s="3036"/>
      <c r="L1322" s="3036"/>
      <c r="M1322" s="3036"/>
      <c r="Q1322" s="2927"/>
    </row>
    <row r="1323" spans="1:17">
      <c r="A1323" s="2906">
        <v>24</v>
      </c>
      <c r="B1323" s="524" t="s">
        <v>2806</v>
      </c>
      <c r="C1323" s="524"/>
      <c r="D1323" s="524"/>
      <c r="E1323" s="3036"/>
      <c r="G1323" s="3068" t="s">
        <v>738</v>
      </c>
      <c r="H1323" s="3036"/>
      <c r="I1323" s="3036"/>
      <c r="J1323" s="3036"/>
      <c r="K1323" s="3036"/>
      <c r="L1323" s="3036"/>
      <c r="M1323" s="3036"/>
      <c r="O1323" s="3029" t="s">
        <v>1960</v>
      </c>
      <c r="P1323" s="2933">
        <f>'Part VIII-Threshold Criteria'!P373</f>
        <v>0</v>
      </c>
      <c r="Q1323" s="2933"/>
    </row>
    <row r="1324" spans="1:17">
      <c r="A1324" s="3071"/>
      <c r="B1324" s="3033" t="s">
        <v>2080</v>
      </c>
      <c r="C1324" s="522" t="s">
        <v>2812</v>
      </c>
      <c r="D1324" s="3070"/>
      <c r="E1324" s="3070"/>
      <c r="H1324" s="3068"/>
      <c r="O1324" s="3003" t="s">
        <v>2080</v>
      </c>
      <c r="P1324" s="3032" t="str">
        <f>'Part VIII-Threshold Criteria'!P374</f>
        <v>Yes</v>
      </c>
      <c r="Q1324" s="3032">
        <f>'Part VIII-Threshold Criteria'!Q374</f>
        <v>0</v>
      </c>
    </row>
    <row r="1325" spans="1:17">
      <c r="A1325" s="3071"/>
      <c r="B1325" s="3033" t="s">
        <v>2083</v>
      </c>
      <c r="C1325" s="522" t="s">
        <v>2813</v>
      </c>
      <c r="D1325" s="3070"/>
      <c r="E1325" s="3070"/>
      <c r="O1325" s="3003" t="s">
        <v>2083</v>
      </c>
      <c r="P1325" s="3032" t="str">
        <f>'Part VIII-Threshold Criteria'!P375</f>
        <v>No</v>
      </c>
      <c r="Q1325" s="3032">
        <f>'Part VIII-Threshold Criteria'!Q375</f>
        <v>0</v>
      </c>
    </row>
    <row r="1326" spans="1:17">
      <c r="A1326" s="3071"/>
      <c r="B1326" s="3033" t="s">
        <v>788</v>
      </c>
      <c r="C1326" s="522" t="s">
        <v>2837</v>
      </c>
      <c r="D1326" s="3070"/>
      <c r="E1326" s="3070"/>
      <c r="O1326" s="3003" t="s">
        <v>788</v>
      </c>
      <c r="P1326" s="3032" t="str">
        <f>'Part VIII-Threshold Criteria'!P376</f>
        <v>No</v>
      </c>
      <c r="Q1326" s="3032">
        <f>'Part VIII-Threshold Criteria'!Q376</f>
        <v>0</v>
      </c>
    </row>
    <row r="1327" spans="1:17">
      <c r="A1327" s="3071"/>
      <c r="B1327" s="3033" t="s">
        <v>2215</v>
      </c>
      <c r="C1327" s="522" t="s">
        <v>2809</v>
      </c>
      <c r="E1327" s="3068"/>
      <c r="O1327" s="3003" t="s">
        <v>2215</v>
      </c>
      <c r="P1327" s="3032" t="str">
        <f>'Part VIII-Threshold Criteria'!P377</f>
        <v>No</v>
      </c>
      <c r="Q1327" s="3032">
        <f>'Part VIII-Threshold Criteria'!Q377</f>
        <v>0</v>
      </c>
    </row>
    <row r="1328" spans="1:17">
      <c r="B1328" s="3033" t="s">
        <v>1822</v>
      </c>
      <c r="C1328" s="522" t="s">
        <v>2179</v>
      </c>
      <c r="E1328" s="3068"/>
      <c r="G1328" s="3003" t="s">
        <v>1822</v>
      </c>
      <c r="H1328" s="2957" t="str">
        <f>'Part VIII-Threshold Criteria'!H378</f>
        <v>n/a</v>
      </c>
      <c r="I1328" s="2957"/>
      <c r="J1328" s="2957"/>
      <c r="K1328" s="2957"/>
      <c r="L1328" s="2957"/>
      <c r="M1328" s="2957"/>
      <c r="N1328" s="2957"/>
      <c r="O1328" s="2957"/>
      <c r="P1328" s="3032" t="str">
        <f>'Part VIII-Threshold Criteria'!P378</f>
        <v>No</v>
      </c>
      <c r="Q1328" s="3032">
        <f>'Part VIII-Threshold Criteria'!Q378</f>
        <v>0</v>
      </c>
    </row>
    <row r="1329" spans="1:17">
      <c r="B1329" s="3067" t="s">
        <v>1958</v>
      </c>
      <c r="D1329" s="3067"/>
      <c r="E1329" s="3067"/>
      <c r="F1329" s="3067"/>
      <c r="G1329" s="3067"/>
      <c r="H1329" s="3031"/>
      <c r="I1329" s="3028"/>
      <c r="J1329" s="3028"/>
      <c r="K1329" s="3028"/>
      <c r="L1329" s="2927"/>
      <c r="M1329" s="2927"/>
      <c r="N1329" s="2927"/>
      <c r="O1329" s="2927"/>
      <c r="P1329" s="2927"/>
      <c r="Q1329" s="2927"/>
    </row>
    <row r="1330" spans="1:17">
      <c r="A1330" s="2969" t="str">
        <f>'Part VIII-Threshold Criteria'!A380</f>
        <v>The required legal opinion for acquistion tax credits is included in the application</v>
      </c>
      <c r="B1330" s="2969"/>
      <c r="C1330" s="2969"/>
      <c r="D1330" s="2969"/>
      <c r="E1330" s="2969"/>
      <c r="F1330" s="2969"/>
      <c r="G1330" s="2969"/>
      <c r="H1330" s="2969"/>
      <c r="I1330" s="2969"/>
      <c r="J1330" s="2969"/>
      <c r="K1330" s="2969"/>
      <c r="L1330" s="2969"/>
      <c r="M1330" s="2969"/>
      <c r="N1330" s="2969"/>
      <c r="O1330" s="2969"/>
      <c r="P1330" s="2969"/>
      <c r="Q1330" s="2969"/>
    </row>
    <row r="1331" spans="1:17">
      <c r="B1331" s="3034" t="s">
        <v>1959</v>
      </c>
      <c r="C1331" s="3035"/>
      <c r="D1331" s="3036"/>
      <c r="E1331" s="3036"/>
      <c r="F1331" s="3036"/>
      <c r="G1331" s="3036"/>
      <c r="H1331" s="3036"/>
      <c r="I1331" s="3036"/>
      <c r="J1331" s="3036"/>
      <c r="K1331" s="3036"/>
      <c r="L1331" s="3036"/>
      <c r="M1331" s="3036"/>
      <c r="N1331" s="3036"/>
      <c r="O1331" s="3036"/>
      <c r="P1331" s="3036"/>
    </row>
    <row r="1332" spans="1:17">
      <c r="A1332" s="2969">
        <f>'Part VIII-Threshold Criteria'!A382</f>
        <v>0</v>
      </c>
      <c r="B1332" s="2969"/>
      <c r="C1332" s="2969"/>
      <c r="D1332" s="2969"/>
      <c r="E1332" s="2969"/>
      <c r="F1332" s="2969"/>
      <c r="G1332" s="2969"/>
      <c r="H1332" s="2969"/>
      <c r="I1332" s="2969"/>
      <c r="J1332" s="2969"/>
      <c r="K1332" s="2969"/>
      <c r="L1332" s="2969"/>
      <c r="M1332" s="2969"/>
      <c r="N1332" s="2969"/>
      <c r="O1332" s="2969"/>
      <c r="P1332" s="2969"/>
      <c r="Q1332" s="2969"/>
    </row>
    <row r="1333" spans="1:17">
      <c r="A1333" s="2927"/>
      <c r="B1333" s="3028"/>
      <c r="C1333" s="3036"/>
      <c r="D1333" s="3036"/>
      <c r="E1333" s="3036"/>
      <c r="F1333" s="3036"/>
      <c r="G1333" s="3036"/>
      <c r="H1333" s="3036"/>
      <c r="I1333" s="3036"/>
      <c r="J1333" s="3036"/>
      <c r="K1333" s="3036"/>
      <c r="L1333" s="3036"/>
      <c r="M1333" s="3036"/>
      <c r="N1333" s="3036"/>
      <c r="O1333" s="3036"/>
      <c r="P1333" s="3036"/>
      <c r="Q1333" s="2927"/>
    </row>
    <row r="1334" spans="1:17">
      <c r="A1334" s="2906">
        <v>25</v>
      </c>
      <c r="B1334" s="524" t="s">
        <v>2807</v>
      </c>
      <c r="C1334" s="524"/>
      <c r="D1334" s="524"/>
      <c r="E1334" s="524"/>
      <c r="F1334" s="524"/>
      <c r="G1334" s="524"/>
      <c r="H1334" s="3036"/>
      <c r="I1334" s="3036"/>
      <c r="J1334" s="3036"/>
      <c r="K1334" s="3036"/>
      <c r="L1334" s="3036"/>
      <c r="M1334" s="3036"/>
      <c r="O1334" s="3029" t="s">
        <v>1960</v>
      </c>
      <c r="P1334" s="2933">
        <f>'Part VIII-Threshold Criteria'!P384</f>
        <v>0</v>
      </c>
      <c r="Q1334" s="2933"/>
    </row>
    <row r="1335" spans="1:17">
      <c r="A1335" s="521"/>
      <c r="B1335" s="3033" t="s">
        <v>2080</v>
      </c>
      <c r="C1335" s="522" t="s">
        <v>791</v>
      </c>
      <c r="D1335" s="521"/>
      <c r="E1335" s="521"/>
      <c r="F1335" s="521"/>
      <c r="G1335" s="521"/>
      <c r="H1335" s="521"/>
      <c r="I1335" s="521"/>
      <c r="J1335" s="521"/>
      <c r="K1335" s="521"/>
      <c r="L1335" s="521"/>
      <c r="M1335" s="521"/>
      <c r="N1335" s="521"/>
      <c r="O1335" s="3003" t="s">
        <v>2080</v>
      </c>
      <c r="P1335" s="3032" t="str">
        <f>'Part VIII-Threshold Criteria'!P385</f>
        <v>Yes</v>
      </c>
      <c r="Q1335" s="3032">
        <f>'Part VIII-Threshold Criteria'!Q385</f>
        <v>0</v>
      </c>
    </row>
    <row r="1336" spans="1:17">
      <c r="A1336" s="521"/>
      <c r="B1336" s="3033" t="s">
        <v>2083</v>
      </c>
      <c r="C1336" s="522" t="s">
        <v>4186</v>
      </c>
      <c r="D1336" s="521"/>
      <c r="E1336" s="521"/>
      <c r="F1336" s="521"/>
      <c r="G1336" s="521"/>
      <c r="H1336" s="521"/>
      <c r="I1336" s="521"/>
      <c r="J1336" s="521"/>
      <c r="K1336" s="521"/>
      <c r="L1336" s="521"/>
      <c r="M1336" s="521"/>
      <c r="N1336" s="521"/>
      <c r="O1336" s="3003" t="s">
        <v>1519</v>
      </c>
      <c r="P1336" s="3032" t="str">
        <f>'Part VIII-Threshold Criteria'!P386</f>
        <v>No</v>
      </c>
      <c r="Q1336" s="3032">
        <f>'Part VIII-Threshold Criteria'!Q386</f>
        <v>0</v>
      </c>
    </row>
    <row r="1337" spans="1:17">
      <c r="A1337" s="521"/>
      <c r="B1337" s="3033"/>
      <c r="C1337" s="522" t="s">
        <v>1558</v>
      </c>
      <c r="D1337" s="522"/>
      <c r="E1337" s="522"/>
      <c r="F1337" s="522"/>
      <c r="G1337" s="522"/>
      <c r="H1337" s="522"/>
      <c r="I1337" s="522"/>
      <c r="J1337" s="522"/>
      <c r="K1337" s="522"/>
      <c r="L1337" s="522"/>
      <c r="M1337" s="522"/>
      <c r="N1337" s="521"/>
    </row>
    <row r="1338" spans="1:17">
      <c r="A1338" s="521"/>
      <c r="B1338" s="3033"/>
      <c r="C1338" s="522" t="s">
        <v>2305</v>
      </c>
      <c r="D1338" s="522" t="s">
        <v>4182</v>
      </c>
      <c r="E1338" s="522"/>
      <c r="F1338" s="522"/>
      <c r="G1338" s="522"/>
      <c r="H1338" s="522"/>
      <c r="I1338" s="522"/>
      <c r="J1338" s="522"/>
      <c r="K1338" s="522"/>
      <c r="L1338" s="522"/>
      <c r="M1338" s="522"/>
      <c r="N1338" s="521"/>
      <c r="O1338" s="3003" t="s">
        <v>1825</v>
      </c>
      <c r="P1338" s="3032">
        <f>'Part VIII-Threshold Criteria'!P388</f>
        <v>0</v>
      </c>
      <c r="Q1338" s="3032">
        <f>'Part VIII-Threshold Criteria'!Q388</f>
        <v>0</v>
      </c>
    </row>
    <row r="1339" spans="1:17">
      <c r="A1339" s="521"/>
      <c r="B1339" s="3033"/>
      <c r="C1339" s="522" t="s">
        <v>4185</v>
      </c>
      <c r="D1339" s="522"/>
      <c r="E1339" s="522"/>
      <c r="F1339" s="522"/>
      <c r="G1339" s="522"/>
      <c r="H1339" s="522"/>
      <c r="I1339" s="522"/>
      <c r="J1339" s="522"/>
      <c r="K1339" s="522"/>
      <c r="L1339" s="522"/>
      <c r="M1339" s="522"/>
      <c r="N1339" s="521"/>
      <c r="O1339" s="3003" t="s">
        <v>1826</v>
      </c>
      <c r="P1339" s="3032" t="str">
        <f>'Part VIII-Threshold Criteria'!P389</f>
        <v>No</v>
      </c>
      <c r="Q1339" s="3032">
        <f>'Part VIII-Threshold Criteria'!Q389</f>
        <v>0</v>
      </c>
    </row>
    <row r="1340" spans="1:17">
      <c r="A1340" s="521"/>
      <c r="B1340" s="3033" t="s">
        <v>788</v>
      </c>
      <c r="C1340" s="2957" t="s">
        <v>2304</v>
      </c>
      <c r="D1340" s="2957"/>
      <c r="E1340" s="2957"/>
      <c r="F1340" s="2957"/>
      <c r="G1340" s="2957"/>
      <c r="H1340" s="2957"/>
      <c r="I1340" s="2957"/>
      <c r="J1340" s="2957"/>
      <c r="K1340" s="2957"/>
      <c r="L1340" s="2957"/>
      <c r="M1340" s="2957"/>
      <c r="N1340" s="2957"/>
      <c r="O1340" s="3003" t="s">
        <v>788</v>
      </c>
      <c r="P1340" s="3032" t="str">
        <f>'Part VIII-Threshold Criteria'!P390</f>
        <v>Yes</v>
      </c>
      <c r="Q1340" s="3032">
        <f>'Part VIII-Threshold Criteria'!Q390</f>
        <v>0</v>
      </c>
    </row>
    <row r="1341" spans="1:17">
      <c r="A1341" s="521"/>
      <c r="B1341" s="3033" t="s">
        <v>2215</v>
      </c>
      <c r="C1341" s="3031" t="s">
        <v>3129</v>
      </c>
      <c r="D1341" s="3031"/>
      <c r="E1341" s="3031"/>
      <c r="F1341" s="3031"/>
      <c r="G1341" s="3031"/>
      <c r="H1341" s="3031"/>
      <c r="I1341" s="3031"/>
      <c r="J1341" s="3031"/>
      <c r="K1341" s="3031"/>
      <c r="L1341" s="3031"/>
      <c r="M1341" s="3031"/>
      <c r="N1341" s="521"/>
      <c r="O1341" s="3003"/>
      <c r="P1341" s="521"/>
      <c r="Q1341" s="521"/>
    </row>
    <row r="1342" spans="1:17">
      <c r="A1342" s="521"/>
      <c r="B1342" s="3033"/>
      <c r="C1342" s="522" t="s">
        <v>2306</v>
      </c>
      <c r="D1342" s="522"/>
      <c r="E1342" s="521"/>
      <c r="F1342" s="3031"/>
      <c r="G1342" s="2918">
        <f>'Part VIII-Threshold Criteria'!G392</f>
        <v>7</v>
      </c>
      <c r="H1342" s="2918" t="str">
        <f>'Part VIII-Threshold Criteria'!H392</f>
        <v xml:space="preserve"> </v>
      </c>
      <c r="J1342" s="522" t="s">
        <v>2309</v>
      </c>
      <c r="K1342" s="3031"/>
      <c r="N1342" s="2918" t="str">
        <f>'Part VIII-Threshold Criteria'!N392</f>
        <v>none</v>
      </c>
      <c r="O1342" s="2918" t="str">
        <f>'Part VIII-Threshold Criteria'!O392</f>
        <v xml:space="preserve"> </v>
      </c>
    </row>
    <row r="1343" spans="1:17">
      <c r="A1343" s="521"/>
      <c r="B1343" s="3033"/>
      <c r="C1343" s="522" t="s">
        <v>2307</v>
      </c>
      <c r="D1343" s="522"/>
      <c r="E1343" s="521"/>
      <c r="F1343" s="3031"/>
      <c r="G1343" s="2918">
        <f>'Part VIII-Threshold Criteria'!G393</f>
        <v>13</v>
      </c>
      <c r="H1343" s="2918">
        <f>'Part VIII-Threshold Criteria'!H393</f>
        <v>0</v>
      </c>
      <c r="J1343" s="522" t="s">
        <v>2310</v>
      </c>
      <c r="K1343" s="3031"/>
      <c r="N1343" s="2918">
        <f>'Part VIII-Threshold Criteria'!N393</f>
        <v>1</v>
      </c>
      <c r="O1343" s="2918">
        <f>'Part VIII-Threshold Criteria'!O393</f>
        <v>0</v>
      </c>
    </row>
    <row r="1344" spans="1:17">
      <c r="A1344" s="521"/>
      <c r="B1344" s="3033"/>
      <c r="C1344" s="522" t="s">
        <v>2308</v>
      </c>
      <c r="D1344" s="522"/>
      <c r="E1344" s="521"/>
      <c r="F1344" s="3031"/>
      <c r="G1344" s="2918">
        <f>'Part VIII-Threshold Criteria'!G394</f>
        <v>2</v>
      </c>
      <c r="H1344" s="2918" t="str">
        <f>'Part VIII-Threshold Criteria'!H394</f>
        <v xml:space="preserve"> </v>
      </c>
      <c r="K1344" s="3031"/>
      <c r="L1344" s="3031"/>
      <c r="M1344" s="3031"/>
      <c r="N1344" s="521"/>
      <c r="O1344" s="3003"/>
    </row>
    <row r="1345" spans="1:18">
      <c r="A1345" s="521"/>
      <c r="B1345" s="3033" t="s">
        <v>1822</v>
      </c>
      <c r="C1345" s="3031" t="s">
        <v>2498</v>
      </c>
      <c r="D1345" s="3031"/>
      <c r="E1345" s="3031"/>
      <c r="F1345" s="3031"/>
      <c r="G1345" s="3031"/>
      <c r="J1345" s="521"/>
      <c r="K1345" s="3031"/>
      <c r="L1345" s="3031"/>
      <c r="M1345" s="3031"/>
      <c r="N1345" s="521"/>
      <c r="O1345" s="3003"/>
      <c r="P1345" s="3003"/>
      <c r="Q1345" s="3003"/>
    </row>
    <row r="1346" spans="1:18">
      <c r="A1346" s="521"/>
      <c r="B1346" s="3033"/>
      <c r="C1346" s="505" t="s">
        <v>2311</v>
      </c>
      <c r="D1346" s="3031"/>
      <c r="E1346" s="3031"/>
      <c r="F1346" s="3031"/>
      <c r="G1346" s="3032" t="str">
        <f>'Part VIII-Threshold Criteria'!G396</f>
        <v>Yes</v>
      </c>
      <c r="H1346" s="3032">
        <f>'Part VIII-Threshold Criteria'!H396</f>
        <v>0</v>
      </c>
      <c r="J1346" s="505" t="s">
        <v>1237</v>
      </c>
      <c r="K1346" s="3031"/>
      <c r="N1346" s="3032" t="str">
        <f>'Part VIII-Threshold Criteria'!N396</f>
        <v>Yes</v>
      </c>
      <c r="O1346" s="3032">
        <f>'Part VIII-Threshold Criteria'!O396</f>
        <v>0</v>
      </c>
    </row>
    <row r="1347" spans="1:18">
      <c r="A1347" s="521"/>
      <c r="B1347" s="3033"/>
      <c r="C1347" s="505" t="s">
        <v>1236</v>
      </c>
      <c r="D1347" s="3031"/>
      <c r="E1347" s="3031"/>
      <c r="F1347" s="3031"/>
      <c r="G1347" s="3032" t="str">
        <f>'Part VIII-Threshold Criteria'!G397</f>
        <v>Yes</v>
      </c>
      <c r="H1347" s="3032">
        <f>'Part VIII-Threshold Criteria'!H397</f>
        <v>0</v>
      </c>
      <c r="J1347" s="505" t="s">
        <v>2361</v>
      </c>
      <c r="N1347" s="3108">
        <f>'Part VIII-Threshold Criteria'!N397</f>
        <v>0</v>
      </c>
      <c r="O1347" s="3108"/>
      <c r="P1347" s="3108"/>
      <c r="Q1347" s="3108"/>
    </row>
    <row r="1348" spans="1:18">
      <c r="B1348" s="3067" t="s">
        <v>1958</v>
      </c>
      <c r="D1348" s="3067"/>
      <c r="E1348" s="3067"/>
      <c r="F1348" s="3067"/>
      <c r="G1348" s="3067"/>
      <c r="H1348" s="3031"/>
      <c r="I1348" s="3028"/>
      <c r="J1348" s="3028"/>
      <c r="K1348" s="3028"/>
      <c r="P1348" s="2927"/>
      <c r="Q1348" s="2927"/>
    </row>
    <row r="1349" spans="1:18">
      <c r="A1349" s="2969" t="str">
        <f>'Part VIII-Threshold Criteria'!A399</f>
        <v>Applicant will request DCA written approval prior to displacing any tenant. Because this property is under an extended use agreement, any over-income tenants at acquisition will still be eligible to live at the property as long as they were qualified when they orginally moved in.  The only potential displacement we will have is the site manager who currently lives in a common space unit.  The common space unit will be eliminated for the rehab.  If the site manager income qualifies for the rehabbed unit, she will be offered a unit.  If she does not income qualify at the time, we will ask DCA's permission to displace her with all rights and benefits allowable.  Rents will not be raised on rent burdened tenants.</v>
      </c>
      <c r="B1349" s="2969"/>
      <c r="C1349" s="2969"/>
      <c r="D1349" s="2969"/>
      <c r="E1349" s="2969"/>
      <c r="F1349" s="2969"/>
      <c r="G1349" s="2969"/>
      <c r="H1349" s="2969"/>
      <c r="I1349" s="2969"/>
      <c r="J1349" s="2969"/>
      <c r="K1349" s="2969"/>
      <c r="L1349" s="2969"/>
      <c r="M1349" s="2969"/>
      <c r="N1349" s="2969"/>
      <c r="O1349" s="2969"/>
      <c r="P1349" s="2969"/>
      <c r="Q1349" s="2969"/>
    </row>
    <row r="1350" spans="1:18">
      <c r="B1350" s="3034" t="s">
        <v>1959</v>
      </c>
      <c r="C1350" s="3035"/>
      <c r="D1350" s="3036"/>
      <c r="E1350" s="3036"/>
      <c r="F1350" s="3036"/>
      <c r="G1350" s="3036"/>
      <c r="H1350" s="3036"/>
      <c r="I1350" s="3036"/>
      <c r="J1350" s="3036"/>
      <c r="K1350" s="3036"/>
      <c r="L1350" s="3036"/>
      <c r="M1350" s="3036"/>
      <c r="N1350" s="3036"/>
      <c r="O1350" s="3036"/>
      <c r="P1350" s="3036"/>
    </row>
    <row r="1351" spans="1:18">
      <c r="A1351" s="2969">
        <f>'Part VIII-Threshold Criteria'!A401</f>
        <v>0</v>
      </c>
      <c r="B1351" s="2969"/>
      <c r="C1351" s="2969"/>
      <c r="D1351" s="2969"/>
      <c r="E1351" s="2969"/>
      <c r="F1351" s="2969"/>
      <c r="G1351" s="2969"/>
      <c r="H1351" s="2969"/>
      <c r="I1351" s="2969"/>
      <c r="J1351" s="2969"/>
      <c r="K1351" s="2969"/>
      <c r="L1351" s="2969"/>
      <c r="M1351" s="2969"/>
      <c r="N1351" s="2969"/>
      <c r="O1351" s="2969"/>
      <c r="P1351" s="2969"/>
      <c r="Q1351" s="2969"/>
    </row>
    <row r="1352" spans="1:18">
      <c r="A1352" s="2927"/>
      <c r="B1352" s="3028"/>
      <c r="C1352" s="3036"/>
      <c r="D1352" s="3036"/>
      <c r="E1352" s="3036"/>
      <c r="F1352" s="3036"/>
      <c r="G1352" s="3036"/>
      <c r="H1352" s="3036"/>
      <c r="I1352" s="3036"/>
      <c r="J1352" s="3036"/>
      <c r="K1352" s="3036"/>
      <c r="L1352" s="3036"/>
      <c r="M1352" s="3036"/>
      <c r="Q1352" s="2927"/>
    </row>
    <row r="1353" spans="1:18">
      <c r="A1353" s="2906">
        <v>26</v>
      </c>
      <c r="B1353" s="524" t="s">
        <v>3130</v>
      </c>
      <c r="C1353" s="524"/>
      <c r="D1353" s="3027"/>
      <c r="E1353" s="3036"/>
      <c r="F1353" s="3036"/>
      <c r="G1353" s="3036"/>
      <c r="H1353" s="3036"/>
      <c r="O1353" s="3029" t="s">
        <v>1960</v>
      </c>
      <c r="P1353" s="2933">
        <f>'Part VIII-Threshold Criteria'!P403</f>
        <v>0</v>
      </c>
      <c r="Q1353" s="2933"/>
    </row>
    <row r="1354" spans="1:18">
      <c r="A1354" s="2906"/>
      <c r="B1354" s="3027" t="s">
        <v>3839</v>
      </c>
      <c r="C1354" s="524"/>
      <c r="D1354" s="3027"/>
      <c r="E1354" s="3036"/>
      <c r="F1354" s="3036"/>
      <c r="G1354" s="3036"/>
      <c r="H1354" s="3036"/>
      <c r="O1354" s="3029"/>
      <c r="P1354" s="3029"/>
      <c r="Q1354" s="3029"/>
      <c r="R1354" s="3029"/>
    </row>
    <row r="1355" spans="1:18">
      <c r="A1355" s="3077"/>
      <c r="B1355" s="3030" t="s">
        <v>2080</v>
      </c>
      <c r="C1355" s="3098" t="s">
        <v>3840</v>
      </c>
      <c r="D1355" s="3098"/>
      <c r="E1355" s="3098"/>
      <c r="F1355" s="3098"/>
      <c r="G1355" s="3098"/>
      <c r="H1355" s="3098"/>
      <c r="I1355" s="3098"/>
      <c r="J1355" s="3098"/>
      <c r="K1355" s="3098"/>
      <c r="L1355" s="3098"/>
      <c r="M1355" s="3098"/>
      <c r="N1355" s="3098"/>
      <c r="O1355" s="3078" t="s">
        <v>2080</v>
      </c>
      <c r="P1355" s="3032" t="str">
        <f>'Part VIII-Threshold Criteria'!P405</f>
        <v>Agree</v>
      </c>
      <c r="Q1355" s="3032">
        <f>'Part VIII-Threshold Criteria'!Q405</f>
        <v>0</v>
      </c>
    </row>
    <row r="1356" spans="1:18">
      <c r="A1356" s="3077"/>
      <c r="B1356" s="3030" t="s">
        <v>2083</v>
      </c>
      <c r="C1356" s="3098" t="s">
        <v>4183</v>
      </c>
      <c r="D1356" s="3098"/>
      <c r="E1356" s="3098"/>
      <c r="F1356" s="3098"/>
      <c r="G1356" s="3098"/>
      <c r="H1356" s="3098"/>
      <c r="I1356" s="3098"/>
      <c r="J1356" s="3098"/>
      <c r="K1356" s="3098"/>
      <c r="L1356" s="3098"/>
      <c r="M1356" s="3098"/>
      <c r="N1356" s="3098"/>
      <c r="O1356" s="3078" t="s">
        <v>2083</v>
      </c>
      <c r="P1356" s="3032" t="str">
        <f>'Part VIII-Threshold Criteria'!P406</f>
        <v>Agree</v>
      </c>
      <c r="Q1356" s="3032">
        <f>'Part VIII-Threshold Criteria'!Q406</f>
        <v>0</v>
      </c>
    </row>
    <row r="1357" spans="1:18">
      <c r="A1357" s="3077"/>
      <c r="B1357" s="3030" t="s">
        <v>788</v>
      </c>
      <c r="C1357" s="3098" t="s">
        <v>4184</v>
      </c>
      <c r="D1357" s="3098"/>
      <c r="E1357" s="3098"/>
      <c r="F1357" s="3098"/>
      <c r="G1357" s="3098"/>
      <c r="H1357" s="3098"/>
      <c r="I1357" s="3098"/>
      <c r="J1357" s="3098"/>
      <c r="K1357" s="3098"/>
      <c r="L1357" s="3098"/>
      <c r="M1357" s="3098"/>
      <c r="N1357" s="3098"/>
      <c r="O1357" s="3078" t="s">
        <v>788</v>
      </c>
      <c r="P1357" s="3032" t="str">
        <f>'Part VIII-Threshold Criteria'!P407</f>
        <v>Agree</v>
      </c>
      <c r="Q1357" s="3032">
        <f>'Part VIII-Threshold Criteria'!Q407</f>
        <v>0</v>
      </c>
    </row>
    <row r="1358" spans="1:18">
      <c r="A1358" s="3077"/>
      <c r="B1358" s="3030" t="s">
        <v>2215</v>
      </c>
      <c r="C1358" s="3098" t="s">
        <v>3841</v>
      </c>
      <c r="D1358" s="3098"/>
      <c r="E1358" s="3098"/>
      <c r="F1358" s="3098"/>
      <c r="G1358" s="3098"/>
      <c r="H1358" s="3098"/>
      <c r="I1358" s="3098"/>
      <c r="J1358" s="3098"/>
      <c r="K1358" s="3098"/>
      <c r="L1358" s="3098"/>
      <c r="M1358" s="3098"/>
      <c r="N1358" s="3098"/>
      <c r="O1358" s="3078" t="s">
        <v>2215</v>
      </c>
      <c r="P1358" s="3032" t="str">
        <f>'Part VIII-Threshold Criteria'!P408</f>
        <v>Agree</v>
      </c>
      <c r="Q1358" s="3032">
        <f>'Part VIII-Threshold Criteria'!Q408</f>
        <v>0</v>
      </c>
    </row>
    <row r="1359" spans="1:18">
      <c r="A1359" s="3077"/>
      <c r="B1359" s="3030" t="s">
        <v>1822</v>
      </c>
      <c r="C1359" s="3098" t="s">
        <v>3842</v>
      </c>
      <c r="D1359" s="3098"/>
      <c r="E1359" s="3098"/>
      <c r="F1359" s="3098"/>
      <c r="G1359" s="3098"/>
      <c r="H1359" s="3098"/>
      <c r="I1359" s="3098"/>
      <c r="J1359" s="3098"/>
      <c r="K1359" s="3098"/>
      <c r="L1359" s="3098"/>
      <c r="M1359" s="3098"/>
      <c r="N1359" s="3098"/>
      <c r="O1359" s="3078" t="s">
        <v>1822</v>
      </c>
      <c r="P1359" s="3032" t="str">
        <f>'Part VIII-Threshold Criteria'!P409</f>
        <v>Agree</v>
      </c>
      <c r="Q1359" s="3032">
        <f>'Part VIII-Threshold Criteria'!Q409</f>
        <v>0</v>
      </c>
    </row>
    <row r="1360" spans="1:18">
      <c r="A1360" s="3077"/>
      <c r="B1360" s="3030" t="s">
        <v>1823</v>
      </c>
      <c r="C1360" s="3098" t="s">
        <v>3843</v>
      </c>
      <c r="D1360" s="3098"/>
      <c r="E1360" s="3098"/>
      <c r="F1360" s="3098"/>
      <c r="G1360" s="3098"/>
      <c r="H1360" s="3098"/>
      <c r="I1360" s="3098"/>
      <c r="J1360" s="3098"/>
      <c r="K1360" s="3098"/>
      <c r="L1360" s="3098"/>
      <c r="M1360" s="3098"/>
      <c r="N1360" s="3098"/>
      <c r="O1360" s="3078" t="s">
        <v>1823</v>
      </c>
      <c r="P1360" s="3032" t="str">
        <f>'Part VIII-Threshold Criteria'!P410</f>
        <v>Agree</v>
      </c>
      <c r="Q1360" s="3032">
        <f>'Part VIII-Threshold Criteria'!Q410</f>
        <v>0</v>
      </c>
    </row>
    <row r="1361" spans="1:17">
      <c r="A1361" s="3077"/>
      <c r="B1361" s="3030" t="s">
        <v>2043</v>
      </c>
      <c r="C1361" s="3098" t="s">
        <v>4187</v>
      </c>
      <c r="D1361" s="3098"/>
      <c r="E1361" s="3098"/>
      <c r="F1361" s="3098"/>
      <c r="G1361" s="3098"/>
      <c r="H1361" s="3098"/>
      <c r="I1361" s="3098"/>
      <c r="J1361" s="3098"/>
      <c r="K1361" s="3098"/>
      <c r="L1361" s="3098"/>
      <c r="M1361" s="3098"/>
      <c r="N1361" s="3098"/>
      <c r="O1361" s="3078" t="s">
        <v>2043</v>
      </c>
      <c r="P1361" s="3032" t="str">
        <f>'Part VIII-Threshold Criteria'!P411</f>
        <v>Agree</v>
      </c>
      <c r="Q1361" s="3032">
        <f>'Part VIII-Threshold Criteria'!Q411</f>
        <v>0</v>
      </c>
    </row>
    <row r="1362" spans="1:17">
      <c r="B1362" s="3067" t="s">
        <v>1958</v>
      </c>
      <c r="D1362" s="3067"/>
      <c r="E1362" s="3067"/>
      <c r="F1362" s="3067"/>
      <c r="G1362" s="3067"/>
      <c r="H1362" s="3031"/>
      <c r="I1362" s="3028"/>
      <c r="J1362" s="3028"/>
      <c r="K1362" s="3028"/>
      <c r="L1362" s="2927"/>
      <c r="M1362" s="2927"/>
      <c r="N1362" s="2927"/>
      <c r="O1362" s="2927"/>
      <c r="P1362" s="2927"/>
      <c r="Q1362" s="2927"/>
    </row>
    <row r="1363" spans="1:17">
      <c r="A1363" s="2969" t="str">
        <f>'Part VIII-Threshold Criteria'!A413</f>
        <v>Applicant agrees to submit required AFFH plan and implement all required AFFH procedures.</v>
      </c>
      <c r="B1363" s="2969"/>
      <c r="C1363" s="2969"/>
      <c r="D1363" s="2969"/>
      <c r="E1363" s="2969"/>
      <c r="F1363" s="2969"/>
      <c r="G1363" s="2969"/>
      <c r="H1363" s="2969"/>
      <c r="I1363" s="2969"/>
      <c r="J1363" s="2969"/>
      <c r="K1363" s="2969"/>
      <c r="L1363" s="2969"/>
      <c r="M1363" s="2969"/>
      <c r="N1363" s="2969"/>
      <c r="O1363" s="2969"/>
      <c r="P1363" s="2969"/>
      <c r="Q1363" s="2969"/>
    </row>
    <row r="1364" spans="1:17">
      <c r="B1364" s="3034" t="s">
        <v>1959</v>
      </c>
      <c r="C1364" s="3035"/>
      <c r="D1364" s="3036"/>
      <c r="E1364" s="3036"/>
      <c r="F1364" s="3036"/>
      <c r="G1364" s="3036"/>
      <c r="H1364" s="3036"/>
      <c r="I1364" s="3036"/>
      <c r="J1364" s="3036"/>
      <c r="K1364" s="3036"/>
      <c r="L1364" s="3036"/>
      <c r="M1364" s="3036"/>
      <c r="N1364" s="3036"/>
      <c r="O1364" s="3036"/>
      <c r="P1364" s="3036"/>
    </row>
    <row r="1365" spans="1:17">
      <c r="A1365" s="2969">
        <f>'Part VIII-Threshold Criteria'!A415</f>
        <v>0</v>
      </c>
      <c r="B1365" s="2969"/>
      <c r="C1365" s="2969"/>
      <c r="D1365" s="2969"/>
      <c r="E1365" s="2969"/>
      <c r="F1365" s="2969"/>
      <c r="G1365" s="2969"/>
      <c r="H1365" s="2969"/>
      <c r="I1365" s="2969"/>
      <c r="J1365" s="2969"/>
      <c r="K1365" s="2969"/>
      <c r="L1365" s="2969"/>
      <c r="M1365" s="2969"/>
      <c r="N1365" s="2969"/>
      <c r="O1365" s="2969"/>
      <c r="P1365" s="2969"/>
      <c r="Q1365" s="2969"/>
    </row>
    <row r="1366" spans="1:17">
      <c r="A1366" s="2927"/>
      <c r="B1366" s="3028"/>
      <c r="C1366" s="3036"/>
      <c r="D1366" s="3036"/>
      <c r="E1366" s="3036"/>
      <c r="F1366" s="3036"/>
      <c r="G1366" s="3036"/>
      <c r="H1366" s="3036"/>
      <c r="I1366" s="3036"/>
      <c r="J1366" s="3036"/>
      <c r="K1366" s="3036"/>
      <c r="L1366" s="3036"/>
      <c r="M1366" s="3036"/>
      <c r="Q1366" s="2927"/>
    </row>
    <row r="1367" spans="1:17">
      <c r="A1367" s="2906">
        <v>27</v>
      </c>
      <c r="B1367" s="524" t="s">
        <v>2808</v>
      </c>
      <c r="C1367" s="524"/>
      <c r="D1367" s="3027"/>
      <c r="E1367" s="3036"/>
      <c r="F1367" s="3036"/>
      <c r="G1367" s="3036"/>
      <c r="H1367" s="3036"/>
      <c r="I1367" s="3036"/>
      <c r="J1367" s="3036"/>
      <c r="K1367" s="3036"/>
      <c r="L1367" s="3036"/>
      <c r="M1367" s="3036"/>
      <c r="O1367" s="3029" t="s">
        <v>1960</v>
      </c>
      <c r="P1367" s="2933">
        <f>'Part VIII-Threshold Criteria'!P417</f>
        <v>0</v>
      </c>
      <c r="Q1367" s="2933"/>
    </row>
    <row r="1368" spans="1:17">
      <c r="A1368" s="2906"/>
      <c r="B1368" s="3067" t="s">
        <v>1958</v>
      </c>
      <c r="D1368" s="3067"/>
      <c r="E1368" s="3067"/>
      <c r="F1368" s="3067"/>
      <c r="G1368" s="3067"/>
      <c r="H1368" s="3031"/>
      <c r="I1368" s="3028"/>
      <c r="J1368" s="3028"/>
      <c r="K1368" s="3028"/>
      <c r="L1368" s="2927"/>
      <c r="M1368" s="2927"/>
      <c r="N1368" s="2927"/>
      <c r="O1368" s="2927"/>
      <c r="P1368" s="2927"/>
      <c r="Q1368" s="2927"/>
    </row>
    <row r="1369" spans="1:17">
      <c r="A1369" s="2969" t="str">
        <f>'Part VIII-Threshold Criteria'!A419</f>
        <v xml:space="preserve">Application is an optimal utilitzation of resources because it meets all the goals and policies set forth in the QAP providing safe, decent and affordable housing that is also viable physically,operationally and economically over time.  Equity prices are good for this project and will be at the high range of the market at award because of it's successful history of operation over the last twenty years.  This rehab  project provides much needed improvements to the existing units creating another 20 years of  safe, affordable housing for the residents of rural Lowndes County where new construction is unlikely to occur.  </v>
      </c>
      <c r="B1369" s="2969"/>
      <c r="C1369" s="2969"/>
      <c r="D1369" s="2969"/>
      <c r="E1369" s="2969"/>
      <c r="F1369" s="2969"/>
      <c r="G1369" s="2969"/>
      <c r="H1369" s="2969"/>
      <c r="I1369" s="2969"/>
      <c r="J1369" s="2969"/>
      <c r="K1369" s="2969"/>
      <c r="L1369" s="2969"/>
      <c r="M1369" s="2969"/>
      <c r="N1369" s="2969"/>
      <c r="O1369" s="2969"/>
      <c r="P1369" s="2969"/>
      <c r="Q1369" s="2969"/>
    </row>
    <row r="1370" spans="1:17">
      <c r="B1370" s="3034" t="s">
        <v>1959</v>
      </c>
      <c r="C1370" s="3035"/>
      <c r="D1370" s="3036"/>
      <c r="E1370" s="3036"/>
      <c r="F1370" s="3036"/>
      <c r="G1370" s="3036"/>
      <c r="H1370" s="3036"/>
      <c r="I1370" s="3036"/>
      <c r="J1370" s="3036"/>
      <c r="K1370" s="3036"/>
      <c r="L1370" s="3036"/>
      <c r="M1370" s="3036"/>
      <c r="N1370" s="3036"/>
      <c r="O1370" s="3036"/>
      <c r="P1370" s="3036"/>
    </row>
    <row r="1371" spans="1:17">
      <c r="A1371" s="2969">
        <f>'Part VIII-Threshold Criteria'!A421</f>
        <v>0</v>
      </c>
      <c r="B1371" s="2969"/>
      <c r="C1371" s="2969"/>
      <c r="D1371" s="2969"/>
      <c r="E1371" s="2969"/>
      <c r="F1371" s="2969"/>
      <c r="G1371" s="2969"/>
      <c r="H1371" s="2969"/>
      <c r="I1371" s="2969"/>
      <c r="J1371" s="2969"/>
      <c r="K1371" s="2969"/>
      <c r="L1371" s="2969"/>
      <c r="M1371" s="2969"/>
      <c r="N1371" s="2969"/>
      <c r="O1371" s="2969"/>
      <c r="P1371" s="2969"/>
      <c r="Q1371" s="2969"/>
    </row>
    <row r="1374" spans="1:17">
      <c r="A1374" s="2905" t="str">
        <f>CONCATENATE("PART NINE - SCORING CRITERIA","  -  ",'Part I-Project Information'!$O$4," ",'Part I-Project Information'!$F$24,", ",'Part I-Project Information'!F1401,", ",'Part I-Project Information'!J1402," County")</f>
        <v>PART NINE - SCORING CRITERIA  -  2015-026 Arbor Trace Apartments Phase II, ,  County</v>
      </c>
      <c r="B1374" s="2905"/>
      <c r="C1374" s="2905"/>
      <c r="D1374" s="2905"/>
      <c r="E1374" s="2905"/>
      <c r="F1374" s="2905"/>
      <c r="G1374" s="2905"/>
      <c r="H1374" s="2905"/>
      <c r="I1374" s="2905"/>
      <c r="J1374" s="2905"/>
      <c r="K1374" s="2905"/>
      <c r="L1374" s="2905"/>
      <c r="M1374" s="2905"/>
      <c r="N1374" s="2905"/>
      <c r="O1374" s="2905"/>
      <c r="P1374" s="2905"/>
    </row>
    <row r="1375" spans="1:17">
      <c r="A1375" s="522"/>
      <c r="B1375" s="522"/>
      <c r="C1375" s="3109"/>
      <c r="D1375" s="522"/>
      <c r="E1375" s="522"/>
      <c r="F1375" s="522"/>
      <c r="G1375" s="522"/>
      <c r="H1375" s="522"/>
      <c r="I1375" s="522"/>
      <c r="J1375" s="522"/>
      <c r="K1375" s="522"/>
      <c r="L1375" s="522"/>
      <c r="M1375" s="3028"/>
      <c r="N1375" s="2915"/>
      <c r="O1375" s="2924"/>
      <c r="P1375" s="2924"/>
    </row>
    <row r="1376" spans="1:17">
      <c r="A1376" s="2960" t="s">
        <v>4188</v>
      </c>
      <c r="B1376" s="2960"/>
      <c r="C1376" s="2960"/>
      <c r="D1376" s="2960"/>
      <c r="E1376" s="2960"/>
      <c r="F1376" s="2960"/>
      <c r="G1376" s="2960"/>
      <c r="H1376" s="2960"/>
      <c r="I1376" s="2960"/>
      <c r="J1376" s="2960"/>
      <c r="K1376" s="2960"/>
      <c r="L1376" s="2960"/>
      <c r="M1376" s="3110" t="s">
        <v>2324</v>
      </c>
      <c r="N1376" s="2915"/>
      <c r="O1376" s="2924" t="s">
        <v>2323</v>
      </c>
      <c r="P1376" s="2911" t="s">
        <v>268</v>
      </c>
    </row>
    <row r="1377" spans="1:17" ht="14.25">
      <c r="A1377" s="2960"/>
      <c r="B1377" s="2960"/>
      <c r="C1377" s="2960"/>
      <c r="D1377" s="2960"/>
      <c r="E1377" s="2960"/>
      <c r="F1377" s="2960"/>
      <c r="G1377" s="2960"/>
      <c r="H1377" s="2960"/>
      <c r="I1377" s="2960"/>
      <c r="J1377" s="2960"/>
      <c r="K1377" s="2960"/>
      <c r="L1377" s="2960"/>
      <c r="M1377" s="3110" t="s">
        <v>95</v>
      </c>
      <c r="N1377" s="524"/>
      <c r="O1377" s="2924" t="s">
        <v>2324</v>
      </c>
      <c r="P1377" s="2911" t="s">
        <v>2324</v>
      </c>
      <c r="Q1377" s="3111"/>
    </row>
    <row r="1378" spans="1:17" ht="14.25">
      <c r="A1378" s="521"/>
      <c r="B1378" s="521"/>
      <c r="C1378" s="521"/>
      <c r="D1378" s="521"/>
      <c r="E1378" s="521"/>
      <c r="F1378" s="521"/>
      <c r="G1378" s="521"/>
      <c r="H1378" s="521"/>
      <c r="I1378" s="521"/>
      <c r="J1378" s="521"/>
      <c r="K1378" s="521"/>
      <c r="L1378" s="3111"/>
      <c r="M1378" s="3110"/>
      <c r="N1378" s="524"/>
      <c r="O1378" s="2924"/>
      <c r="P1378" s="2911"/>
      <c r="Q1378" s="3111"/>
    </row>
    <row r="1379" spans="1:17" ht="15.75">
      <c r="A1379" s="521"/>
      <c r="B1379" s="521"/>
      <c r="C1379" s="521"/>
      <c r="D1379" s="521"/>
      <c r="E1379" s="521"/>
      <c r="F1379" s="521"/>
      <c r="G1379" s="521"/>
      <c r="H1379" s="3111"/>
      <c r="I1379" s="521"/>
      <c r="J1379" s="521"/>
      <c r="K1379" s="3111"/>
      <c r="L1379" s="3112" t="s">
        <v>1284</v>
      </c>
      <c r="M1379" s="3113">
        <f>M1746</f>
        <v>92</v>
      </c>
      <c r="N1379" s="2991"/>
      <c r="O1379" s="3113">
        <f>O1746</f>
        <v>50</v>
      </c>
      <c r="P1379" s="3113">
        <f>P1746</f>
        <v>12</v>
      </c>
      <c r="Q1379" s="3111"/>
    </row>
    <row r="1380" spans="1:17" ht="14.25">
      <c r="A1380" s="521"/>
      <c r="B1380" s="521"/>
      <c r="C1380" s="521"/>
      <c r="D1380" s="521"/>
      <c r="E1380" s="521"/>
      <c r="F1380" s="521"/>
      <c r="G1380" s="521"/>
      <c r="H1380" s="521"/>
      <c r="I1380" s="521"/>
      <c r="J1380" s="521"/>
      <c r="K1380" s="521"/>
      <c r="L1380" s="3111"/>
      <c r="M1380" s="3110"/>
      <c r="N1380" s="524"/>
      <c r="O1380" s="2924"/>
      <c r="P1380" s="2911"/>
      <c r="Q1380" s="3111"/>
    </row>
    <row r="1381" spans="1:17">
      <c r="A1381" s="3114" t="s">
        <v>2084</v>
      </c>
      <c r="B1381" s="3115" t="s">
        <v>3090</v>
      </c>
      <c r="C1381" s="524"/>
      <c r="D1381" s="524"/>
      <c r="E1381" s="524"/>
      <c r="F1381" s="524"/>
      <c r="G1381" s="521"/>
      <c r="H1381" s="2994" t="s">
        <v>4621</v>
      </c>
      <c r="I1381" s="521"/>
      <c r="J1381" s="521"/>
      <c r="K1381" s="521"/>
      <c r="L1381" s="521"/>
      <c r="M1381" s="2924">
        <v>10</v>
      </c>
      <c r="N1381" s="3116"/>
      <c r="O1381" s="3113">
        <f>'Part IX A-Scoring Criteria'!O8</f>
        <v>10</v>
      </c>
      <c r="P1381" s="3113">
        <f>'Part IX A-Scoring Criteria'!P8</f>
        <v>10</v>
      </c>
      <c r="Q1381" s="2924" t="s">
        <v>458</v>
      </c>
    </row>
    <row r="1382" spans="1:17" ht="15">
      <c r="A1382" s="521"/>
      <c r="B1382" s="3033"/>
      <c r="C1382" s="522"/>
      <c r="D1382" s="525"/>
      <c r="E1382" s="525"/>
      <c r="F1382" s="525"/>
      <c r="G1382" s="525"/>
      <c r="H1382" s="525"/>
      <c r="I1382" s="525"/>
      <c r="J1382" s="525"/>
      <c r="K1382" s="525"/>
      <c r="L1382" s="521"/>
      <c r="M1382" s="2915"/>
      <c r="N1382" s="2909"/>
      <c r="O1382" s="3113"/>
      <c r="P1382" s="2924"/>
      <c r="Q1382" s="3117"/>
    </row>
    <row r="1383" spans="1:17">
      <c r="A1383" s="3081" t="s">
        <v>2080</v>
      </c>
      <c r="B1383" s="2934" t="s">
        <v>1961</v>
      </c>
      <c r="C1383" s="521"/>
      <c r="D1383" s="525"/>
      <c r="E1383" s="525"/>
      <c r="F1383" s="3028" t="s">
        <v>2710</v>
      </c>
      <c r="G1383" s="3031">
        <f>F1389</f>
        <v>0</v>
      </c>
      <c r="H1383" s="2718" t="s">
        <v>3267</v>
      </c>
      <c r="I1383" s="521"/>
      <c r="J1383" s="521"/>
      <c r="K1383" s="521"/>
      <c r="L1383" s="521"/>
      <c r="M1383" s="2915"/>
      <c r="N1383" s="3003" t="s">
        <v>2080</v>
      </c>
      <c r="O1383" s="3113">
        <f>'Part IX A-Scoring Criteria'!O10</f>
        <v>0</v>
      </c>
      <c r="P1383" s="3113">
        <f>'Part IX A-Scoring Criteria'!P10</f>
        <v>0</v>
      </c>
      <c r="Q1383" s="521"/>
    </row>
    <row r="1384" spans="1:17" ht="15">
      <c r="A1384" s="3081"/>
      <c r="B1384" s="525" t="s">
        <v>2213</v>
      </c>
      <c r="C1384" s="3117"/>
      <c r="D1384" s="525"/>
      <c r="E1384" s="525"/>
      <c r="F1384" s="3028" t="s">
        <v>2710</v>
      </c>
      <c r="G1384" s="3031">
        <f>P1389</f>
        <v>0</v>
      </c>
      <c r="H1384" s="2718" t="s">
        <v>3037</v>
      </c>
      <c r="I1384" s="3117"/>
      <c r="J1384" s="2994"/>
      <c r="K1384" s="3117"/>
      <c r="L1384" s="3117"/>
      <c r="M1384" s="2915">
        <v>1</v>
      </c>
      <c r="N1384" s="3003"/>
      <c r="O1384" s="3113">
        <f>'Part IX A-Scoring Criteria'!O11</f>
        <v>0</v>
      </c>
      <c r="P1384" s="3113">
        <f>'Part IX A-Scoring Criteria'!P11</f>
        <v>0</v>
      </c>
      <c r="Q1384" s="3117"/>
    </row>
    <row r="1385" spans="1:17">
      <c r="A1385" s="3081" t="s">
        <v>2083</v>
      </c>
      <c r="B1385" s="2934" t="s">
        <v>765</v>
      </c>
      <c r="C1385" s="521"/>
      <c r="D1385" s="525"/>
      <c r="E1385" s="525"/>
      <c r="F1385" s="3028" t="s">
        <v>2710</v>
      </c>
      <c r="G1385" s="3031">
        <f>K1389</f>
        <v>0</v>
      </c>
      <c r="H1385" s="2718" t="s">
        <v>4622</v>
      </c>
      <c r="I1385" s="521"/>
      <c r="J1385" s="2994"/>
      <c r="K1385" s="521"/>
      <c r="L1385" s="521"/>
      <c r="M1385" s="2915"/>
      <c r="N1385" s="3003" t="s">
        <v>2083</v>
      </c>
      <c r="O1385" s="3113">
        <f>'Part IX A-Scoring Criteria'!O12</f>
        <v>0</v>
      </c>
      <c r="P1385" s="3113">
        <f>'Part IX A-Scoring Criteria'!P12</f>
        <v>0</v>
      </c>
      <c r="Q1385" s="2924"/>
    </row>
    <row r="1386" spans="1:17" ht="15">
      <c r="A1386" s="2994" t="s">
        <v>267</v>
      </c>
      <c r="B1386" s="521"/>
      <c r="C1386" s="521"/>
      <c r="D1386" s="525"/>
      <c r="E1386" s="525"/>
      <c r="F1386" s="525"/>
      <c r="G1386" s="525"/>
      <c r="H1386" s="522"/>
      <c r="I1386" s="522"/>
      <c r="J1386" s="522"/>
      <c r="K1386" s="522"/>
      <c r="L1386" s="3117"/>
      <c r="M1386" s="2915"/>
      <c r="N1386" s="2909"/>
      <c r="O1386" s="3113"/>
      <c r="P1386" s="2911"/>
      <c r="Q1386" s="521"/>
    </row>
    <row r="1387" spans="1:17" ht="15.75">
      <c r="A1387" s="2969" t="str">
        <f>'Part IX A-Scoring Criteria'!A14</f>
        <v>Application completed and organized according to QAP and instructions from DCA.</v>
      </c>
      <c r="B1387" s="2969"/>
      <c r="C1387" s="2969"/>
      <c r="D1387" s="2969"/>
      <c r="E1387" s="2969"/>
      <c r="F1387" s="2969"/>
      <c r="G1387" s="2969"/>
      <c r="H1387" s="2969"/>
      <c r="I1387" s="2969"/>
      <c r="J1387" s="2969"/>
      <c r="K1387" s="2969"/>
      <c r="L1387" s="2969"/>
      <c r="M1387" s="2969"/>
      <c r="N1387" s="2969"/>
      <c r="O1387" s="2969"/>
      <c r="P1387" s="2969"/>
      <c r="Q1387" s="3118" t="s">
        <v>1313</v>
      </c>
    </row>
    <row r="1388" spans="1:17">
      <c r="A1388" s="2994" t="s">
        <v>1959</v>
      </c>
      <c r="B1388" s="521"/>
      <c r="C1388" s="521"/>
      <c r="D1388" s="521"/>
      <c r="E1388" s="521"/>
      <c r="F1388" s="3028" t="s">
        <v>1800</v>
      </c>
      <c r="G1388" s="521"/>
      <c r="H1388" s="521"/>
      <c r="I1388" s="521"/>
      <c r="J1388" s="521"/>
      <c r="K1388" s="3028" t="s">
        <v>1800</v>
      </c>
      <c r="L1388" s="521"/>
      <c r="M1388" s="521"/>
      <c r="N1388" s="521"/>
      <c r="O1388" s="521"/>
      <c r="P1388" s="3003" t="s">
        <v>1800</v>
      </c>
      <c r="Q1388" s="521"/>
    </row>
    <row r="1389" spans="1:17">
      <c r="A1389" s="3073" t="s">
        <v>2520</v>
      </c>
      <c r="B1389" s="3073"/>
      <c r="C1389" s="3073"/>
      <c r="D1389" s="3073"/>
      <c r="E1389" s="3003" t="s">
        <v>531</v>
      </c>
      <c r="F1389" s="2924">
        <f>SUM(F1390:F1401)</f>
        <v>0</v>
      </c>
      <c r="G1389" s="3073" t="s">
        <v>3844</v>
      </c>
      <c r="H1389" s="3073"/>
      <c r="I1389" s="3073"/>
      <c r="J1389" s="3003" t="s">
        <v>531</v>
      </c>
      <c r="K1389" s="2924">
        <f>SUM(K1390:K1401)</f>
        <v>0</v>
      </c>
      <c r="L1389" s="3064" t="s">
        <v>4623</v>
      </c>
      <c r="M1389" s="521"/>
      <c r="N1389" s="2967"/>
      <c r="O1389" s="3003"/>
      <c r="P1389" s="2924">
        <f>SUM(P1390:P1401)</f>
        <v>0</v>
      </c>
      <c r="Q1389" s="521"/>
    </row>
    <row r="1390" spans="1:17" ht="15.75">
      <c r="A1390" s="2801">
        <f>'Part IX A-Scoring Criteria'!A17</f>
        <v>1</v>
      </c>
      <c r="B1390" s="2745"/>
      <c r="C1390" s="2745"/>
      <c r="D1390" s="2745"/>
      <c r="E1390" s="2745"/>
      <c r="F1390" s="2931">
        <f>'Part IX A-Scoring Criteria'!F17</f>
        <v>0</v>
      </c>
      <c r="G1390" s="2801">
        <f>'Part IX A-Scoring Criteria'!G17</f>
        <v>1</v>
      </c>
      <c r="H1390" s="2801"/>
      <c r="I1390" s="2801"/>
      <c r="J1390" s="2801"/>
      <c r="K1390" s="2931" t="s">
        <v>1820</v>
      </c>
      <c r="L1390" s="2801">
        <f>'Part IX A-Scoring Criteria'!L17</f>
        <v>1</v>
      </c>
      <c r="M1390" s="2801"/>
      <c r="N1390" s="2801"/>
      <c r="O1390" s="2801"/>
      <c r="P1390" s="2931">
        <f>'Part IX A-Scoring Criteria'!P17</f>
        <v>0</v>
      </c>
      <c r="Q1390" s="3118" t="s">
        <v>1313</v>
      </c>
    </row>
    <row r="1391" spans="1:17" ht="15.75">
      <c r="A1391" s="2801">
        <f>'Part IX A-Scoring Criteria'!A18</f>
        <v>2</v>
      </c>
      <c r="B1391" s="2745"/>
      <c r="C1391" s="2745"/>
      <c r="D1391" s="2745"/>
      <c r="E1391" s="2745"/>
      <c r="F1391" s="2931">
        <f>'Part IX A-Scoring Criteria'!F18</f>
        <v>0</v>
      </c>
      <c r="G1391" s="2801">
        <f>'Part IX A-Scoring Criteria'!G18</f>
        <v>2</v>
      </c>
      <c r="H1391" s="2801"/>
      <c r="I1391" s="2801"/>
      <c r="J1391" s="2801"/>
      <c r="K1391" s="2931">
        <f>'Part IX A-Scoring Criteria'!K18</f>
        <v>0</v>
      </c>
      <c r="L1391" s="2801">
        <f>'Part IX A-Scoring Criteria'!L18</f>
        <v>2</v>
      </c>
      <c r="M1391" s="2801"/>
      <c r="N1391" s="2801"/>
      <c r="O1391" s="2801"/>
      <c r="P1391" s="2931">
        <f>'Part IX A-Scoring Criteria'!P18</f>
        <v>0</v>
      </c>
      <c r="Q1391" s="3118"/>
    </row>
    <row r="1392" spans="1:17" ht="24">
      <c r="A1392" s="2801">
        <f>'Part IX A-Scoring Criteria'!A19</f>
        <v>3</v>
      </c>
      <c r="B1392" s="2745"/>
      <c r="C1392" s="2745"/>
      <c r="D1392" s="2745"/>
      <c r="E1392" s="2745"/>
      <c r="F1392" s="2931">
        <f>'Part IX A-Scoring Criteria'!F19</f>
        <v>0</v>
      </c>
      <c r="G1392" s="2801">
        <f>'Part IX A-Scoring Criteria'!G19</f>
        <v>3</v>
      </c>
      <c r="H1392" s="2801"/>
      <c r="I1392" s="2801"/>
      <c r="J1392" s="2801"/>
      <c r="K1392" s="2932" t="s">
        <v>3310</v>
      </c>
      <c r="L1392" s="2801">
        <f>'Part IX A-Scoring Criteria'!L19</f>
        <v>3</v>
      </c>
      <c r="M1392" s="2801"/>
      <c r="N1392" s="2801"/>
      <c r="O1392" s="2801"/>
      <c r="P1392" s="2931">
        <f>'Part IX A-Scoring Criteria'!P19</f>
        <v>0</v>
      </c>
      <c r="Q1392" s="3118"/>
    </row>
    <row r="1393" spans="1:17" ht="24">
      <c r="A1393" s="2801">
        <f>'Part IX A-Scoring Criteria'!A20</f>
        <v>4</v>
      </c>
      <c r="B1393" s="2745"/>
      <c r="C1393" s="2745"/>
      <c r="D1393" s="2745"/>
      <c r="E1393" s="2745"/>
      <c r="F1393" s="2931">
        <f>'Part IX A-Scoring Criteria'!F20</f>
        <v>0</v>
      </c>
      <c r="G1393" s="2801">
        <f>'Part IX A-Scoring Criteria'!G20</f>
        <v>4</v>
      </c>
      <c r="H1393" s="2801"/>
      <c r="I1393" s="2801"/>
      <c r="J1393" s="2801"/>
      <c r="K1393" s="2932" t="s">
        <v>3310</v>
      </c>
      <c r="L1393" s="2801">
        <f>'Part IX A-Scoring Criteria'!L20</f>
        <v>4</v>
      </c>
      <c r="M1393" s="2801"/>
      <c r="N1393" s="2801"/>
      <c r="O1393" s="2801"/>
      <c r="P1393" s="2931">
        <f>'Part IX A-Scoring Criteria'!P20</f>
        <v>0</v>
      </c>
      <c r="Q1393" s="3118"/>
    </row>
    <row r="1394" spans="1:17">
      <c r="A1394" s="2801">
        <f>'Part IX A-Scoring Criteria'!A21</f>
        <v>5</v>
      </c>
      <c r="B1394" s="2745"/>
      <c r="C1394" s="2745"/>
      <c r="D1394" s="2745"/>
      <c r="E1394" s="2745"/>
      <c r="F1394" s="2931">
        <f>'Part IX A-Scoring Criteria'!F21</f>
        <v>0</v>
      </c>
      <c r="G1394" s="2801">
        <f>'Part IX A-Scoring Criteria'!G21</f>
        <v>5</v>
      </c>
      <c r="H1394" s="2801"/>
      <c r="I1394" s="2801"/>
      <c r="J1394" s="2801"/>
      <c r="K1394" s="2931">
        <f>'Part IX A-Scoring Criteria'!K21</f>
        <v>0</v>
      </c>
      <c r="L1394" s="2801">
        <f>'Part IX A-Scoring Criteria'!L21</f>
        <v>5</v>
      </c>
      <c r="M1394" s="2801"/>
      <c r="N1394" s="2801"/>
      <c r="O1394" s="2801"/>
      <c r="P1394" s="2931">
        <f>'Part IX A-Scoring Criteria'!P21</f>
        <v>0</v>
      </c>
      <c r="Q1394" s="521"/>
    </row>
    <row r="1395" spans="1:17">
      <c r="A1395" s="2801">
        <f>'Part IX A-Scoring Criteria'!A22</f>
        <v>6</v>
      </c>
      <c r="B1395" s="2745"/>
      <c r="C1395" s="2745"/>
      <c r="D1395" s="2745"/>
      <c r="E1395" s="2745"/>
      <c r="F1395" s="2931">
        <f>'Part IX A-Scoring Criteria'!F22</f>
        <v>0</v>
      </c>
      <c r="G1395" s="2801">
        <f>'Part IX A-Scoring Criteria'!G22</f>
        <v>6</v>
      </c>
      <c r="H1395" s="2801"/>
      <c r="I1395" s="2801"/>
      <c r="J1395" s="2801"/>
      <c r="K1395" s="2931">
        <f>'Part IX A-Scoring Criteria'!K22</f>
        <v>0</v>
      </c>
      <c r="L1395" s="2801">
        <f>'Part IX A-Scoring Criteria'!L22</f>
        <v>6</v>
      </c>
      <c r="M1395" s="2801"/>
      <c r="N1395" s="2801"/>
      <c r="O1395" s="2801"/>
      <c r="P1395" s="2931">
        <f>'Part IX A-Scoring Criteria'!P22</f>
        <v>0</v>
      </c>
      <c r="Q1395" s="521"/>
    </row>
    <row r="1396" spans="1:17">
      <c r="A1396" s="2801">
        <f>'Part IX A-Scoring Criteria'!A23</f>
        <v>7</v>
      </c>
      <c r="B1396" s="2745"/>
      <c r="C1396" s="2745"/>
      <c r="D1396" s="2745"/>
      <c r="E1396" s="2745"/>
      <c r="F1396" s="2931">
        <f>'Part IX A-Scoring Criteria'!F23</f>
        <v>0</v>
      </c>
      <c r="G1396" s="2801">
        <f>'Part IX A-Scoring Criteria'!G23</f>
        <v>7</v>
      </c>
      <c r="H1396" s="2801"/>
      <c r="I1396" s="2801"/>
      <c r="J1396" s="2801"/>
      <c r="K1396" s="2931">
        <f>'Part IX A-Scoring Criteria'!K23</f>
        <v>0</v>
      </c>
      <c r="L1396" s="2801">
        <f>'Part IX A-Scoring Criteria'!L23</f>
        <v>7</v>
      </c>
      <c r="M1396" s="2801"/>
      <c r="N1396" s="2801"/>
      <c r="O1396" s="2801"/>
      <c r="P1396" s="2931">
        <f>'Part IX A-Scoring Criteria'!P23</f>
        <v>0</v>
      </c>
      <c r="Q1396" s="521"/>
    </row>
    <row r="1397" spans="1:17">
      <c r="A1397" s="2801">
        <f>'Part IX A-Scoring Criteria'!A24</f>
        <v>8</v>
      </c>
      <c r="B1397" s="2745"/>
      <c r="C1397" s="2745"/>
      <c r="D1397" s="2745"/>
      <c r="E1397" s="2745"/>
      <c r="F1397" s="2931">
        <f>'Part IX A-Scoring Criteria'!F24</f>
        <v>0</v>
      </c>
      <c r="G1397" s="2801">
        <f>'Part IX A-Scoring Criteria'!G24</f>
        <v>8</v>
      </c>
      <c r="H1397" s="2801"/>
      <c r="I1397" s="2801"/>
      <c r="J1397" s="2801"/>
      <c r="K1397" s="2931">
        <f>'Part IX A-Scoring Criteria'!K24</f>
        <v>0</v>
      </c>
      <c r="L1397" s="2801">
        <f>'Part IX A-Scoring Criteria'!L24</f>
        <v>8</v>
      </c>
      <c r="M1397" s="2801"/>
      <c r="N1397" s="2801"/>
      <c r="O1397" s="2801"/>
      <c r="P1397" s="2931">
        <f>'Part IX A-Scoring Criteria'!P24</f>
        <v>0</v>
      </c>
      <c r="Q1397" s="521"/>
    </row>
    <row r="1398" spans="1:17">
      <c r="A1398" s="2801">
        <f>'Part IX A-Scoring Criteria'!A25</f>
        <v>9</v>
      </c>
      <c r="B1398" s="2745"/>
      <c r="C1398" s="2745"/>
      <c r="D1398" s="2745"/>
      <c r="E1398" s="2745"/>
      <c r="F1398" s="2931">
        <f>'Part IX A-Scoring Criteria'!F25</f>
        <v>0</v>
      </c>
      <c r="G1398" s="2801">
        <f>'Part IX A-Scoring Criteria'!G25</f>
        <v>9</v>
      </c>
      <c r="H1398" s="2801"/>
      <c r="I1398" s="2801"/>
      <c r="J1398" s="2801"/>
      <c r="K1398" s="2931">
        <f>'Part IX A-Scoring Criteria'!K25</f>
        <v>0</v>
      </c>
      <c r="L1398" s="2801">
        <f>'Part IX A-Scoring Criteria'!L25</f>
        <v>9</v>
      </c>
      <c r="M1398" s="2801"/>
      <c r="N1398" s="2801"/>
      <c r="O1398" s="2801"/>
      <c r="P1398" s="2931">
        <f>'Part IX A-Scoring Criteria'!P25</f>
        <v>0</v>
      </c>
      <c r="Q1398" s="521"/>
    </row>
    <row r="1399" spans="1:17">
      <c r="A1399" s="2801">
        <f>'Part IX A-Scoring Criteria'!A26</f>
        <v>10</v>
      </c>
      <c r="B1399" s="2745"/>
      <c r="C1399" s="2745"/>
      <c r="D1399" s="2745"/>
      <c r="E1399" s="2745"/>
      <c r="F1399" s="2931">
        <f>'Part IX A-Scoring Criteria'!F26</f>
        <v>0</v>
      </c>
      <c r="G1399" s="2801">
        <f>'Part IX A-Scoring Criteria'!G26</f>
        <v>10</v>
      </c>
      <c r="H1399" s="2801"/>
      <c r="I1399" s="2801"/>
      <c r="J1399" s="2801"/>
      <c r="K1399" s="2931">
        <f>'Part IX A-Scoring Criteria'!K26</f>
        <v>0</v>
      </c>
      <c r="L1399" s="2801">
        <f>'Part IX A-Scoring Criteria'!L26</f>
        <v>10</v>
      </c>
      <c r="M1399" s="2801"/>
      <c r="N1399" s="2801"/>
      <c r="O1399" s="2801"/>
      <c r="P1399" s="2931">
        <f>'Part IX A-Scoring Criteria'!P26</f>
        <v>0</v>
      </c>
      <c r="Q1399" s="521"/>
    </row>
    <row r="1400" spans="1:17">
      <c r="A1400" s="2801">
        <f>'Part IX A-Scoring Criteria'!A27</f>
        <v>11</v>
      </c>
      <c r="B1400" s="2745"/>
      <c r="C1400" s="2745"/>
      <c r="D1400" s="2745"/>
      <c r="E1400" s="2745"/>
      <c r="F1400" s="2931">
        <f>'Part IX A-Scoring Criteria'!F27</f>
        <v>0</v>
      </c>
      <c r="G1400" s="2801">
        <f>'Part IX A-Scoring Criteria'!G27</f>
        <v>11</v>
      </c>
      <c r="H1400" s="2801"/>
      <c r="I1400" s="2801"/>
      <c r="J1400" s="2801"/>
      <c r="K1400" s="2931">
        <f>'Part IX A-Scoring Criteria'!K27</f>
        <v>0</v>
      </c>
      <c r="L1400" s="2801">
        <f>'Part IX A-Scoring Criteria'!L27</f>
        <v>11</v>
      </c>
      <c r="M1400" s="2801"/>
      <c r="N1400" s="2801"/>
      <c r="O1400" s="2801"/>
      <c r="P1400" s="2931">
        <f>'Part IX A-Scoring Criteria'!P27</f>
        <v>0</v>
      </c>
      <c r="Q1400" s="521"/>
    </row>
    <row r="1401" spans="1:17">
      <c r="A1401" s="2801">
        <f>'Part IX A-Scoring Criteria'!A28</f>
        <v>12</v>
      </c>
      <c r="B1401" s="2745"/>
      <c r="C1401" s="2745"/>
      <c r="D1401" s="2745"/>
      <c r="E1401" s="2745"/>
      <c r="F1401" s="2931">
        <f>'Part IX A-Scoring Criteria'!F28</f>
        <v>0</v>
      </c>
      <c r="G1401" s="2801">
        <f>'Part IX A-Scoring Criteria'!G28</f>
        <v>12</v>
      </c>
      <c r="H1401" s="2801"/>
      <c r="I1401" s="2801"/>
      <c r="J1401" s="2801"/>
      <c r="K1401" s="2931">
        <f>'Part IX A-Scoring Criteria'!K28</f>
        <v>0</v>
      </c>
      <c r="L1401" s="2801">
        <f>'Part IX A-Scoring Criteria'!L28</f>
        <v>12</v>
      </c>
      <c r="M1401" s="2801"/>
      <c r="N1401" s="2801"/>
      <c r="O1401" s="2801"/>
      <c r="P1401" s="2931">
        <f>'Part IX A-Scoring Criteria'!P28</f>
        <v>0</v>
      </c>
      <c r="Q1401" s="521"/>
    </row>
    <row r="1402" spans="1:17" ht="15">
      <c r="A1402" s="3117"/>
      <c r="B1402" s="3117"/>
      <c r="C1402" s="3117"/>
      <c r="D1402" s="522"/>
      <c r="E1402" s="522"/>
      <c r="F1402" s="2924"/>
      <c r="G1402" s="2924"/>
      <c r="H1402" s="2924"/>
      <c r="I1402" s="2924"/>
      <c r="J1402" s="3031"/>
      <c r="K1402" s="3031"/>
      <c r="L1402" s="3031"/>
      <c r="M1402" s="3028"/>
      <c r="N1402" s="2924"/>
      <c r="O1402" s="2911"/>
      <c r="P1402" s="3113"/>
      <c r="Q1402" s="3117"/>
    </row>
    <row r="1403" spans="1:17" ht="15">
      <c r="A1403" s="3119" t="s">
        <v>2086</v>
      </c>
      <c r="B1403" s="3120" t="s">
        <v>1064</v>
      </c>
      <c r="C1403" s="3117"/>
      <c r="D1403" s="3117"/>
      <c r="E1403" s="522"/>
      <c r="F1403" s="3117"/>
      <c r="G1403" s="2987"/>
      <c r="H1403" s="522"/>
      <c r="I1403" s="3121" t="s">
        <v>4245</v>
      </c>
      <c r="J1403" s="3117"/>
      <c r="K1403" s="3117"/>
      <c r="L1403" s="3117"/>
      <c r="M1403" s="2924">
        <v>3</v>
      </c>
      <c r="N1403" s="2915"/>
      <c r="O1403" s="3113">
        <f>'Part IX A-Scoring Criteria'!O30</f>
        <v>2</v>
      </c>
      <c r="P1403" s="3113">
        <f>'Part IX A-Scoring Criteria'!P30</f>
        <v>0</v>
      </c>
      <c r="Q1403" s="2924" t="s">
        <v>458</v>
      </c>
    </row>
    <row r="1404" spans="1:17" ht="15">
      <c r="A1404" s="3122" t="s">
        <v>2080</v>
      </c>
      <c r="B1404" s="3123" t="s">
        <v>2752</v>
      </c>
      <c r="C1404" s="3117"/>
      <c r="D1404" s="3117"/>
      <c r="E1404" s="522"/>
      <c r="F1404" s="3117"/>
      <c r="G1404" s="2987"/>
      <c r="H1404" s="522"/>
      <c r="I1404" s="3124" t="s">
        <v>3849</v>
      </c>
      <c r="J1404" s="3124"/>
      <c r="K1404" s="3117"/>
      <c r="L1404" s="3117"/>
      <c r="M1404" s="2924"/>
      <c r="N1404" s="2915"/>
      <c r="O1404" s="2915"/>
      <c r="P1404" s="2915"/>
      <c r="Q1404" s="2915"/>
    </row>
    <row r="1405" spans="1:17" ht="15">
      <c r="A1405" s="3125"/>
      <c r="B1405" s="3068" t="s">
        <v>3847</v>
      </c>
      <c r="C1405" s="3126"/>
      <c r="D1405" s="3126"/>
      <c r="E1405" s="3127"/>
      <c r="F1405" s="3125"/>
      <c r="G1405" s="3125"/>
      <c r="H1405" s="3125"/>
      <c r="I1405" s="3124"/>
      <c r="J1405" s="3124"/>
      <c r="K1405" s="3097" t="s">
        <v>3846</v>
      </c>
      <c r="L1405" s="3097"/>
      <c r="M1405" s="2915"/>
      <c r="N1405" s="2979"/>
      <c r="O1405" s="3125"/>
      <c r="P1405" s="3125"/>
      <c r="Q1405" s="3125"/>
    </row>
    <row r="1406" spans="1:17" ht="15">
      <c r="A1406" s="3122"/>
      <c r="B1406" s="3068" t="s">
        <v>3848</v>
      </c>
      <c r="C1406" s="3126"/>
      <c r="D1406" s="3125"/>
      <c r="E1406" s="3128" t="s">
        <v>2084</v>
      </c>
      <c r="F1406" s="3129">
        <v>0.15</v>
      </c>
      <c r="G1406" s="3068" t="s">
        <v>3845</v>
      </c>
      <c r="H1406" s="3125"/>
      <c r="I1406" s="3130">
        <f>'Part IX A-Scoring Criteria'!I33</f>
        <v>9</v>
      </c>
      <c r="J1406" s="3130">
        <f>'Part IX A-Scoring Criteria'!J33</f>
        <v>0</v>
      </c>
      <c r="K1406" s="3131">
        <f>'Part IX A-Scoring Criteria'!K33</f>
        <v>0.21428571428571427</v>
      </c>
      <c r="L1406" s="3131">
        <f>'Part IX A-Scoring Criteria'!L33</f>
        <v>0</v>
      </c>
      <c r="M1406" s="2915">
        <v>1</v>
      </c>
      <c r="N1406" s="2979"/>
      <c r="O1406" s="3132"/>
      <c r="P1406" s="3133"/>
      <c r="Q1406" s="3125"/>
    </row>
    <row r="1407" spans="1:17" ht="15">
      <c r="A1407" s="3032" t="s">
        <v>1418</v>
      </c>
      <c r="B1407" s="3126"/>
      <c r="C1407" s="3126"/>
      <c r="D1407" s="3125"/>
      <c r="E1407" s="3128" t="s">
        <v>2086</v>
      </c>
      <c r="F1407" s="3129">
        <v>0.2</v>
      </c>
      <c r="G1407" s="3068" t="s">
        <v>3845</v>
      </c>
      <c r="H1407" s="3082"/>
      <c r="I1407" s="3130">
        <f>'Part IX A-Scoring Criteria'!I34</f>
        <v>9</v>
      </c>
      <c r="J1407" s="3130">
        <f>'Part IX A-Scoring Criteria'!J34</f>
        <v>0</v>
      </c>
      <c r="K1407" s="3131">
        <f>'Part IX A-Scoring Criteria'!K34</f>
        <v>0.21428571428571427</v>
      </c>
      <c r="L1407" s="3131">
        <f>'Part IX A-Scoring Criteria'!L34</f>
        <v>0</v>
      </c>
      <c r="M1407" s="2915">
        <v>2</v>
      </c>
      <c r="N1407" s="2979"/>
      <c r="O1407" s="3134" t="s">
        <v>2840</v>
      </c>
      <c r="P1407" s="3134"/>
      <c r="Q1407" s="3125"/>
    </row>
    <row r="1408" spans="1:17" ht="15">
      <c r="A1408" s="3122" t="s">
        <v>2083</v>
      </c>
      <c r="B1408" s="3123" t="s">
        <v>4624</v>
      </c>
      <c r="C1408" s="3125"/>
      <c r="D1408" s="3125"/>
      <c r="E1408" s="3093"/>
      <c r="F1408" s="3125"/>
      <c r="G1408" s="3125"/>
      <c r="H1408" s="3082" t="s">
        <v>2753</v>
      </c>
      <c r="I1408" s="3130">
        <f>'Part IX A-Scoring Criteria'!I35</f>
        <v>0</v>
      </c>
      <c r="J1408" s="3130">
        <f>'Part IX A-Scoring Criteria'!J35</f>
        <v>0</v>
      </c>
      <c r="K1408" s="3131">
        <f>'Part IX A-Scoring Criteria'!K35</f>
        <v>0</v>
      </c>
      <c r="L1408" s="3131">
        <f>'Part IX A-Scoring Criteria'!L35</f>
        <v>0</v>
      </c>
      <c r="M1408" s="2915">
        <v>3</v>
      </c>
      <c r="N1408" s="2979"/>
      <c r="O1408" s="3135">
        <v>0.15</v>
      </c>
      <c r="P1408" s="3135"/>
      <c r="Q1408" s="3125"/>
    </row>
    <row r="1409" spans="1:17" ht="15">
      <c r="A1409" s="521"/>
      <c r="B1409" s="2994" t="s">
        <v>267</v>
      </c>
      <c r="C1409" s="521"/>
      <c r="D1409" s="525"/>
      <c r="E1409" s="525"/>
      <c r="F1409" s="525"/>
      <c r="G1409" s="525"/>
      <c r="H1409" s="522"/>
      <c r="I1409" s="522"/>
      <c r="J1409" s="522"/>
      <c r="K1409" s="522"/>
      <c r="L1409" s="3117"/>
      <c r="M1409" s="2915"/>
      <c r="N1409" s="2909"/>
      <c r="O1409" s="3113"/>
      <c r="P1409" s="2911"/>
      <c r="Q1409" s="3117"/>
    </row>
    <row r="1410" spans="1:17" ht="15.75">
      <c r="A1410" s="2969" t="str">
        <f>'Part IX A-Scoring Criteria'!A37</f>
        <v>Applicant has set aside 9 of 42 units at 50% AMI.</v>
      </c>
      <c r="B1410" s="2969"/>
      <c r="C1410" s="2969"/>
      <c r="D1410" s="2969"/>
      <c r="E1410" s="2969"/>
      <c r="F1410" s="2969"/>
      <c r="G1410" s="2969"/>
      <c r="H1410" s="2969"/>
      <c r="I1410" s="2969"/>
      <c r="J1410" s="2969"/>
      <c r="K1410" s="2969"/>
      <c r="L1410" s="2969"/>
      <c r="M1410" s="2969"/>
      <c r="N1410" s="2969"/>
      <c r="O1410" s="2969"/>
      <c r="P1410" s="2969"/>
      <c r="Q1410" s="3118" t="s">
        <v>1313</v>
      </c>
    </row>
    <row r="1411" spans="1:17" ht="15">
      <c r="A1411" s="521"/>
      <c r="B1411" s="2994" t="s">
        <v>1959</v>
      </c>
      <c r="C1411" s="521"/>
      <c r="D1411" s="3034"/>
      <c r="E1411" s="3036"/>
      <c r="F1411" s="3036"/>
      <c r="G1411" s="3036"/>
      <c r="H1411" s="3036"/>
      <c r="I1411" s="3036"/>
      <c r="J1411" s="3036"/>
      <c r="K1411" s="3036"/>
      <c r="L1411" s="3036"/>
      <c r="M1411" s="3036"/>
      <c r="N1411" s="3136"/>
      <c r="O1411" s="3137"/>
      <c r="P1411" s="2924"/>
      <c r="Q1411" s="3125"/>
    </row>
    <row r="1412" spans="1:17" ht="15.75">
      <c r="A1412" s="2969">
        <f>'Part IX A-Scoring Criteria'!A39</f>
        <v>0</v>
      </c>
      <c r="B1412" s="2969"/>
      <c r="C1412" s="2969"/>
      <c r="D1412" s="2969"/>
      <c r="E1412" s="2969"/>
      <c r="F1412" s="2969"/>
      <c r="G1412" s="2969"/>
      <c r="H1412" s="2969"/>
      <c r="I1412" s="2969"/>
      <c r="J1412" s="2969"/>
      <c r="K1412" s="2969"/>
      <c r="L1412" s="2969"/>
      <c r="M1412" s="2969"/>
      <c r="N1412" s="2969"/>
      <c r="O1412" s="2969"/>
      <c r="P1412" s="2969"/>
      <c r="Q1412" s="3118" t="s">
        <v>1313</v>
      </c>
    </row>
    <row r="1413" spans="1:17">
      <c r="N1413" s="2909"/>
      <c r="O1413" s="2911"/>
      <c r="P1413" s="2911"/>
    </row>
    <row r="1414" spans="1:17" ht="15">
      <c r="A1414" s="3114" t="s">
        <v>2660</v>
      </c>
      <c r="B1414" s="3115" t="s">
        <v>1967</v>
      </c>
      <c r="C1414" s="3117"/>
      <c r="D1414" s="3138"/>
      <c r="E1414" s="3117"/>
      <c r="F1414" s="3117"/>
      <c r="G1414" s="3117"/>
      <c r="H1414" s="3117"/>
      <c r="I1414" s="3117"/>
      <c r="J1414" s="2894" t="s">
        <v>625</v>
      </c>
      <c r="K1414" s="2894"/>
      <c r="L1414" s="2894"/>
      <c r="M1414" s="2924">
        <v>13</v>
      </c>
      <c r="N1414" s="3003"/>
      <c r="O1414" s="3113">
        <f>'Part IX A-Scoring Criteria'!O41</f>
        <v>13</v>
      </c>
      <c r="P1414" s="3113">
        <f>'Part IX A-Scoring Criteria'!P41</f>
        <v>0</v>
      </c>
      <c r="Q1414" s="2924" t="s">
        <v>458</v>
      </c>
    </row>
    <row r="1415" spans="1:17" ht="15">
      <c r="A1415" s="521"/>
      <c r="B1415" s="3117"/>
      <c r="C1415" s="3117"/>
      <c r="D1415" s="522"/>
      <c r="E1415" s="522"/>
      <c r="F1415" s="2924"/>
      <c r="G1415" s="2924"/>
      <c r="H1415" s="3117"/>
      <c r="I1415" s="3117"/>
      <c r="J1415" s="2894"/>
      <c r="K1415" s="2894"/>
      <c r="L1415" s="2894"/>
      <c r="M1415" s="3028"/>
      <c r="N1415" s="2924"/>
      <c r="O1415" s="2911"/>
      <c r="P1415" s="3113"/>
      <c r="Q1415" s="3117"/>
    </row>
    <row r="1416" spans="1:17" ht="15">
      <c r="A1416" s="3081" t="s">
        <v>2080</v>
      </c>
      <c r="B1416" s="2934" t="s">
        <v>1968</v>
      </c>
      <c r="C1416" s="524"/>
      <c r="D1416" s="524"/>
      <c r="E1416" s="2718" t="s">
        <v>2889</v>
      </c>
      <c r="F1416" s="2716"/>
      <c r="G1416" s="2716"/>
      <c r="H1416" s="3117"/>
      <c r="I1416" s="3117"/>
      <c r="J1416" s="2894"/>
      <c r="K1416" s="2894"/>
      <c r="L1416" s="2894"/>
      <c r="M1416" s="2915">
        <v>12</v>
      </c>
      <c r="N1416" s="3139" t="s">
        <v>2080</v>
      </c>
      <c r="O1416" s="2924">
        <f>'Part IX A-Scoring Criteria'!O43</f>
        <v>12</v>
      </c>
      <c r="P1416" s="2924">
        <f>'Part IX A-Scoring Criteria'!P43</f>
        <v>0</v>
      </c>
      <c r="Q1416" s="2972" t="s">
        <v>2875</v>
      </c>
    </row>
    <row r="1417" spans="1:17" ht="15">
      <c r="A1417" s="3081" t="s">
        <v>2083</v>
      </c>
      <c r="B1417" s="2934" t="s">
        <v>3965</v>
      </c>
      <c r="C1417" s="524"/>
      <c r="D1417" s="524"/>
      <c r="E1417" s="3117"/>
      <c r="F1417" s="2718" t="s">
        <v>3987</v>
      </c>
      <c r="G1417" s="3117"/>
      <c r="H1417" s="2716"/>
      <c r="I1417" s="2718" t="s">
        <v>3988</v>
      </c>
      <c r="J1417" s="3117"/>
      <c r="K1417" s="3117"/>
      <c r="L1417" s="3092" t="s">
        <v>3967</v>
      </c>
      <c r="M1417" s="2915">
        <v>1</v>
      </c>
      <c r="N1417" s="3003" t="s">
        <v>2083</v>
      </c>
      <c r="O1417" s="2924">
        <f>'Part IX A-Scoring Criteria'!O44</f>
        <v>1</v>
      </c>
      <c r="P1417" s="2924">
        <f>'Part IX A-Scoring Criteria'!P44</f>
        <v>0</v>
      </c>
      <c r="Q1417" s="2972" t="s">
        <v>2875</v>
      </c>
    </row>
    <row r="1418" spans="1:17" ht="13.5">
      <c r="A1418" s="3081"/>
      <c r="B1418" s="2951" t="s">
        <v>3966</v>
      </c>
      <c r="C1418" s="2951"/>
      <c r="D1418" s="2951"/>
      <c r="E1418" s="2951"/>
      <c r="F1418" s="2818" t="str">
        <f>'Part IX A-Scoring Criteria'!F45</f>
        <v>Restaurants</v>
      </c>
      <c r="G1418" s="2818"/>
      <c r="H1418" s="2818"/>
      <c r="I1418" s="2818" t="str">
        <f>'Part IX A-Scoring Criteria'!I45</f>
        <v>Cracker Barrel</v>
      </c>
      <c r="J1418" s="2818"/>
      <c r="K1418" s="2818"/>
      <c r="L1418" s="3140">
        <f>'Part IX A-Scoring Criteria'!L45</f>
        <v>0.2</v>
      </c>
      <c r="M1418" s="2915"/>
      <c r="N1418" s="3139"/>
      <c r="O1418" s="3139"/>
      <c r="P1418" s="3139"/>
      <c r="Q1418" s="2972"/>
    </row>
    <row r="1419" spans="1:17" ht="13.5">
      <c r="A1419" s="3081"/>
      <c r="B1419" s="2951"/>
      <c r="C1419" s="2951"/>
      <c r="D1419" s="2951"/>
      <c r="E1419" s="2951"/>
      <c r="F1419" s="2818" t="str">
        <f>'Part IX A-Scoring Criteria'!F46</f>
        <v>Community or Recreational Center</v>
      </c>
      <c r="G1419" s="2818"/>
      <c r="H1419" s="2818"/>
      <c r="I1419" s="2818" t="str">
        <f>'Part IX A-Scoring Criteria'!I46</f>
        <v>YMCA</v>
      </c>
      <c r="J1419" s="2818"/>
      <c r="K1419" s="2818"/>
      <c r="L1419" s="3140">
        <f>'Part IX A-Scoring Criteria'!L46</f>
        <v>0.6</v>
      </c>
      <c r="M1419" s="2915"/>
      <c r="N1419" s="3139"/>
      <c r="O1419" s="3139"/>
      <c r="P1419" s="3139"/>
      <c r="Q1419" s="2972"/>
    </row>
    <row r="1420" spans="1:17" ht="13.5">
      <c r="A1420" s="3081"/>
      <c r="B1420" s="2951"/>
      <c r="C1420" s="2951"/>
      <c r="D1420" s="2951"/>
      <c r="E1420" s="2951"/>
      <c r="F1420" s="2818" t="str">
        <f>'Part IX A-Scoring Criteria'!F47</f>
        <v>Grocery store w/meat, dairy, &amp; produce</v>
      </c>
      <c r="G1420" s="2818"/>
      <c r="H1420" s="2818"/>
      <c r="I1420" s="2818" t="str">
        <f>'Part IX A-Scoring Criteria'!I47</f>
        <v>Winn Dixie</v>
      </c>
      <c r="J1420" s="2818"/>
      <c r="K1420" s="2818"/>
      <c r="L1420" s="3140">
        <f>'Part IX A-Scoring Criteria'!L47</f>
        <v>0.6</v>
      </c>
      <c r="M1420" s="2915"/>
      <c r="N1420" s="3139"/>
      <c r="O1420" s="3139"/>
      <c r="P1420" s="3139"/>
      <c r="Q1420" s="2972"/>
    </row>
    <row r="1421" spans="1:17" ht="16.5">
      <c r="A1421" s="3081" t="s">
        <v>788</v>
      </c>
      <c r="B1421" s="2934" t="s">
        <v>1969</v>
      </c>
      <c r="C1421" s="3117"/>
      <c r="D1421" s="3138"/>
      <c r="E1421" s="2718" t="s">
        <v>442</v>
      </c>
      <c r="F1421" s="3141"/>
      <c r="G1421" s="3141"/>
      <c r="H1421" s="3141"/>
      <c r="I1421" s="3117"/>
      <c r="J1421" s="3117"/>
      <c r="K1421" s="3117"/>
      <c r="L1421" s="3117"/>
      <c r="M1421" s="3028" t="s">
        <v>1297</v>
      </c>
      <c r="N1421" s="3003" t="s">
        <v>788</v>
      </c>
      <c r="O1421" s="2924">
        <f>'Part IX A-Scoring Criteria'!O48</f>
        <v>0</v>
      </c>
      <c r="P1421" s="2924">
        <f>'Part IX A-Scoring Criteria'!P48</f>
        <v>0</v>
      </c>
      <c r="Q1421" s="2972" t="s">
        <v>2875</v>
      </c>
    </row>
    <row r="1422" spans="1:17" ht="15">
      <c r="A1422" s="521"/>
      <c r="B1422" s="2994" t="s">
        <v>267</v>
      </c>
      <c r="C1422" s="521"/>
      <c r="D1422" s="525"/>
      <c r="E1422" s="525"/>
      <c r="F1422" s="525"/>
      <c r="G1422" s="525"/>
      <c r="H1422" s="522"/>
      <c r="I1422" s="522"/>
      <c r="J1422" s="522"/>
      <c r="K1422" s="522"/>
      <c r="L1422" s="3117"/>
      <c r="M1422" s="2915"/>
      <c r="N1422" s="2909"/>
      <c r="O1422" s="3113"/>
      <c r="P1422" s="2911"/>
      <c r="Q1422" s="3117"/>
    </row>
    <row r="1423" spans="1:17" ht="15.75">
      <c r="A1423" s="2969" t="str">
        <f>'Part IX A-Scoring Criteria'!A50</f>
        <v>The apartments are well located in Lowndes County just outside the city limits of Lake Park, Georgia.   There are no undesirable within 1/4 mile of the site and the site will receive the maximum points available for desirable activities.</v>
      </c>
      <c r="B1423" s="2969"/>
      <c r="C1423" s="2969"/>
      <c r="D1423" s="2969"/>
      <c r="E1423" s="2969"/>
      <c r="F1423" s="2969"/>
      <c r="G1423" s="2969"/>
      <c r="H1423" s="2969"/>
      <c r="I1423" s="2969"/>
      <c r="J1423" s="2969"/>
      <c r="K1423" s="2969"/>
      <c r="L1423" s="2969"/>
      <c r="M1423" s="2969"/>
      <c r="N1423" s="2969"/>
      <c r="O1423" s="2969"/>
      <c r="P1423" s="2969"/>
      <c r="Q1423" s="3118" t="s">
        <v>1313</v>
      </c>
    </row>
    <row r="1424" spans="1:17" ht="15">
      <c r="A1424" s="521"/>
      <c r="B1424" s="2994" t="s">
        <v>1959</v>
      </c>
      <c r="C1424" s="521"/>
      <c r="D1424" s="3034"/>
      <c r="E1424" s="3036"/>
      <c r="F1424" s="3036"/>
      <c r="G1424" s="3036"/>
      <c r="H1424" s="3036"/>
      <c r="I1424" s="3036"/>
      <c r="J1424" s="3036"/>
      <c r="K1424" s="3036"/>
      <c r="L1424" s="3036"/>
      <c r="M1424" s="3036"/>
      <c r="N1424" s="3136"/>
      <c r="O1424" s="3137"/>
      <c r="P1424" s="2924"/>
      <c r="Q1424" s="3125"/>
    </row>
    <row r="1425" spans="1:17" ht="15.75">
      <c r="A1425" s="2969">
        <f>'Part IX A-Scoring Criteria'!A52</f>
        <v>0</v>
      </c>
      <c r="B1425" s="2969"/>
      <c r="C1425" s="2969"/>
      <c r="D1425" s="2969"/>
      <c r="E1425" s="2969"/>
      <c r="F1425" s="2969"/>
      <c r="G1425" s="2969"/>
      <c r="H1425" s="2969"/>
      <c r="I1425" s="2969"/>
      <c r="J1425" s="2969"/>
      <c r="K1425" s="2969"/>
      <c r="L1425" s="2969"/>
      <c r="M1425" s="2969"/>
      <c r="N1425" s="2969"/>
      <c r="O1425" s="2969"/>
      <c r="P1425" s="2969"/>
      <c r="Q1425" s="3118" t="s">
        <v>1313</v>
      </c>
    </row>
    <row r="1426" spans="1:17">
      <c r="M1426" s="521"/>
      <c r="N1426" s="2915"/>
      <c r="O1426" s="2924"/>
      <c r="P1426" s="2924"/>
    </row>
    <row r="1427" spans="1:17" ht="15">
      <c r="A1427" s="3114" t="s">
        <v>1282</v>
      </c>
      <c r="B1427" s="3115" t="s">
        <v>2766</v>
      </c>
      <c r="C1427" s="3117"/>
      <c r="D1427" s="3138"/>
      <c r="E1427" s="3117"/>
      <c r="F1427" s="3117"/>
      <c r="G1427" s="3117"/>
      <c r="H1427" s="3121" t="s">
        <v>2824</v>
      </c>
      <c r="I1427" s="2994" t="s">
        <v>1975</v>
      </c>
      <c r="J1427" s="525"/>
      <c r="K1427" s="525"/>
      <c r="L1427" s="3117"/>
      <c r="M1427" s="2924">
        <v>5</v>
      </c>
      <c r="N1427" s="3003"/>
      <c r="O1427" s="3113">
        <f>'Part IX A-Scoring Criteria'!O54</f>
        <v>2</v>
      </c>
      <c r="P1427" s="3113">
        <f>'Part IX A-Scoring Criteria'!P54</f>
        <v>0</v>
      </c>
      <c r="Q1427" s="2924" t="s">
        <v>458</v>
      </c>
    </row>
    <row r="1428" spans="1:17" ht="15">
      <c r="A1428" s="3142" t="s">
        <v>3091</v>
      </c>
      <c r="B1428" s="3115"/>
      <c r="C1428" s="3117"/>
      <c r="D1428" s="3138"/>
      <c r="E1428" s="3117"/>
      <c r="F1428" s="3117"/>
      <c r="G1428" s="3117"/>
      <c r="H1428" s="2934" t="s">
        <v>3100</v>
      </c>
      <c r="I1428" s="3143"/>
      <c r="J1428" s="2934" t="str">
        <f>'Part I-Project Information'!$H$90</f>
        <v>Rural</v>
      </c>
      <c r="K1428" s="3117"/>
      <c r="M1428" s="2924"/>
      <c r="N1428" s="2924"/>
      <c r="O1428" s="2924"/>
      <c r="P1428" s="2924"/>
      <c r="Q1428" s="2924"/>
    </row>
    <row r="1429" spans="1:17">
      <c r="A1429" s="3071" t="s">
        <v>2080</v>
      </c>
      <c r="B1429" s="2914" t="s">
        <v>4625</v>
      </c>
      <c r="C1429" s="2914"/>
      <c r="D1429" s="2914"/>
      <c r="E1429" s="2914"/>
      <c r="F1429" s="2914"/>
      <c r="G1429" s="2914"/>
      <c r="H1429" s="2914"/>
      <c r="I1429" s="2951" t="s">
        <v>4626</v>
      </c>
      <c r="J1429" s="2951"/>
      <c r="K1429" s="2951"/>
      <c r="L1429" s="2951"/>
      <c r="M1429" s="3144">
        <v>5</v>
      </c>
      <c r="N1429" s="3145" t="s">
        <v>2080</v>
      </c>
      <c r="O1429" s="3146">
        <f>'Part IX A-Scoring Criteria'!O56</f>
        <v>0</v>
      </c>
      <c r="P1429" s="3146">
        <f>'Part IX A-Scoring Criteria'!P56</f>
        <v>0</v>
      </c>
      <c r="Q1429" s="3147" t="str">
        <f>IF(OR($O1429=$M1429,$O1429=0,$O1429=""),"","* * Check Score! * *")</f>
        <v/>
      </c>
    </row>
    <row r="1430" spans="1:17">
      <c r="A1430" s="3071" t="s">
        <v>2083</v>
      </c>
      <c r="B1430" s="3148" t="s">
        <v>4627</v>
      </c>
      <c r="C1430" s="3148"/>
      <c r="D1430" s="3148"/>
      <c r="E1430" s="3148"/>
      <c r="F1430" s="3148"/>
      <c r="G1430" s="3148"/>
      <c r="H1430" s="3148"/>
      <c r="I1430" s="2810" t="str">
        <f>'Part IX A-Scoring Criteria'!I57</f>
        <v>Enter transit agency name</v>
      </c>
      <c r="J1430" s="2810"/>
      <c r="K1430" s="2810"/>
      <c r="L1430" s="3149" t="str">
        <f>'Part IX A-Scoring Criteria'!L57</f>
        <v>Enter Agency phone</v>
      </c>
      <c r="M1430" s="3144">
        <v>4</v>
      </c>
      <c r="N1430" s="3078" t="s">
        <v>2083</v>
      </c>
      <c r="O1430" s="3146">
        <f>'Part IX A-Scoring Criteria'!O57</f>
        <v>0</v>
      </c>
      <c r="P1430" s="3146">
        <f>'Part IX A-Scoring Criteria'!P57</f>
        <v>0</v>
      </c>
      <c r="Q1430" s="3147" t="str">
        <f>IF(OR($O1430=$M1430,$O1430=0,$O1430=""),"","* * Check Score! * *")</f>
        <v/>
      </c>
    </row>
    <row r="1431" spans="1:17">
      <c r="A1431" s="3081" t="s">
        <v>788</v>
      </c>
      <c r="B1431" s="525" t="s">
        <v>4628</v>
      </c>
      <c r="C1431" s="3148"/>
      <c r="D1431" s="3148"/>
      <c r="E1431" s="3148"/>
      <c r="F1431" s="3148"/>
      <c r="G1431" s="3148"/>
      <c r="H1431" s="3148"/>
      <c r="I1431" s="2801" t="str">
        <f>'Part IX A-Scoring Criteria'!I58</f>
        <v>Enter specific URL/webpage showing established schedule from transit agency website</v>
      </c>
      <c r="J1431" s="2801"/>
      <c r="K1431" s="2801"/>
      <c r="L1431" s="2801"/>
      <c r="M1431" s="3144">
        <v>3</v>
      </c>
      <c r="N1431" s="3139" t="s">
        <v>788</v>
      </c>
      <c r="O1431" s="3146">
        <f>'Part IX A-Scoring Criteria'!O58</f>
        <v>0</v>
      </c>
      <c r="P1431" s="3146">
        <f>'Part IX A-Scoring Criteria'!P58</f>
        <v>0</v>
      </c>
      <c r="Q1431" s="3147" t="str">
        <f>IF(OR($O1431=$M1431,$O1431=0,$O1431=""),"","* * Check Score! * *")</f>
        <v/>
      </c>
    </row>
    <row r="1432" spans="1:17" ht="15">
      <c r="A1432" s="3081" t="s">
        <v>2215</v>
      </c>
      <c r="B1432" s="525" t="s">
        <v>4629</v>
      </c>
      <c r="C1432" s="3117"/>
      <c r="D1432" s="3117"/>
      <c r="E1432" s="3138"/>
      <c r="F1432" s="3117"/>
      <c r="G1432" s="3117"/>
      <c r="H1432" s="3117"/>
      <c r="I1432" s="2801"/>
      <c r="J1432" s="2801"/>
      <c r="K1432" s="2801"/>
      <c r="L1432" s="2801"/>
      <c r="M1432" s="2915">
        <v>2</v>
      </c>
      <c r="N1432" s="3139" t="s">
        <v>2215</v>
      </c>
      <c r="O1432" s="3146">
        <f>'Part IX A-Scoring Criteria'!O59</f>
        <v>0</v>
      </c>
      <c r="P1432" s="3146">
        <f>'Part IX A-Scoring Criteria'!P59</f>
        <v>0</v>
      </c>
      <c r="Q1432" s="3150" t="str">
        <f>IF(OR($O1432=$M1432,$O1432=0,$O1432=""),"","* * Check Score! * *")</f>
        <v/>
      </c>
    </row>
    <row r="1433" spans="1:17" ht="15">
      <c r="A1433" s="3081" t="s">
        <v>1822</v>
      </c>
      <c r="B1433" s="3148" t="s">
        <v>4630</v>
      </c>
      <c r="C1433" s="3117"/>
      <c r="D1433" s="3117"/>
      <c r="E1433" s="3138"/>
      <c r="F1433" s="3117"/>
      <c r="G1433" s="3117"/>
      <c r="H1433" s="3117"/>
      <c r="I1433" s="2801" t="str">
        <f>'Part IX A-Scoring Criteria'!I60</f>
        <v>Enter specific URL/webpage showing established routes from transit agency website (if different)</v>
      </c>
      <c r="J1433" s="2801"/>
      <c r="K1433" s="2801"/>
      <c r="L1433" s="2801"/>
      <c r="M1433" s="2915">
        <v>1</v>
      </c>
      <c r="N1433" s="3139" t="s">
        <v>1822</v>
      </c>
      <c r="O1433" s="3146">
        <f>'Part IX A-Scoring Criteria'!O60</f>
        <v>0</v>
      </c>
      <c r="P1433" s="3146">
        <f>'Part IX A-Scoring Criteria'!P60</f>
        <v>0</v>
      </c>
      <c r="Q1433" s="3150" t="str">
        <f>IF(OR($O1433=$M1433,$O1433=0,$O1433=""),"","* * Check Score! * *")</f>
        <v/>
      </c>
    </row>
    <row r="1434" spans="1:17" ht="15">
      <c r="A1434" s="3142" t="s">
        <v>3093</v>
      </c>
      <c r="B1434" s="2934"/>
      <c r="C1434" s="3117"/>
      <c r="D1434" s="3117"/>
      <c r="E1434" s="3138"/>
      <c r="F1434" s="3117"/>
      <c r="G1434" s="3117"/>
      <c r="H1434" s="3117"/>
      <c r="I1434" s="2801"/>
      <c r="J1434" s="2801"/>
      <c r="K1434" s="2801"/>
      <c r="L1434" s="2801"/>
      <c r="M1434" s="2915"/>
      <c r="N1434" s="2915"/>
      <c r="O1434" s="2915"/>
      <c r="P1434" s="2915"/>
      <c r="Q1434" s="3150"/>
    </row>
    <row r="1435" spans="1:17">
      <c r="A1435" s="3081" t="s">
        <v>1823</v>
      </c>
      <c r="B1435" s="2934" t="s">
        <v>4631</v>
      </c>
      <c r="C1435" s="2934"/>
      <c r="D1435" s="2934"/>
      <c r="E1435" s="2934"/>
      <c r="F1435" s="2934"/>
      <c r="G1435" s="2934"/>
      <c r="H1435" s="2934"/>
      <c r="I1435" s="2934"/>
      <c r="J1435" s="2934"/>
      <c r="K1435" s="2934"/>
      <c r="L1435" s="2934"/>
      <c r="M1435" s="2915">
        <v>2</v>
      </c>
      <c r="N1435" s="3139" t="s">
        <v>1823</v>
      </c>
      <c r="O1435" s="3146">
        <f>'Part IX A-Scoring Criteria'!O62</f>
        <v>2</v>
      </c>
      <c r="P1435" s="3146">
        <f>'Part IX A-Scoring Criteria'!P62</f>
        <v>0</v>
      </c>
      <c r="Q1435" s="3150" t="str">
        <f>IF(OR($O1435=$M1435,$O1435=0,$O1435=""),"","* * Check Score! * *")</f>
        <v/>
      </c>
    </row>
    <row r="1436" spans="1:17" ht="15">
      <c r="A1436" s="522" t="s">
        <v>4375</v>
      </c>
      <c r="B1436" s="2934"/>
      <c r="C1436" s="3117"/>
      <c r="D1436" s="3117"/>
      <c r="E1436" s="3138"/>
      <c r="F1436" s="3117"/>
      <c r="G1436" s="3117"/>
      <c r="H1436" s="3117"/>
      <c r="I1436" s="3117"/>
      <c r="J1436" s="3117"/>
      <c r="K1436" s="525"/>
      <c r="L1436" s="3117"/>
      <c r="M1436" s="2915"/>
      <c r="N1436" s="2915"/>
      <c r="O1436" s="2915"/>
      <c r="P1436" s="2915"/>
      <c r="Q1436" s="3150"/>
    </row>
    <row r="1437" spans="1:17" ht="15">
      <c r="A1437" s="521"/>
      <c r="B1437" s="2994" t="s">
        <v>267</v>
      </c>
      <c r="C1437" s="521"/>
      <c r="D1437" s="525"/>
      <c r="E1437" s="525"/>
      <c r="F1437" s="525"/>
      <c r="G1437" s="525"/>
      <c r="H1437" s="522"/>
      <c r="I1437" s="522"/>
      <c r="J1437" s="522"/>
      <c r="K1437" s="522"/>
      <c r="L1437" s="3151"/>
      <c r="M1437" s="2915"/>
      <c r="N1437" s="2915"/>
      <c r="O1437" s="3113"/>
      <c r="P1437" s="2924"/>
      <c r="Q1437" s="3151"/>
    </row>
    <row r="1438" spans="1:17" ht="15.75">
      <c r="A1438" s="2969" t="str">
        <f>'Part IX A-Scoring Criteria'!A65</f>
        <v>Documentation included for on-call transit service provided by Mids, Incorporated.</v>
      </c>
      <c r="B1438" s="2969"/>
      <c r="C1438" s="2969"/>
      <c r="D1438" s="2969"/>
      <c r="E1438" s="2969"/>
      <c r="F1438" s="2969"/>
      <c r="G1438" s="2969"/>
      <c r="H1438" s="2969"/>
      <c r="I1438" s="2969"/>
      <c r="J1438" s="2969"/>
      <c r="K1438" s="2969"/>
      <c r="L1438" s="2969"/>
      <c r="M1438" s="2969"/>
      <c r="N1438" s="2969"/>
      <c r="O1438" s="2969"/>
      <c r="P1438" s="2969"/>
      <c r="Q1438" s="3118" t="s">
        <v>1313</v>
      </c>
    </row>
    <row r="1439" spans="1:17" ht="15">
      <c r="A1439" s="521"/>
      <c r="B1439" s="2994" t="s">
        <v>1959</v>
      </c>
      <c r="C1439" s="521"/>
      <c r="D1439" s="3034"/>
      <c r="E1439" s="3036"/>
      <c r="F1439" s="3036"/>
      <c r="G1439" s="3036"/>
      <c r="H1439" s="3036"/>
      <c r="I1439" s="3036"/>
      <c r="J1439" s="3036"/>
      <c r="K1439" s="3036"/>
      <c r="L1439" s="3036"/>
      <c r="M1439" s="3036"/>
      <c r="N1439" s="3136"/>
      <c r="O1439" s="3137"/>
      <c r="P1439" s="2924"/>
      <c r="Q1439" s="3125"/>
    </row>
    <row r="1440" spans="1:17" ht="15.75">
      <c r="A1440" s="2969">
        <f>'Part IX A-Scoring Criteria'!A67</f>
        <v>0</v>
      </c>
      <c r="B1440" s="2969"/>
      <c r="C1440" s="2969"/>
      <c r="D1440" s="2969"/>
      <c r="E1440" s="2969"/>
      <c r="F1440" s="2969"/>
      <c r="G1440" s="2969"/>
      <c r="H1440" s="2969"/>
      <c r="I1440" s="2969"/>
      <c r="J1440" s="2969"/>
      <c r="K1440" s="2969"/>
      <c r="L1440" s="2969"/>
      <c r="M1440" s="2969"/>
      <c r="N1440" s="2969"/>
      <c r="O1440" s="2969"/>
      <c r="P1440" s="2969"/>
      <c r="Q1440" s="3118" t="s">
        <v>1313</v>
      </c>
    </row>
    <row r="1441" spans="1:17" ht="15">
      <c r="A1441" s="2948"/>
      <c r="B1441" s="3152"/>
      <c r="C1441" s="3117"/>
      <c r="D1441" s="3117"/>
      <c r="E1441" s="3117"/>
      <c r="F1441" s="3117"/>
      <c r="G1441" s="3138"/>
      <c r="H1441" s="3117"/>
      <c r="I1441" s="3117"/>
      <c r="J1441" s="525"/>
      <c r="K1441" s="525"/>
      <c r="L1441" s="3117"/>
      <c r="M1441" s="3151"/>
      <c r="N1441" s="3152"/>
      <c r="O1441" s="3151"/>
      <c r="P1441" s="3151"/>
      <c r="Q1441" s="3117"/>
    </row>
    <row r="1442" spans="1:17" ht="15">
      <c r="A1442" s="3114" t="s">
        <v>1283</v>
      </c>
      <c r="B1442" s="3115" t="s">
        <v>2767</v>
      </c>
      <c r="C1442" s="3117"/>
      <c r="D1442" s="3138"/>
      <c r="E1442" s="522" t="s">
        <v>1450</v>
      </c>
      <c r="F1442" s="3117"/>
      <c r="G1442" s="3117"/>
      <c r="H1442" s="3117"/>
      <c r="I1442" s="2994" t="s">
        <v>1975</v>
      </c>
      <c r="J1442" s="3117"/>
      <c r="K1442" s="3117"/>
      <c r="L1442" s="3117"/>
      <c r="M1442" s="2924">
        <v>2</v>
      </c>
      <c r="N1442" s="3153" t="str">
        <f>IF(OR($O1442=$M1442,$O1442=0,$O1442=""),"","***")</f>
        <v/>
      </c>
      <c r="O1442" s="2924">
        <f>'Part IX A-Scoring Criteria'!O69</f>
        <v>0</v>
      </c>
      <c r="P1442" s="2924">
        <f>'Part IX A-Scoring Criteria'!P69</f>
        <v>0</v>
      </c>
      <c r="Q1442" s="2924" t="s">
        <v>458</v>
      </c>
    </row>
    <row r="1443" spans="1:17" ht="15">
      <c r="A1443" s="3071" t="s">
        <v>2080</v>
      </c>
      <c r="B1443" s="566" t="s">
        <v>2754</v>
      </c>
      <c r="C1443" s="3117"/>
      <c r="D1443" s="3138"/>
      <c r="E1443" s="522"/>
      <c r="F1443" s="3117"/>
      <c r="G1443" s="3117"/>
      <c r="H1443" s="3117"/>
      <c r="I1443" s="3117"/>
      <c r="K1443" s="2985">
        <f>'Part IX A-Scoring Criteria'!K70</f>
        <v>0</v>
      </c>
      <c r="L1443" s="2985"/>
      <c r="M1443" s="2985"/>
      <c r="N1443" s="3117"/>
      <c r="O1443" s="3117"/>
      <c r="P1443" s="3003"/>
      <c r="Q1443" s="2924"/>
    </row>
    <row r="1444" spans="1:17" ht="15">
      <c r="A1444" s="3071" t="s">
        <v>2083</v>
      </c>
      <c r="B1444" s="566" t="s">
        <v>3989</v>
      </c>
      <c r="C1444" s="3117"/>
      <c r="D1444" s="3138"/>
      <c r="E1444" s="522"/>
      <c r="F1444" s="3117"/>
      <c r="G1444" s="3117"/>
      <c r="H1444" s="3117"/>
      <c r="I1444" s="3117"/>
      <c r="K1444" s="2985">
        <f>'Part IX A-Scoring Criteria'!K71</f>
        <v>0</v>
      </c>
      <c r="L1444" s="2985"/>
      <c r="M1444" s="2985"/>
      <c r="N1444" s="3117"/>
      <c r="O1444" s="3092" t="s">
        <v>2635</v>
      </c>
      <c r="P1444" s="3092" t="s">
        <v>2635</v>
      </c>
      <c r="Q1444" s="2924"/>
    </row>
    <row r="1445" spans="1:17" ht="15">
      <c r="A1445" s="3081" t="s">
        <v>788</v>
      </c>
      <c r="B1445" s="566" t="s">
        <v>4195</v>
      </c>
      <c r="C1445" s="3117"/>
      <c r="D1445" s="3138"/>
      <c r="E1445" s="522"/>
      <c r="F1445" s="3117"/>
      <c r="G1445" s="3117"/>
      <c r="H1445" s="3117"/>
      <c r="I1445" s="3117"/>
      <c r="J1445" s="3117"/>
      <c r="K1445" s="3117"/>
      <c r="L1445" s="3117"/>
      <c r="M1445" s="3117"/>
      <c r="N1445" s="3139" t="s">
        <v>788</v>
      </c>
      <c r="O1445" s="3146">
        <f>'Part IX A-Scoring Criteria'!O72</f>
        <v>0</v>
      </c>
      <c r="P1445" s="3146">
        <f>'Part IX A-Scoring Criteria'!P72</f>
        <v>0</v>
      </c>
      <c r="Q1445" s="2924"/>
    </row>
    <row r="1446" spans="1:17" ht="15">
      <c r="A1446" s="521"/>
      <c r="B1446" s="2994" t="s">
        <v>267</v>
      </c>
      <c r="C1446" s="521"/>
      <c r="D1446" s="525"/>
      <c r="E1446" s="525"/>
      <c r="F1446" s="525"/>
      <c r="G1446" s="525"/>
      <c r="H1446" s="3151"/>
      <c r="I1446" s="522"/>
      <c r="J1446" s="522"/>
      <c r="K1446" s="522"/>
      <c r="L1446" s="3151"/>
      <c r="M1446" s="2915"/>
      <c r="N1446" s="2915"/>
      <c r="O1446" s="3113"/>
      <c r="P1446" s="2924"/>
      <c r="Q1446" s="3151"/>
    </row>
    <row r="1447" spans="1:17" ht="15.75">
      <c r="A1447" s="2969" t="str">
        <f>'Part IX A-Scoring Criteria'!A74</f>
        <v>Site is not a Brownfield</v>
      </c>
      <c r="B1447" s="2969"/>
      <c r="C1447" s="2969"/>
      <c r="D1447" s="2969"/>
      <c r="E1447" s="2969"/>
      <c r="F1447" s="2969"/>
      <c r="G1447" s="2969"/>
      <c r="H1447" s="2969"/>
      <c r="I1447" s="2969"/>
      <c r="J1447" s="2969"/>
      <c r="K1447" s="2969"/>
      <c r="L1447" s="2969"/>
      <c r="M1447" s="2969"/>
      <c r="N1447" s="2969"/>
      <c r="O1447" s="2969"/>
      <c r="P1447" s="2969"/>
      <c r="Q1447" s="3118" t="s">
        <v>1313</v>
      </c>
    </row>
    <row r="1448" spans="1:17" ht="15">
      <c r="A1448" s="521"/>
      <c r="B1448" s="2994" t="s">
        <v>1959</v>
      </c>
      <c r="C1448" s="521"/>
      <c r="D1448" s="3034"/>
      <c r="E1448" s="3036"/>
      <c r="F1448" s="3036"/>
      <c r="G1448" s="3036"/>
      <c r="H1448" s="3036"/>
      <c r="I1448" s="3036"/>
      <c r="J1448" s="3036"/>
      <c r="K1448" s="3036"/>
      <c r="L1448" s="3036"/>
      <c r="M1448" s="3036"/>
      <c r="N1448" s="3136"/>
      <c r="O1448" s="3137"/>
      <c r="P1448" s="2924"/>
      <c r="Q1448" s="3125"/>
    </row>
    <row r="1449" spans="1:17" ht="15.75">
      <c r="A1449" s="2969">
        <f>'Part IX A-Scoring Criteria'!A76</f>
        <v>0</v>
      </c>
      <c r="B1449" s="2969"/>
      <c r="C1449" s="2969"/>
      <c r="D1449" s="2969"/>
      <c r="E1449" s="2969"/>
      <c r="F1449" s="2969"/>
      <c r="G1449" s="2969"/>
      <c r="H1449" s="2969"/>
      <c r="I1449" s="2969"/>
      <c r="J1449" s="2969"/>
      <c r="K1449" s="2969"/>
      <c r="L1449" s="2969"/>
      <c r="M1449" s="2969"/>
      <c r="N1449" s="2969"/>
      <c r="O1449" s="2969"/>
      <c r="P1449" s="2969"/>
      <c r="Q1449" s="3118" t="s">
        <v>1313</v>
      </c>
    </row>
    <row r="1450" spans="1:17">
      <c r="N1450" s="2909"/>
      <c r="O1450" s="2911"/>
      <c r="P1450" s="2911"/>
    </row>
    <row r="1451" spans="1:17" ht="15">
      <c r="A1451" s="3114" t="s">
        <v>1977</v>
      </c>
      <c r="B1451" s="3115" t="s">
        <v>223</v>
      </c>
      <c r="C1451" s="3117"/>
      <c r="D1451" s="522"/>
      <c r="E1451" s="522"/>
      <c r="F1451" s="3117"/>
      <c r="G1451" s="3117"/>
      <c r="H1451" s="3117"/>
      <c r="I1451" s="3117"/>
      <c r="J1451" s="3117"/>
      <c r="K1451" s="3117"/>
      <c r="L1451" s="3117"/>
      <c r="M1451" s="2924">
        <v>3</v>
      </c>
      <c r="N1451" s="3153"/>
      <c r="O1451" s="3113">
        <f>'Part IX A-Scoring Criteria'!O78</f>
        <v>3</v>
      </c>
      <c r="P1451" s="3113">
        <f>'Part IX A-Scoring Criteria'!P78</f>
        <v>0</v>
      </c>
      <c r="Q1451" s="2924" t="s">
        <v>458</v>
      </c>
    </row>
    <row r="1452" spans="1:17" ht="15">
      <c r="A1452" s="3114"/>
      <c r="B1452" s="3031" t="s">
        <v>4632</v>
      </c>
      <c r="C1452" s="3117"/>
      <c r="D1452" s="3117"/>
      <c r="E1452" s="3117"/>
      <c r="F1452" s="3117"/>
      <c r="G1452" s="3117"/>
      <c r="H1452" s="3117"/>
      <c r="I1452" s="2895" t="str">
        <f>'Part IX A-Scoring Criteria'!I79</f>
        <v>Earth Craft House Multifamily</v>
      </c>
      <c r="J1452" s="2895"/>
      <c r="K1452" s="2895"/>
      <c r="L1452" s="3117"/>
      <c r="M1452" s="2924"/>
      <c r="N1452" s="3153"/>
      <c r="O1452" s="2915"/>
      <c r="P1452" s="2915"/>
      <c r="Q1452" s="2924"/>
    </row>
    <row r="1453" spans="1:17" ht="15">
      <c r="A1453" s="3114"/>
      <c r="B1453" s="3027" t="s">
        <v>3100</v>
      </c>
      <c r="C1453" s="3117"/>
      <c r="D1453" s="3117"/>
      <c r="E1453" s="3117"/>
      <c r="F1453" s="3117"/>
      <c r="G1453" s="3138"/>
      <c r="H1453" s="3138"/>
      <c r="I1453" s="3027" t="str">
        <f>'Part I-Project Information'!$H$90</f>
        <v>Rural</v>
      </c>
      <c r="J1453" s="3117"/>
      <c r="L1453" s="3117"/>
      <c r="M1453" s="2924"/>
      <c r="N1453" s="3153"/>
      <c r="O1453" s="2915"/>
      <c r="P1453" s="2915"/>
      <c r="Q1453" s="2924"/>
    </row>
    <row r="1454" spans="1:17">
      <c r="A1454" s="3081" t="s">
        <v>2080</v>
      </c>
      <c r="B1454" s="2934" t="s">
        <v>2436</v>
      </c>
      <c r="D1454" s="521"/>
      <c r="M1454" s="2915">
        <v>3</v>
      </c>
      <c r="O1454" s="3092" t="s">
        <v>2635</v>
      </c>
      <c r="P1454" s="3092" t="s">
        <v>2635</v>
      </c>
    </row>
    <row r="1455" spans="1:17" ht="15">
      <c r="A1455" s="3117"/>
      <c r="B1455" s="3154" t="s">
        <v>2846</v>
      </c>
      <c r="C1455" s="3117"/>
      <c r="D1455" s="3138"/>
      <c r="E1455" s="3117"/>
      <c r="F1455" s="3117"/>
      <c r="G1455" s="3117"/>
      <c r="H1455" s="3117"/>
      <c r="I1455" s="3117"/>
      <c r="J1455" s="3117"/>
      <c r="K1455" s="3117"/>
      <c r="L1455" s="3117"/>
      <c r="M1455" s="2924"/>
      <c r="N1455" s="3139" t="s">
        <v>2080</v>
      </c>
      <c r="O1455" s="3146" t="str">
        <f>'Part IX A-Scoring Criteria'!O82</f>
        <v>N/a</v>
      </c>
      <c r="P1455" s="3146">
        <f>'Part IX A-Scoring Criteria'!P82</f>
        <v>0</v>
      </c>
      <c r="Q1455" s="2924"/>
    </row>
    <row r="1456" spans="1:17">
      <c r="B1456" s="3155" t="s">
        <v>2084</v>
      </c>
      <c r="C1456" s="3084" t="s">
        <v>2755</v>
      </c>
    </row>
    <row r="1457" spans="1:17">
      <c r="A1457" s="3156" t="str">
        <f>IF(AND(O1457="",$I$79="Earth Craft Communities"), "X","")</f>
        <v/>
      </c>
      <c r="B1457" s="3078"/>
      <c r="C1457" s="2969" t="s">
        <v>2757</v>
      </c>
      <c r="D1457" s="2969"/>
      <c r="E1457" s="2969"/>
      <c r="F1457" s="2969"/>
      <c r="G1457" s="2969"/>
      <c r="H1457" s="2969"/>
      <c r="I1457" s="2969"/>
      <c r="J1457" s="2969"/>
      <c r="K1457" s="2969"/>
      <c r="L1457" s="2969"/>
      <c r="M1457" s="2946" t="str">
        <f>IF(AND($I$103="Stable Communities &lt; 10%",O1457=""), "X","")</f>
        <v/>
      </c>
      <c r="N1457" s="3157" t="s">
        <v>2084</v>
      </c>
      <c r="O1457" s="3146">
        <f>'Part IX A-Scoring Criteria'!O84</f>
        <v>0</v>
      </c>
      <c r="P1457" s="3146">
        <f>'Part IX A-Scoring Criteria'!P84</f>
        <v>0</v>
      </c>
    </row>
    <row r="1458" spans="1:17">
      <c r="B1458" s="3155" t="s">
        <v>2086</v>
      </c>
      <c r="C1458" s="3084" t="s">
        <v>2756</v>
      </c>
      <c r="M1458" s="2948"/>
      <c r="O1458" s="3092" t="s">
        <v>2635</v>
      </c>
      <c r="P1458" s="3092" t="s">
        <v>2635</v>
      </c>
    </row>
    <row r="1459" spans="1:17">
      <c r="A1459" s="3156" t="str">
        <f>IF(AND(O1459="",$I$79="LEED-ND"), "X","")</f>
        <v/>
      </c>
      <c r="B1459" s="3078"/>
      <c r="C1459" s="2969" t="s">
        <v>2906</v>
      </c>
      <c r="D1459" s="2969"/>
      <c r="E1459" s="2969"/>
      <c r="F1459" s="2969"/>
      <c r="G1459" s="2969"/>
      <c r="H1459" s="2969"/>
      <c r="I1459" s="2969"/>
      <c r="J1459" s="2969"/>
      <c r="K1459" s="2969"/>
      <c r="L1459" s="2969"/>
      <c r="M1459" s="2946" t="str">
        <f>IF(AND($I$103="Stable Communities &lt; 10%",O1459=""), "X","")</f>
        <v/>
      </c>
      <c r="N1459" s="3157" t="s">
        <v>2086</v>
      </c>
      <c r="O1459" s="3146">
        <f>'Part IX A-Scoring Criteria'!O86</f>
        <v>0</v>
      </c>
      <c r="P1459" s="3146">
        <f>'Part IX A-Scoring Criteria'!P86</f>
        <v>0</v>
      </c>
    </row>
    <row r="1460" spans="1:17">
      <c r="A1460" s="3081" t="s">
        <v>2083</v>
      </c>
      <c r="B1460" s="2934" t="s">
        <v>323</v>
      </c>
      <c r="D1460" s="521"/>
      <c r="E1460" s="521"/>
      <c r="F1460" s="521"/>
      <c r="M1460" s="2915">
        <v>2</v>
      </c>
      <c r="N1460" s="3139" t="s">
        <v>2083</v>
      </c>
      <c r="O1460" s="3092" t="s">
        <v>2635</v>
      </c>
      <c r="P1460" s="3092" t="s">
        <v>2635</v>
      </c>
    </row>
    <row r="1461" spans="1:17" ht="15">
      <c r="A1461" s="2911" t="str">
        <f>IF(AND(O1461="",OR($I$79="Earth Craft House Single Family",$I$79="Earth Craft House Multifamily",$I$79="Earth Craft House Renovation",$I$79="EF Green Communities",$I$79="LEED for Homes",$I$79="NAHB Natl Green Bdlg Stds",$I$79="EnergyStar v3")), "X","")</f>
        <v/>
      </c>
      <c r="B1461" s="3157" t="s">
        <v>2084</v>
      </c>
      <c r="C1461" s="3091" t="s">
        <v>2910</v>
      </c>
      <c r="D1461" s="3138"/>
      <c r="E1461" s="3117"/>
      <c r="F1461" s="3117"/>
      <c r="G1461" s="3117"/>
      <c r="H1461" s="3117"/>
      <c r="I1461" s="3117"/>
      <c r="J1461" s="3117"/>
      <c r="K1461" s="3117"/>
      <c r="L1461" s="3117"/>
      <c r="M1461" s="2924"/>
      <c r="N1461" s="3157" t="s">
        <v>2084</v>
      </c>
      <c r="O1461" s="3146" t="str">
        <f>'Part IX A-Scoring Criteria'!O88</f>
        <v>Yes</v>
      </c>
      <c r="P1461" s="3146">
        <f>'Part IX A-Scoring Criteria'!P88</f>
        <v>0</v>
      </c>
      <c r="Q1461" s="2924"/>
    </row>
    <row r="1462" spans="1:17" ht="15">
      <c r="A1462" s="2911" t="str">
        <f>IF(AND(O1462="",OR($I$79="Earth Craft House Single Family",$I$79="Earth Craft House Multifamily",$I$79="Earth Craft House Renovation",$I$79="EF Green Communities",$I$79="LEED for Homes",$I$79="NAHB Natl Green Bdlg Stds",$I$79="EnergyStar v3")), "X","")</f>
        <v/>
      </c>
      <c r="B1462" s="3157" t="s">
        <v>2086</v>
      </c>
      <c r="C1462" s="3091" t="s">
        <v>2907</v>
      </c>
      <c r="D1462" s="3138"/>
      <c r="E1462" s="3117"/>
      <c r="F1462" s="3117"/>
      <c r="G1462" s="3117"/>
      <c r="H1462" s="3117"/>
      <c r="I1462" s="3117"/>
      <c r="J1462" s="3117"/>
      <c r="K1462" s="3117"/>
      <c r="L1462" s="3117"/>
      <c r="M1462" s="2924"/>
      <c r="N1462" s="3157" t="s">
        <v>2086</v>
      </c>
      <c r="O1462" s="3146" t="str">
        <f>'Part IX A-Scoring Criteria'!O89</f>
        <v>Yes</v>
      </c>
      <c r="P1462" s="3146">
        <f>'Part IX A-Scoring Criteria'!P89</f>
        <v>0</v>
      </c>
      <c r="Q1462" s="2924"/>
    </row>
    <row r="1463" spans="1:17" ht="15">
      <c r="A1463" s="2911" t="str">
        <f>IF(AND(O1463="",OR($I$79="Earth Craft House Single Family",$I$79="Earth Craft House Multifamily",$I$79="Earth Craft House Renovation",$I$79="EF Green Communities",$I$79="LEED for Homes",$I$79="NAHB Natl Green Bdlg Stds",$I$79="EnergyStar v3")), "X","")</f>
        <v/>
      </c>
      <c r="B1463" s="3157" t="s">
        <v>2660</v>
      </c>
      <c r="C1463" s="3091" t="s">
        <v>2908</v>
      </c>
      <c r="D1463" s="3138"/>
      <c r="E1463" s="3117"/>
      <c r="F1463" s="3117"/>
      <c r="G1463" s="3117"/>
      <c r="H1463" s="3117"/>
      <c r="I1463" s="3117"/>
      <c r="J1463" s="3117"/>
      <c r="K1463" s="3117"/>
      <c r="L1463" s="3117"/>
      <c r="M1463" s="2924"/>
      <c r="N1463" s="3157" t="s">
        <v>2660</v>
      </c>
      <c r="O1463" s="3146" t="str">
        <f>'Part IX A-Scoring Criteria'!O90</f>
        <v>Yes</v>
      </c>
      <c r="P1463" s="3146">
        <f>'Part IX A-Scoring Criteria'!P90</f>
        <v>0</v>
      </c>
      <c r="Q1463" s="2924"/>
    </row>
    <row r="1464" spans="1:17" ht="15">
      <c r="A1464" s="2911" t="str">
        <f>IF(AND(O1464="",OR($I$79="Earth Craft House Single Family",$I$79="Earth Craft House Multifamily",$I$79="Earth Craft House Renovation",$I$79="EF Green Communities",$I$79="LEED for Homes",$I$79="NAHB Natl Green Bdlg Stds",$I$79="EnergyStar v3")), "X","")</f>
        <v/>
      </c>
      <c r="B1464" s="3157" t="s">
        <v>1282</v>
      </c>
      <c r="C1464" s="3091" t="s">
        <v>2909</v>
      </c>
      <c r="D1464" s="3138"/>
      <c r="E1464" s="3117"/>
      <c r="F1464" s="3117"/>
      <c r="G1464" s="3117"/>
      <c r="H1464" s="3117"/>
      <c r="I1464" s="3117"/>
      <c r="J1464" s="3117"/>
      <c r="K1464" s="3117"/>
      <c r="L1464" s="3117"/>
      <c r="M1464" s="2924"/>
      <c r="N1464" s="3157" t="s">
        <v>1282</v>
      </c>
      <c r="O1464" s="3146" t="str">
        <f>'Part IX A-Scoring Criteria'!O91</f>
        <v>Yes</v>
      </c>
      <c r="P1464" s="3146">
        <f>'Part IX A-Scoring Criteria'!P91</f>
        <v>0</v>
      </c>
      <c r="Q1464" s="2924"/>
    </row>
    <row r="1465" spans="1:17">
      <c r="B1465" s="3078"/>
      <c r="E1465" s="3068"/>
      <c r="F1465" s="3068"/>
      <c r="I1465" s="3068"/>
      <c r="J1465" s="3068"/>
      <c r="K1465" s="3068"/>
      <c r="M1465" s="2946"/>
      <c r="N1465" s="2946"/>
      <c r="O1465" s="2946"/>
      <c r="P1465" s="2946"/>
    </row>
    <row r="1466" spans="1:17" ht="13.5">
      <c r="A1466" s="3081" t="s">
        <v>788</v>
      </c>
      <c r="B1466" s="2934" t="s">
        <v>3850</v>
      </c>
      <c r="D1466" s="521"/>
      <c r="E1466" s="521"/>
      <c r="I1466" s="2985" t="s">
        <v>4058</v>
      </c>
      <c r="J1466" s="2985"/>
      <c r="K1466" s="2985"/>
      <c r="L1466" s="2985"/>
      <c r="M1466" s="2915">
        <v>1</v>
      </c>
      <c r="N1466" s="3139" t="s">
        <v>788</v>
      </c>
      <c r="O1466" s="2924">
        <f>'Part IX A-Scoring Criteria'!O93</f>
        <v>1</v>
      </c>
      <c r="P1466" s="2924">
        <f>'Part IX A-Scoring Criteria'!P93</f>
        <v>0</v>
      </c>
      <c r="Q1466" s="2972" t="s">
        <v>2875</v>
      </c>
    </row>
    <row r="1467" spans="1:17" s="3162" customFormat="1" ht="11.25" customHeight="1">
      <c r="A1467" s="3158" t="str">
        <f>IF(AND(O1467="",OR($I$79="Earth Craft House Single Family",$I$79="Earth Craft House Multifamily",$I$79="Earth Craft House Renovation",$I$79="EF Green Communities",$I$79="LEED for Homes",$I$79="NAHB Natl Green Bdlg Stds",$I$79="EnergyStar v3")), "X","")</f>
        <v/>
      </c>
      <c r="B1467" s="3159" t="s">
        <v>2084</v>
      </c>
      <c r="C1467" s="3160" t="s">
        <v>4381</v>
      </c>
      <c r="D1467" s="3161"/>
      <c r="M1467" s="3163"/>
      <c r="N1467" s="3159" t="s">
        <v>2084</v>
      </c>
      <c r="O1467" s="3146" t="str">
        <f>'Part IX A-Scoring Criteria'!O94</f>
        <v>Yes</v>
      </c>
      <c r="P1467" s="3146">
        <f>'Part IX A-Scoring Criteria'!P94</f>
        <v>0</v>
      </c>
      <c r="Q1467" s="3163"/>
    </row>
    <row r="1468" spans="1:17" s="3166" customFormat="1" ht="11.45" customHeight="1">
      <c r="A1468" s="3164"/>
      <c r="B1468" s="3159" t="s">
        <v>2086</v>
      </c>
      <c r="C1468" s="3165" t="s">
        <v>4380</v>
      </c>
      <c r="D1468" s="3165"/>
      <c r="H1468" s="3167" t="s">
        <v>2086</v>
      </c>
      <c r="I1468" s="3031" t="str">
        <f>'Part IX A-Scoring Criteria'!I95</f>
        <v>Ed Foskey</v>
      </c>
      <c r="J1468" s="3087"/>
      <c r="K1468" s="3031"/>
      <c r="L1468" s="3087"/>
    </row>
    <row r="1469" spans="1:17" s="3166" customFormat="1" ht="11.45" customHeight="1">
      <c r="A1469" s="3164"/>
      <c r="B1469" s="3159" t="s">
        <v>2660</v>
      </c>
      <c r="C1469" s="3165" t="s">
        <v>4042</v>
      </c>
      <c r="D1469" s="3165"/>
      <c r="H1469" s="3167" t="s">
        <v>2660</v>
      </c>
      <c r="I1469" s="3031" t="str">
        <f>'Part IX A-Scoring Criteria'!I96</f>
        <v>Certified EarthCraft House Technical Advisor and RESNET Home Energy Rater</v>
      </c>
      <c r="J1469" s="522"/>
      <c r="K1469" s="522"/>
      <c r="L1469" s="522"/>
      <c r="M1469" s="3165"/>
      <c r="N1469" s="3165"/>
      <c r="O1469" s="3165"/>
      <c r="P1469" s="3165"/>
    </row>
    <row r="1470" spans="1:17" ht="15">
      <c r="A1470" s="521"/>
      <c r="B1470" s="2994" t="s">
        <v>267</v>
      </c>
      <c r="C1470" s="521"/>
      <c r="D1470" s="525"/>
      <c r="E1470" s="525"/>
      <c r="F1470" s="525"/>
      <c r="G1470" s="525"/>
      <c r="H1470" s="3151"/>
      <c r="I1470" s="3151"/>
      <c r="J1470" s="3151"/>
      <c r="K1470" s="522"/>
      <c r="L1470" s="3151"/>
      <c r="M1470" s="2915"/>
      <c r="N1470" s="2915"/>
      <c r="O1470" s="3113"/>
      <c r="P1470" s="2924"/>
      <c r="Q1470" s="3151"/>
    </row>
    <row r="1471" spans="1:17" ht="15.75">
      <c r="A1471" s="2969" t="str">
        <f>'Part IX A-Scoring Criteria'!A98</f>
        <v>Applicant commits to obtaining sustainable building certification and Design Review Charrette.</v>
      </c>
      <c r="B1471" s="2969"/>
      <c r="C1471" s="2969"/>
      <c r="D1471" s="2969"/>
      <c r="E1471" s="2969"/>
      <c r="F1471" s="2969"/>
      <c r="G1471" s="2969"/>
      <c r="H1471" s="2969"/>
      <c r="I1471" s="2969"/>
      <c r="J1471" s="2969"/>
      <c r="K1471" s="2969"/>
      <c r="L1471" s="2969"/>
      <c r="M1471" s="2969"/>
      <c r="N1471" s="2969"/>
      <c r="O1471" s="2969"/>
      <c r="P1471" s="2969"/>
      <c r="Q1471" s="3118" t="s">
        <v>1313</v>
      </c>
    </row>
    <row r="1472" spans="1:17" ht="15">
      <c r="A1472" s="521"/>
      <c r="B1472" s="2994" t="s">
        <v>1959</v>
      </c>
      <c r="C1472" s="521"/>
      <c r="D1472" s="3034"/>
      <c r="E1472" s="3036"/>
      <c r="F1472" s="3036"/>
      <c r="G1472" s="3036"/>
      <c r="H1472" s="3036"/>
      <c r="I1472" s="3036"/>
      <c r="J1472" s="3036"/>
      <c r="K1472" s="3036"/>
      <c r="L1472" s="3036"/>
      <c r="M1472" s="3036"/>
      <c r="N1472" s="3136"/>
      <c r="O1472" s="3137"/>
      <c r="P1472" s="2924"/>
      <c r="Q1472" s="3125"/>
    </row>
    <row r="1473" spans="1:17" ht="15.75">
      <c r="A1473" s="2969">
        <f>'Part IX A-Scoring Criteria'!A100</f>
        <v>0</v>
      </c>
      <c r="B1473" s="2969"/>
      <c r="C1473" s="2969"/>
      <c r="D1473" s="2969"/>
      <c r="E1473" s="2969"/>
      <c r="F1473" s="2969"/>
      <c r="G1473" s="2969"/>
      <c r="H1473" s="2969"/>
      <c r="I1473" s="2969"/>
      <c r="J1473" s="2969"/>
      <c r="K1473" s="2969"/>
      <c r="L1473" s="2969"/>
      <c r="M1473" s="2969"/>
      <c r="N1473" s="2969"/>
      <c r="O1473" s="2969"/>
      <c r="P1473" s="2969"/>
      <c r="Q1473" s="3118" t="s">
        <v>1313</v>
      </c>
    </row>
    <row r="1474" spans="1:17" ht="15">
      <c r="A1474" s="521"/>
      <c r="B1474" s="3117"/>
      <c r="C1474" s="3117"/>
      <c r="D1474" s="522"/>
      <c r="E1474" s="522"/>
      <c r="F1474" s="2924"/>
      <c r="G1474" s="2924"/>
      <c r="H1474" s="2924"/>
      <c r="I1474" s="2924"/>
      <c r="J1474" s="3031"/>
      <c r="K1474" s="3031"/>
      <c r="L1474" s="3031"/>
      <c r="M1474" s="3028"/>
      <c r="N1474" s="2924"/>
      <c r="O1474" s="2911"/>
      <c r="P1474" s="3113"/>
      <c r="Q1474" s="3117"/>
    </row>
    <row r="1475" spans="1:17" ht="15">
      <c r="A1475" s="3114" t="s">
        <v>525</v>
      </c>
      <c r="B1475" s="3115" t="s">
        <v>3092</v>
      </c>
      <c r="C1475" s="3151"/>
      <c r="D1475" s="3121"/>
      <c r="E1475" s="3121"/>
      <c r="F1475" s="3151"/>
      <c r="G1475" s="3151"/>
      <c r="H1475" s="522" t="s">
        <v>4367</v>
      </c>
      <c r="I1475" s="3151"/>
      <c r="J1475" s="3151"/>
      <c r="K1475" s="3151"/>
      <c r="L1475" s="3151"/>
      <c r="M1475" s="2924">
        <v>4</v>
      </c>
      <c r="N1475" s="2915"/>
      <c r="O1475" s="3113">
        <f>'Part IX A-Scoring Criteria'!O102</f>
        <v>0</v>
      </c>
      <c r="P1475" s="2924">
        <f>'Part IX A-Scoring Criteria'!P102</f>
        <v>0</v>
      </c>
      <c r="Q1475" s="2924" t="s">
        <v>458</v>
      </c>
    </row>
    <row r="1476" spans="1:17">
      <c r="A1476" s="3081"/>
      <c r="B1476" s="2934" t="s">
        <v>3100</v>
      </c>
      <c r="C1476" s="2916"/>
      <c r="D1476" s="2916"/>
      <c r="E1476" s="2934" t="str">
        <f>'Part I-Project Information'!$H$90</f>
        <v>Rural</v>
      </c>
      <c r="M1476" s="2915"/>
      <c r="O1476" s="3092" t="s">
        <v>2635</v>
      </c>
      <c r="P1476" s="3092" t="s">
        <v>2635</v>
      </c>
    </row>
    <row r="1477" spans="1:17">
      <c r="A1477" s="2911" t="str">
        <f>IF($I$103="Stable Communities &lt; 5%", "*","")</f>
        <v/>
      </c>
      <c r="B1477" s="3155" t="s">
        <v>2084</v>
      </c>
      <c r="C1477" s="505" t="s">
        <v>2838</v>
      </c>
      <c r="M1477" s="2909"/>
      <c r="O1477" s="3146" t="str">
        <f>'Part IX A-Scoring Criteria'!O104</f>
        <v>No</v>
      </c>
      <c r="P1477" s="3146">
        <f>'Part IX A-Scoring Criteria'!P104</f>
        <v>0</v>
      </c>
    </row>
    <row r="1478" spans="1:17">
      <c r="B1478" s="3155" t="s">
        <v>2086</v>
      </c>
      <c r="C1478" s="505" t="s">
        <v>2925</v>
      </c>
      <c r="D1478" s="3168">
        <f>'Part IX A-Scoring Criteria'!D105</f>
        <v>0.2</v>
      </c>
      <c r="E1478" s="505" t="s">
        <v>2926</v>
      </c>
      <c r="G1478" s="505" t="s">
        <v>2505</v>
      </c>
      <c r="I1478" s="522" t="s">
        <v>2924</v>
      </c>
      <c r="J1478" s="3169">
        <f>'Part IX A-Scoring Criteria'!J105</f>
        <v>0.1502</v>
      </c>
      <c r="K1478" s="524" t="str">
        <f>IF(J1478&gt;D1478,"CHECK ACTUAL PERCENT!!!","")</f>
        <v/>
      </c>
      <c r="M1478" s="2924"/>
      <c r="N1478" s="3082"/>
      <c r="O1478" s="2911"/>
      <c r="P1478" s="2911"/>
    </row>
    <row r="1479" spans="1:17">
      <c r="B1479" s="3155" t="s">
        <v>2660</v>
      </c>
      <c r="C1479" s="505" t="s">
        <v>2506</v>
      </c>
      <c r="G1479" s="505" t="s">
        <v>2507</v>
      </c>
      <c r="I1479" s="3154" t="s">
        <v>2915</v>
      </c>
      <c r="J1479" s="3154" t="str">
        <f>'Part IX A-Scoring Criteria'!J106</f>
        <v>Middle</v>
      </c>
      <c r="M1479" s="2924"/>
      <c r="N1479" s="2909"/>
      <c r="O1479" s="2911"/>
      <c r="P1479" s="2911"/>
    </row>
    <row r="1480" spans="1:17">
      <c r="B1480" s="3155" t="s">
        <v>1282</v>
      </c>
      <c r="C1480" s="505" t="s">
        <v>4060</v>
      </c>
      <c r="E1480" s="505" t="s">
        <v>4063</v>
      </c>
      <c r="H1480" s="505"/>
      <c r="I1480" s="522"/>
      <c r="J1480" s="3170">
        <f>'Part IX A-Scoring Criteria'!J107</f>
        <v>39505</v>
      </c>
      <c r="K1480" s="3092" t="s">
        <v>4064</v>
      </c>
      <c r="M1480" s="2924"/>
      <c r="N1480" s="2909"/>
      <c r="O1480" s="2911"/>
      <c r="P1480" s="2911"/>
    </row>
    <row r="1481" spans="1:17">
      <c r="B1481" s="3155"/>
      <c r="C1481" s="505"/>
      <c r="E1481" s="505" t="s">
        <v>4061</v>
      </c>
      <c r="H1481" s="505"/>
      <c r="I1481" s="522"/>
      <c r="J1481" s="3170">
        <f>'Part IX A-Scoring Criteria'!J108</f>
        <v>45200</v>
      </c>
      <c r="K1481" s="3092" t="str">
        <f>IF($J$108&gt;J1481,"Yes", "No")</f>
        <v>No</v>
      </c>
      <c r="M1481" s="2924"/>
      <c r="N1481" s="2909"/>
      <c r="O1481" s="2911"/>
      <c r="P1481" s="2911"/>
    </row>
    <row r="1482" spans="1:17">
      <c r="B1482" s="3155"/>
      <c r="C1482" s="505"/>
      <c r="E1482" s="505" t="s">
        <v>4062</v>
      </c>
      <c r="H1482" s="505"/>
      <c r="I1482" s="522"/>
      <c r="J1482" s="3170" t="str">
        <f>'Part IX A-Scoring Criteria'!J109</f>
        <v>n/a</v>
      </c>
      <c r="K1482" s="3092" t="str">
        <f>IF($J$108&gt;J1482,"Yes", "No")</f>
        <v>No</v>
      </c>
      <c r="M1482" s="2924"/>
      <c r="N1482" s="2909"/>
      <c r="O1482" s="2911"/>
      <c r="P1482" s="2911"/>
    </row>
    <row r="1483" spans="1:17" ht="15">
      <c r="A1483" s="521"/>
      <c r="B1483" s="2994" t="s">
        <v>267</v>
      </c>
      <c r="C1483" s="521"/>
      <c r="D1483" s="525"/>
      <c r="E1483" s="525"/>
      <c r="F1483" s="525"/>
      <c r="G1483" s="525"/>
      <c r="H1483" s="522"/>
      <c r="I1483" s="522"/>
      <c r="J1483" s="522"/>
      <c r="K1483" s="522"/>
      <c r="L1483" s="3117"/>
      <c r="M1483" s="2915"/>
      <c r="N1483" s="2909"/>
      <c r="O1483" s="3113"/>
      <c r="P1483" s="2911"/>
      <c r="Q1483" s="3117"/>
    </row>
    <row r="1484" spans="1:17" ht="15.75">
      <c r="A1484" s="2969" t="str">
        <f>'Part IX A-Scoring Criteria'!A111</f>
        <v>Site estimated tract income in less than required by DCA for points.</v>
      </c>
      <c r="B1484" s="2969"/>
      <c r="C1484" s="2969"/>
      <c r="D1484" s="2969"/>
      <c r="E1484" s="2969"/>
      <c r="F1484" s="2969"/>
      <c r="G1484" s="2969"/>
      <c r="H1484" s="2969"/>
      <c r="I1484" s="2969"/>
      <c r="J1484" s="2969"/>
      <c r="K1484" s="2969"/>
      <c r="L1484" s="2969"/>
      <c r="M1484" s="2969"/>
      <c r="N1484" s="2969"/>
      <c r="O1484" s="2969"/>
      <c r="P1484" s="2969"/>
      <c r="Q1484" s="3118" t="s">
        <v>1313</v>
      </c>
    </row>
    <row r="1485" spans="1:17" ht="15">
      <c r="A1485" s="521"/>
      <c r="B1485" s="2994" t="s">
        <v>1959</v>
      </c>
      <c r="C1485" s="521"/>
      <c r="D1485" s="3034"/>
      <c r="E1485" s="3036"/>
      <c r="F1485" s="3036"/>
      <c r="G1485" s="3036"/>
      <c r="H1485" s="3036"/>
      <c r="I1485" s="3036"/>
      <c r="J1485" s="3036"/>
      <c r="K1485" s="3036"/>
      <c r="L1485" s="3036"/>
      <c r="M1485" s="3036"/>
      <c r="N1485" s="3136"/>
      <c r="O1485" s="3137"/>
      <c r="P1485" s="2924"/>
      <c r="Q1485" s="3125"/>
    </row>
    <row r="1486" spans="1:17" ht="15.75">
      <c r="A1486" s="2969">
        <f>'Part IX A-Scoring Criteria'!A113</f>
        <v>0</v>
      </c>
      <c r="B1486" s="2969"/>
      <c r="C1486" s="2969"/>
      <c r="D1486" s="2969"/>
      <c r="E1486" s="2969"/>
      <c r="F1486" s="2969"/>
      <c r="G1486" s="2969"/>
      <c r="H1486" s="2969"/>
      <c r="I1486" s="2969"/>
      <c r="J1486" s="2969"/>
      <c r="K1486" s="2969"/>
      <c r="L1486" s="2969"/>
      <c r="M1486" s="2969"/>
      <c r="N1486" s="2969"/>
      <c r="O1486" s="2969"/>
      <c r="P1486" s="2969"/>
      <c r="Q1486" s="3118" t="s">
        <v>1313</v>
      </c>
    </row>
    <row r="1487" spans="1:17" ht="15">
      <c r="A1487" s="521"/>
      <c r="B1487" s="3117"/>
      <c r="C1487" s="3117"/>
      <c r="D1487" s="522"/>
      <c r="E1487" s="522"/>
      <c r="F1487" s="2924"/>
      <c r="G1487" s="2924"/>
      <c r="H1487" s="2924"/>
      <c r="I1487" s="2924"/>
      <c r="J1487" s="3031"/>
      <c r="K1487" s="3031"/>
      <c r="L1487" s="3031"/>
      <c r="M1487" s="3028"/>
      <c r="N1487" s="2924"/>
      <c r="O1487" s="2911"/>
      <c r="P1487" s="3113"/>
      <c r="Q1487" s="3117"/>
    </row>
    <row r="1488" spans="1:17" ht="15">
      <c r="A1488" s="3114" t="s">
        <v>526</v>
      </c>
      <c r="B1488" s="3115" t="s">
        <v>3851</v>
      </c>
      <c r="C1488" s="3151"/>
      <c r="D1488" s="3121"/>
      <c r="E1488" s="3121"/>
      <c r="F1488" s="3151"/>
      <c r="G1488" s="3151"/>
      <c r="H1488" s="3028"/>
      <c r="I1488" s="3151"/>
      <c r="J1488" s="2812" t="str">
        <f>'Part IX A-Scoring Criteria'!J115</f>
        <v>&lt;Select a Community Revitalization Plan option&gt;</v>
      </c>
      <c r="K1488" s="2812"/>
      <c r="L1488" s="2812"/>
      <c r="M1488" s="2924">
        <v>3</v>
      </c>
      <c r="N1488" s="2915"/>
      <c r="O1488" s="3113">
        <f>'Part IX A-Scoring Criteria'!O115</f>
        <v>0</v>
      </c>
      <c r="P1488" s="2924">
        <f>'Part IX A-Scoring Criteria'!P115</f>
        <v>0</v>
      </c>
      <c r="Q1488" s="2924" t="s">
        <v>458</v>
      </c>
    </row>
    <row r="1489" spans="1:17">
      <c r="A1489" s="3033"/>
      <c r="B1489" s="3154"/>
      <c r="D1489" s="3092"/>
      <c r="E1489" s="3154"/>
      <c r="G1489" s="3171"/>
      <c r="H1489" s="3154"/>
      <c r="I1489" s="3031"/>
      <c r="K1489" s="3031"/>
    </row>
    <row r="1490" spans="1:17">
      <c r="B1490" s="3064" t="s">
        <v>4044</v>
      </c>
      <c r="E1490" s="521"/>
      <c r="G1490" s="2951">
        <f>'Part IX A-Scoring Criteria'!G117</f>
        <v>0</v>
      </c>
      <c r="H1490" s="2951"/>
      <c r="I1490" s="2951"/>
      <c r="J1490" s="2951"/>
      <c r="K1490" s="2951"/>
      <c r="L1490" s="2951"/>
      <c r="M1490" s="2951"/>
      <c r="N1490" s="2951"/>
      <c r="O1490" s="2951"/>
      <c r="P1490" s="2951"/>
    </row>
    <row r="1491" spans="1:17">
      <c r="A1491" s="3033"/>
      <c r="B1491" s="3154"/>
      <c r="D1491" s="3092"/>
      <c r="E1491" s="3154"/>
      <c r="G1491" s="3171"/>
      <c r="H1491" s="3154"/>
    </row>
    <row r="1492" spans="1:17" ht="15">
      <c r="A1492" s="3081"/>
      <c r="B1492" s="505" t="s">
        <v>3309</v>
      </c>
      <c r="C1492" s="3117"/>
      <c r="D1492" s="521"/>
      <c r="E1492" s="3117"/>
      <c r="F1492" s="3117"/>
      <c r="G1492" s="3117"/>
      <c r="H1492" s="3117"/>
      <c r="I1492" s="3117"/>
      <c r="J1492" s="3117"/>
      <c r="K1492" s="3117"/>
      <c r="L1492" s="3117"/>
      <c r="M1492" s="3117"/>
      <c r="N1492" s="3003"/>
      <c r="O1492" s="3146" t="str">
        <f>'Part IX A-Scoring Criteria'!O119</f>
        <v>N/a</v>
      </c>
      <c r="P1492" s="3146">
        <f>'Part IX A-Scoring Criteria'!P119</f>
        <v>0</v>
      </c>
      <c r="Q1492" s="3117"/>
    </row>
    <row r="1493" spans="1:17">
      <c r="A1493" s="3033"/>
      <c r="B1493" s="3154"/>
      <c r="D1493" s="3092"/>
      <c r="E1493" s="3154"/>
      <c r="G1493" s="3171"/>
      <c r="H1493" s="3154"/>
      <c r="I1493" s="3031"/>
      <c r="K1493" s="3031"/>
    </row>
    <row r="1494" spans="1:17" ht="15">
      <c r="A1494" s="2924"/>
      <c r="B1494" s="3064" t="s">
        <v>4633</v>
      </c>
      <c r="C1494" s="3117"/>
      <c r="D1494" s="3117"/>
      <c r="E1494" s="3031"/>
      <c r="F1494" s="3117"/>
      <c r="G1494" s="3117"/>
      <c r="H1494" s="3117"/>
      <c r="I1494" s="3117"/>
      <c r="J1494" s="3117"/>
      <c r="K1494" s="3117"/>
      <c r="L1494" s="3117"/>
      <c r="M1494" s="3117"/>
      <c r="N1494" s="3117"/>
      <c r="O1494" s="3092" t="s">
        <v>2635</v>
      </c>
      <c r="P1494" s="3092" t="s">
        <v>2635</v>
      </c>
      <c r="Q1494" s="3117"/>
    </row>
    <row r="1495" spans="1:17" ht="15">
      <c r="A1495" s="2911"/>
      <c r="B1495" s="3003" t="s">
        <v>2555</v>
      </c>
      <c r="C1495" s="505" t="s">
        <v>4065</v>
      </c>
      <c r="D1495" s="3151"/>
      <c r="E1495" s="3031"/>
      <c r="F1495" s="3117"/>
      <c r="G1495" s="505" t="s">
        <v>4066</v>
      </c>
      <c r="H1495" s="3117"/>
      <c r="I1495" s="3117"/>
      <c r="J1495" s="3117"/>
      <c r="K1495" s="3117"/>
      <c r="L1495" s="3172">
        <f>'Part IX A-Scoring Criteria'!L122</f>
        <v>0</v>
      </c>
      <c r="M1495" s="2911"/>
      <c r="N1495" s="3003" t="s">
        <v>2555</v>
      </c>
      <c r="O1495" s="3146" t="str">
        <f>'Part IX A-Scoring Criteria'!O122</f>
        <v>N/a</v>
      </c>
      <c r="P1495" s="3146">
        <f>'Part IX A-Scoring Criteria'!P122</f>
        <v>0</v>
      </c>
      <c r="Q1495" s="3117"/>
    </row>
    <row r="1496" spans="1:17" ht="15">
      <c r="A1496" s="2911"/>
      <c r="B1496" s="3003" t="s">
        <v>2556</v>
      </c>
      <c r="C1496" s="3154" t="s">
        <v>3142</v>
      </c>
      <c r="D1496" s="3151"/>
      <c r="E1496" s="3031"/>
      <c r="F1496" s="3117"/>
      <c r="G1496" s="505" t="s">
        <v>3860</v>
      </c>
      <c r="H1496" s="3117"/>
      <c r="I1496" s="3117"/>
      <c r="J1496" s="3117"/>
      <c r="K1496" s="3117"/>
      <c r="L1496" s="3172">
        <f>'Part IX A-Scoring Criteria'!L123</f>
        <v>0</v>
      </c>
      <c r="M1496" s="3117"/>
      <c r="N1496" s="3003" t="s">
        <v>2556</v>
      </c>
      <c r="O1496" s="3146">
        <f>'Part IX A-Scoring Criteria'!O123</f>
        <v>0</v>
      </c>
      <c r="P1496" s="3146">
        <f>'Part IX A-Scoring Criteria'!P123</f>
        <v>0</v>
      </c>
      <c r="Q1496" s="3117"/>
    </row>
    <row r="1497" spans="1:17" ht="15">
      <c r="A1497" s="2911"/>
      <c r="B1497" s="3003"/>
      <c r="C1497" s="3154"/>
      <c r="D1497" s="3151"/>
      <c r="E1497" s="3031"/>
      <c r="F1497" s="3117"/>
      <c r="G1497" s="505" t="s">
        <v>3307</v>
      </c>
      <c r="H1497" s="3117"/>
      <c r="I1497" s="3117"/>
      <c r="J1497" s="3117"/>
      <c r="K1497" s="3117"/>
      <c r="L1497" s="3173">
        <f>'Part IX A-Scoring Criteria'!L124</f>
        <v>0</v>
      </c>
      <c r="M1497" s="3173"/>
      <c r="N1497" s="3117"/>
      <c r="O1497" s="3117"/>
      <c r="P1497" s="3117"/>
      <c r="Q1497" s="3117"/>
    </row>
    <row r="1498" spans="1:17" ht="15">
      <c r="A1498" s="2911"/>
      <c r="B1498" s="3003"/>
      <c r="C1498" s="3154"/>
      <c r="D1498" s="3151"/>
      <c r="E1498" s="3031"/>
      <c r="F1498" s="3117"/>
      <c r="G1498" s="505" t="s">
        <v>3139</v>
      </c>
      <c r="H1498" s="3117"/>
      <c r="I1498" s="3117"/>
      <c r="J1498" s="3117"/>
      <c r="K1498" s="2972"/>
      <c r="L1498" s="3173" t="str">
        <f>'Part IX A-Scoring Criteria'!L125</f>
        <v>&lt;&lt;Select event type&gt;&gt;</v>
      </c>
      <c r="M1498" s="3173"/>
      <c r="N1498" s="3117"/>
      <c r="O1498" s="3117"/>
      <c r="P1498" s="3117"/>
      <c r="Q1498" s="3117"/>
    </row>
    <row r="1499" spans="1:17" ht="15">
      <c r="A1499" s="2911"/>
      <c r="B1499" s="3003"/>
      <c r="C1499" s="3154"/>
      <c r="D1499" s="3151"/>
      <c r="E1499" s="3031"/>
      <c r="F1499" s="3117"/>
      <c r="G1499" s="505" t="s">
        <v>3140</v>
      </c>
      <c r="H1499" s="3117"/>
      <c r="I1499" s="3117"/>
      <c r="J1499" s="3117"/>
      <c r="K1499" s="2972"/>
      <c r="L1499" s="3174">
        <f>'Part IX A-Scoring Criteria'!L126</f>
        <v>0</v>
      </c>
      <c r="M1499" s="3174"/>
      <c r="N1499" s="3117"/>
      <c r="O1499" s="3117"/>
      <c r="P1499" s="3117"/>
      <c r="Q1499" s="3117"/>
    </row>
    <row r="1500" spans="1:17" ht="15">
      <c r="A1500" s="2911"/>
      <c r="B1500" s="3003"/>
      <c r="C1500" s="3154"/>
      <c r="D1500" s="3151"/>
      <c r="E1500" s="3031"/>
      <c r="F1500" s="3117"/>
      <c r="G1500" s="505" t="s">
        <v>3139</v>
      </c>
      <c r="H1500" s="3117"/>
      <c r="I1500" s="3117"/>
      <c r="J1500" s="3117"/>
      <c r="K1500" s="2972"/>
      <c r="L1500" s="3173" t="str">
        <f>'Part IX A-Scoring Criteria'!L127</f>
        <v>&lt;&lt;Select event type&gt;&gt;</v>
      </c>
      <c r="M1500" s="3173"/>
      <c r="N1500" s="3117"/>
      <c r="O1500" s="3117"/>
      <c r="P1500" s="3117"/>
      <c r="Q1500" s="3117"/>
    </row>
    <row r="1501" spans="1:17" ht="15">
      <c r="A1501" s="2911"/>
      <c r="B1501" s="3003"/>
      <c r="C1501" s="3154"/>
      <c r="D1501" s="3151"/>
      <c r="E1501" s="3031"/>
      <c r="F1501" s="3117"/>
      <c r="G1501" s="505" t="s">
        <v>3140</v>
      </c>
      <c r="H1501" s="3117"/>
      <c r="I1501" s="3117"/>
      <c r="J1501" s="3117"/>
      <c r="K1501" s="2972"/>
      <c r="L1501" s="3174">
        <f>'Part IX A-Scoring Criteria'!L128</f>
        <v>0</v>
      </c>
      <c r="M1501" s="3174"/>
      <c r="N1501" s="3117"/>
      <c r="O1501" s="3117"/>
      <c r="P1501" s="3117"/>
      <c r="Q1501" s="3117"/>
    </row>
    <row r="1502" spans="1:17" ht="13.5">
      <c r="B1502" s="3003" t="s">
        <v>2557</v>
      </c>
      <c r="C1502" s="3154" t="s">
        <v>3143</v>
      </c>
      <c r="D1502" s="505"/>
      <c r="G1502" s="505" t="s">
        <v>3308</v>
      </c>
      <c r="L1502" s="3174">
        <f>'Part IX A-Scoring Criteria'!L129</f>
        <v>0</v>
      </c>
      <c r="M1502" s="3174"/>
      <c r="N1502" s="3003" t="s">
        <v>2557</v>
      </c>
      <c r="O1502" s="3146">
        <f>'Part IX A-Scoring Criteria'!O129</f>
        <v>0</v>
      </c>
      <c r="P1502" s="3146">
        <f>'Part IX A-Scoring Criteria'!P129</f>
        <v>0</v>
      </c>
    </row>
    <row r="1503" spans="1:17" ht="13.5">
      <c r="B1503" s="3003"/>
      <c r="C1503" s="3154"/>
      <c r="D1503" s="505"/>
      <c r="G1503" s="505" t="s">
        <v>4634</v>
      </c>
      <c r="L1503" s="3174">
        <f>'Part IX A-Scoring Criteria'!L130</f>
        <v>0</v>
      </c>
      <c r="M1503" s="3174"/>
    </row>
    <row r="1504" spans="1:17" ht="13.5">
      <c r="B1504" s="3003" t="s">
        <v>2558</v>
      </c>
      <c r="C1504" s="522" t="s">
        <v>3144</v>
      </c>
      <c r="D1504" s="505"/>
      <c r="G1504" s="2972"/>
      <c r="K1504" s="3031"/>
      <c r="L1504" s="3175" t="str">
        <f>'Part IX A-Scoring Criteria'!L131</f>
        <v>Enter page nbr(s) here</v>
      </c>
      <c r="M1504" s="2911"/>
      <c r="N1504" s="3003" t="s">
        <v>2558</v>
      </c>
      <c r="O1504" s="3146">
        <f>'Part IX A-Scoring Criteria'!O131</f>
        <v>0</v>
      </c>
      <c r="P1504" s="3146">
        <f>'Part IX A-Scoring Criteria'!P131</f>
        <v>0</v>
      </c>
    </row>
    <row r="1505" spans="1:17">
      <c r="B1505" s="3003" t="s">
        <v>2559</v>
      </c>
      <c r="C1505" s="522" t="s">
        <v>3145</v>
      </c>
      <c r="K1505" s="3031"/>
      <c r="L1505" s="3175" t="str">
        <f>'Part IX A-Scoring Criteria'!L132</f>
        <v>Enter page nbr(s) here</v>
      </c>
      <c r="M1505" s="2911"/>
      <c r="N1505" s="3003" t="s">
        <v>2559</v>
      </c>
      <c r="O1505" s="3146">
        <f>'Part IX A-Scoring Criteria'!O132</f>
        <v>0</v>
      </c>
      <c r="P1505" s="3146">
        <f>'Part IX A-Scoring Criteria'!P132</f>
        <v>0</v>
      </c>
    </row>
    <row r="1506" spans="1:17">
      <c r="B1506" s="3003" t="s">
        <v>3866</v>
      </c>
      <c r="C1506" s="522" t="s">
        <v>3854</v>
      </c>
      <c r="K1506" s="3031"/>
      <c r="L1506" s="3175" t="str">
        <f>'Part IX A-Scoring Criteria'!L133</f>
        <v>Enter page nbr(s) here</v>
      </c>
      <c r="M1506" s="2911"/>
      <c r="N1506" s="3003" t="s">
        <v>3866</v>
      </c>
      <c r="O1506" s="3146">
        <f>'Part IX A-Scoring Criteria'!O133</f>
        <v>0</v>
      </c>
      <c r="P1506" s="3146">
        <f>'Part IX A-Scoring Criteria'!P133</f>
        <v>0</v>
      </c>
    </row>
    <row r="1507" spans="1:17">
      <c r="B1507" s="3003" t="s">
        <v>3867</v>
      </c>
      <c r="C1507" s="522" t="s">
        <v>3852</v>
      </c>
      <c r="K1507" s="3031"/>
      <c r="L1507" s="3175" t="str">
        <f>'Part IX A-Scoring Criteria'!L134</f>
        <v>Enter page nbr(s) here</v>
      </c>
      <c r="M1507" s="2911"/>
      <c r="N1507" s="3003" t="s">
        <v>3867</v>
      </c>
      <c r="O1507" s="3146">
        <f>'Part IX A-Scoring Criteria'!O134</f>
        <v>0</v>
      </c>
      <c r="P1507" s="3146">
        <f>'Part IX A-Scoring Criteria'!P134</f>
        <v>0</v>
      </c>
    </row>
    <row r="1508" spans="1:17">
      <c r="B1508" s="3003" t="s">
        <v>2576</v>
      </c>
      <c r="C1508" s="522" t="s">
        <v>3146</v>
      </c>
      <c r="K1508" s="3031"/>
      <c r="L1508" s="3175" t="str">
        <f>'Part IX A-Scoring Criteria'!L135</f>
        <v>Enter page nbr(s) here</v>
      </c>
      <c r="M1508" s="2911"/>
      <c r="N1508" s="3003" t="s">
        <v>2576</v>
      </c>
      <c r="O1508" s="3146">
        <f>'Part IX A-Scoring Criteria'!O135</f>
        <v>0</v>
      </c>
      <c r="P1508" s="3146">
        <f>'Part IX A-Scoring Criteria'!P135</f>
        <v>0</v>
      </c>
    </row>
    <row r="1509" spans="1:17">
      <c r="B1509" s="3003" t="s">
        <v>2577</v>
      </c>
      <c r="C1509" s="522" t="s">
        <v>3147</v>
      </c>
      <c r="D1509" s="505"/>
      <c r="K1509" s="3031"/>
      <c r="L1509" s="3175" t="str">
        <f>'Part IX A-Scoring Criteria'!L136</f>
        <v>Enter page nbr(s) here</v>
      </c>
      <c r="M1509" s="2911"/>
      <c r="N1509" s="3003" t="s">
        <v>2577</v>
      </c>
      <c r="O1509" s="3146">
        <f>'Part IX A-Scoring Criteria'!O136</f>
        <v>0</v>
      </c>
      <c r="P1509" s="3146">
        <f>'Part IX A-Scoring Criteria'!P136</f>
        <v>0</v>
      </c>
    </row>
    <row r="1510" spans="1:17">
      <c r="B1510" s="3003" t="s">
        <v>2578</v>
      </c>
      <c r="C1510" s="522" t="s">
        <v>3868</v>
      </c>
      <c r="K1510" s="3031"/>
      <c r="M1510" s="2911"/>
      <c r="N1510" s="3003" t="s">
        <v>2578</v>
      </c>
      <c r="O1510" s="3146">
        <f>'Part IX A-Scoring Criteria'!O137</f>
        <v>0</v>
      </c>
      <c r="P1510" s="3146">
        <f>'Part IX A-Scoring Criteria'!P137</f>
        <v>0</v>
      </c>
    </row>
    <row r="1511" spans="1:17">
      <c r="B1511" s="3003"/>
      <c r="C1511" s="522"/>
      <c r="K1511" s="3031"/>
      <c r="M1511" s="2911"/>
      <c r="N1511" s="2911"/>
      <c r="O1511" s="2911"/>
      <c r="P1511" s="2911"/>
    </row>
    <row r="1512" spans="1:17">
      <c r="A1512" s="3081" t="s">
        <v>2080</v>
      </c>
      <c r="B1512" s="2934" t="s">
        <v>3853</v>
      </c>
      <c r="G1512" s="3154" t="s">
        <v>4043</v>
      </c>
      <c r="K1512" s="3031"/>
      <c r="L1512" s="3175" t="str">
        <f>'Part IX A-Scoring Criteria'!L139</f>
        <v>Enter page nbr(s) here</v>
      </c>
      <c r="M1512" s="2915">
        <v>2</v>
      </c>
      <c r="N1512" s="3003" t="s">
        <v>2080</v>
      </c>
      <c r="O1512" s="3146" t="str">
        <f>'Part IX A-Scoring Criteria'!O139</f>
        <v>N/a</v>
      </c>
      <c r="P1512" s="3146">
        <f>'Part IX A-Scoring Criteria'!P139</f>
        <v>0</v>
      </c>
    </row>
    <row r="1513" spans="1:17">
      <c r="A1513" s="3033"/>
      <c r="G1513" s="3154" t="s">
        <v>3857</v>
      </c>
      <c r="L1513" s="3176" t="str">
        <f>'Part IX A-Scoring Criteria'!L140</f>
        <v>0114.03</v>
      </c>
    </row>
    <row r="1514" spans="1:17">
      <c r="A1514" s="3033"/>
      <c r="B1514" s="3154"/>
      <c r="D1514" s="3092"/>
      <c r="G1514" s="3154" t="s">
        <v>3862</v>
      </c>
      <c r="K1514" s="3031"/>
      <c r="L1514" s="3177" t="str">
        <f>'Part IX A-Scoring Criteria'!L141</f>
        <v>No</v>
      </c>
    </row>
    <row r="1515" spans="1:17">
      <c r="A1515" s="3033"/>
      <c r="B1515" s="3154"/>
      <c r="D1515" s="3092"/>
      <c r="E1515" s="3154"/>
      <c r="G1515" s="3031" t="s">
        <v>3855</v>
      </c>
      <c r="K1515" s="3031"/>
      <c r="L1515" s="3178">
        <f>'Part IV-Uses of Funds'!H1523</f>
        <v>0</v>
      </c>
    </row>
    <row r="1516" spans="1:17">
      <c r="A1516" s="3081" t="s">
        <v>2083</v>
      </c>
      <c r="B1516" s="2934" t="s">
        <v>3856</v>
      </c>
      <c r="D1516" s="521"/>
      <c r="M1516" s="2909">
        <v>1</v>
      </c>
      <c r="N1516" s="3003" t="s">
        <v>2083</v>
      </c>
      <c r="O1516" s="3146" t="str">
        <f>'Part IX A-Scoring Criteria'!O143</f>
        <v>N/a</v>
      </c>
      <c r="P1516" s="3146">
        <f>'Part IX A-Scoring Criteria'!P143</f>
        <v>0</v>
      </c>
    </row>
    <row r="1517" spans="1:17" ht="13.5">
      <c r="A1517" s="3033"/>
      <c r="B1517" s="505" t="s">
        <v>3861</v>
      </c>
      <c r="Q1517" s="2972"/>
    </row>
    <row r="1518" spans="1:17">
      <c r="A1518" s="3081" t="s">
        <v>788</v>
      </c>
      <c r="B1518" s="2934" t="s">
        <v>3104</v>
      </c>
      <c r="C1518" s="2934"/>
      <c r="D1518" s="521"/>
      <c r="M1518" s="2915"/>
      <c r="N1518" s="3003" t="s">
        <v>788</v>
      </c>
      <c r="O1518" s="3028"/>
      <c r="P1518" s="3028"/>
    </row>
    <row r="1519" spans="1:17">
      <c r="B1519" s="3179" t="s">
        <v>2084</v>
      </c>
      <c r="C1519" s="2969" t="s">
        <v>4635</v>
      </c>
      <c r="D1519" s="2969"/>
      <c r="E1519" s="2969"/>
      <c r="F1519" s="2969"/>
      <c r="G1519" s="2969"/>
      <c r="H1519" s="2969"/>
      <c r="I1519" s="2969"/>
      <c r="J1519" s="2969"/>
      <c r="K1519" s="2969"/>
      <c r="L1519" s="2969"/>
      <c r="M1519" s="3144">
        <v>1</v>
      </c>
      <c r="N1519" s="3145" t="s">
        <v>2084</v>
      </c>
      <c r="O1519" s="3146" t="str">
        <f>'Part IX A-Scoring Criteria'!O146</f>
        <v>N/a</v>
      </c>
      <c r="P1519" s="3146">
        <f>'Part IX A-Scoring Criteria'!P146</f>
        <v>0</v>
      </c>
    </row>
    <row r="1520" spans="1:17">
      <c r="B1520" s="3179" t="s">
        <v>2086</v>
      </c>
      <c r="C1520" s="2969" t="s">
        <v>4636</v>
      </c>
      <c r="D1520" s="2969"/>
      <c r="E1520" s="2969"/>
      <c r="F1520" s="2969"/>
      <c r="G1520" s="2969"/>
      <c r="H1520" s="2969"/>
      <c r="I1520" s="2969"/>
      <c r="J1520" s="2969"/>
      <c r="K1520" s="2969"/>
      <c r="L1520" s="2969"/>
      <c r="M1520" s="2915">
        <v>2</v>
      </c>
      <c r="N1520" s="3139" t="s">
        <v>2086</v>
      </c>
      <c r="O1520" s="3146" t="str">
        <f>'Part IX A-Scoring Criteria'!O147</f>
        <v>N/a</v>
      </c>
      <c r="P1520" s="3146">
        <f>'Part IX A-Scoring Criteria'!P147</f>
        <v>0</v>
      </c>
    </row>
    <row r="1521" spans="1:17" ht="13.5">
      <c r="A1521" s="3081" t="s">
        <v>2215</v>
      </c>
      <c r="B1521" s="2934" t="s">
        <v>3103</v>
      </c>
      <c r="D1521" s="521"/>
      <c r="G1521" s="3180" t="s">
        <v>4238</v>
      </c>
      <c r="H1521" s="3180"/>
      <c r="I1521" s="3180"/>
      <c r="J1521" s="3180"/>
      <c r="K1521" s="3180"/>
      <c r="M1521" s="2909">
        <v>1</v>
      </c>
      <c r="O1521" s="3092"/>
      <c r="P1521" s="3092"/>
    </row>
    <row r="1522" spans="1:17" ht="13.5">
      <c r="B1522" s="505" t="s">
        <v>3105</v>
      </c>
      <c r="I1522" s="522" t="s">
        <v>4228</v>
      </c>
      <c r="J1522" s="2985" t="str">
        <f>'Part I-Project Information'!$J$29</f>
        <v>Lowndes</v>
      </c>
      <c r="K1522" s="2985"/>
      <c r="N1522" s="3003" t="s">
        <v>2215</v>
      </c>
      <c r="O1522" s="3146" t="str">
        <f>'Part IX A-Scoring Criteria'!O149</f>
        <v>N/a</v>
      </c>
      <c r="P1522" s="3146">
        <f>'Part IX A-Scoring Criteria'!P149</f>
        <v>0</v>
      </c>
      <c r="Q1522" s="2972"/>
    </row>
    <row r="1523" spans="1:17" ht="15">
      <c r="A1523" s="521"/>
      <c r="B1523" s="2994" t="s">
        <v>267</v>
      </c>
      <c r="C1523" s="521"/>
      <c r="D1523" s="525"/>
      <c r="E1523" s="525"/>
      <c r="F1523" s="525"/>
      <c r="G1523" s="525"/>
      <c r="H1523" s="522"/>
      <c r="I1523" s="522" t="s">
        <v>4229</v>
      </c>
      <c r="J1523" s="3181" t="str">
        <f>'Part I-Project Information'!$O$28</f>
        <v>0114.03</v>
      </c>
      <c r="K1523" s="3181"/>
      <c r="L1523" s="3117"/>
      <c r="M1523" s="2915"/>
      <c r="N1523" s="2909"/>
      <c r="O1523" s="3113"/>
      <c r="P1523" s="2911"/>
      <c r="Q1523" s="3117"/>
    </row>
    <row r="1524" spans="1:17" ht="15.75">
      <c r="A1524" s="2969" t="str">
        <f>'Part IX A-Scoring Criteria'!A151</f>
        <v>Project does not qualify for points for redevelopment or revitalization plans.</v>
      </c>
      <c r="B1524" s="2969"/>
      <c r="C1524" s="2969"/>
      <c r="D1524" s="2969"/>
      <c r="E1524" s="2969"/>
      <c r="F1524" s="2969"/>
      <c r="G1524" s="2969"/>
      <c r="H1524" s="2969"/>
      <c r="I1524" s="2969"/>
      <c r="J1524" s="2969"/>
      <c r="K1524" s="2969"/>
      <c r="L1524" s="2969"/>
      <c r="M1524" s="2969"/>
      <c r="N1524" s="2969"/>
      <c r="O1524" s="2969"/>
      <c r="P1524" s="2969"/>
      <c r="Q1524" s="3118" t="s">
        <v>1313</v>
      </c>
    </row>
    <row r="1525" spans="1:17" ht="15">
      <c r="A1525" s="521"/>
      <c r="B1525" s="2994" t="s">
        <v>1959</v>
      </c>
      <c r="C1525" s="521"/>
      <c r="D1525" s="3034"/>
      <c r="E1525" s="3036"/>
      <c r="F1525" s="3036"/>
      <c r="G1525" s="3036"/>
      <c r="H1525" s="3036"/>
      <c r="I1525" s="3036"/>
      <c r="J1525" s="3036"/>
      <c r="K1525" s="3036"/>
      <c r="L1525" s="3036"/>
      <c r="M1525" s="3036"/>
      <c r="N1525" s="3136"/>
      <c r="O1525" s="3137"/>
      <c r="P1525" s="2924"/>
      <c r="Q1525" s="3125"/>
    </row>
    <row r="1526" spans="1:17" ht="15.75">
      <c r="A1526" s="2969">
        <f>'Part IX A-Scoring Criteria'!A153</f>
        <v>0</v>
      </c>
      <c r="B1526" s="2969"/>
      <c r="C1526" s="2969"/>
      <c r="D1526" s="2969"/>
      <c r="E1526" s="2969"/>
      <c r="F1526" s="2969"/>
      <c r="G1526" s="2969"/>
      <c r="H1526" s="2969"/>
      <c r="I1526" s="2969"/>
      <c r="J1526" s="2969"/>
      <c r="K1526" s="2969"/>
      <c r="L1526" s="2969"/>
      <c r="M1526" s="2969"/>
      <c r="N1526" s="2969"/>
      <c r="O1526" s="2969"/>
      <c r="P1526" s="2969"/>
      <c r="Q1526" s="3118" t="s">
        <v>1313</v>
      </c>
    </row>
    <row r="1527" spans="1:17">
      <c r="N1527" s="2909"/>
      <c r="O1527" s="2911"/>
      <c r="P1527" s="2911"/>
    </row>
    <row r="1528" spans="1:17" ht="15">
      <c r="A1528" s="3114" t="s">
        <v>225</v>
      </c>
      <c r="B1528" s="3115" t="s">
        <v>2579</v>
      </c>
      <c r="C1528" s="3117"/>
      <c r="D1528" s="3138"/>
      <c r="E1528" s="3138"/>
      <c r="F1528" s="3138"/>
      <c r="G1528" s="3117"/>
      <c r="H1528" s="3182" t="s">
        <v>3899</v>
      </c>
      <c r="I1528" s="3117"/>
      <c r="J1528" s="3117"/>
      <c r="K1528" s="525"/>
      <c r="L1528" s="3117"/>
      <c r="M1528" s="2924">
        <v>4</v>
      </c>
      <c r="N1528" s="2915"/>
      <c r="O1528" s="3113">
        <f>'Part IX A-Scoring Criteria'!O155</f>
        <v>3</v>
      </c>
      <c r="P1528" s="3113">
        <f>'Part IX A-Scoring Criteria'!P155</f>
        <v>0</v>
      </c>
      <c r="Q1528" s="2924" t="s">
        <v>458</v>
      </c>
    </row>
    <row r="1529" spans="1:17">
      <c r="A1529" s="3033"/>
      <c r="B1529" s="3154"/>
      <c r="D1529" s="3092"/>
      <c r="E1529" s="3154"/>
      <c r="G1529" s="3171"/>
      <c r="H1529" s="2934" t="s">
        <v>3100</v>
      </c>
      <c r="I1529" s="2916"/>
      <c r="J1529" s="3183" t="str">
        <f>'Part I-Project Information'!$H$90</f>
        <v>Rural</v>
      </c>
      <c r="K1529" s="3183"/>
    </row>
    <row r="1530" spans="1:17" ht="13.5">
      <c r="A1530" s="2927" t="s">
        <v>2080</v>
      </c>
      <c r="B1530" s="2934" t="s">
        <v>2339</v>
      </c>
      <c r="D1530" s="521"/>
      <c r="E1530" s="521"/>
      <c r="F1530" s="521"/>
      <c r="G1530" s="926" t="str">
        <f>IF(AND(O1530&lt;0,L1540&lt;0),"Select either A or B but not both!&gt;","")</f>
        <v/>
      </c>
      <c r="M1530" s="2915">
        <v>4</v>
      </c>
      <c r="N1530" s="3003" t="s">
        <v>2080</v>
      </c>
      <c r="O1530" s="2924">
        <f>'Part IX A-Scoring Criteria'!O157</f>
        <v>0</v>
      </c>
      <c r="P1530" s="2924">
        <f>'Part IX A-Scoring Criteria'!P157</f>
        <v>0</v>
      </c>
      <c r="Q1530" s="2972" t="s">
        <v>2875</v>
      </c>
    </row>
    <row r="1531" spans="1:17">
      <c r="A1531" s="505"/>
      <c r="B1531" s="3145" t="s">
        <v>2084</v>
      </c>
      <c r="C1531" s="2969" t="s">
        <v>4637</v>
      </c>
      <c r="D1531" s="2842"/>
      <c r="E1531" s="2842"/>
      <c r="F1531" s="2842"/>
      <c r="G1531" s="2842"/>
      <c r="H1531" s="2842"/>
      <c r="I1531" s="2842"/>
      <c r="J1531" s="2842"/>
      <c r="K1531" s="2842"/>
      <c r="L1531" s="2842"/>
      <c r="M1531" s="3144"/>
      <c r="N1531" s="3145" t="s">
        <v>2084</v>
      </c>
      <c r="O1531" s="3146">
        <f>'Part IX A-Scoring Criteria'!O158</f>
        <v>0</v>
      </c>
      <c r="P1531" s="3146">
        <f>'Part IX A-Scoring Criteria'!P158</f>
        <v>0</v>
      </c>
      <c r="Q1531" s="505"/>
    </row>
    <row r="1532" spans="1:17">
      <c r="A1532" s="505"/>
      <c r="B1532" s="3139"/>
      <c r="C1532" s="522" t="s">
        <v>1007</v>
      </c>
      <c r="D1532" s="505"/>
      <c r="E1532" s="505"/>
      <c r="F1532" s="505"/>
      <c r="G1532" s="505"/>
      <c r="H1532" s="3154" t="s">
        <v>2710</v>
      </c>
      <c r="I1532" s="505"/>
      <c r="J1532" s="3106">
        <f>'Part IX A-Scoring Criteria'!J159</f>
        <v>0</v>
      </c>
      <c r="K1532" s="3106"/>
      <c r="L1532" s="505"/>
      <c r="M1532" s="505"/>
      <c r="N1532" s="505"/>
      <c r="O1532" s="505"/>
      <c r="P1532" s="505"/>
      <c r="Q1532" s="505"/>
    </row>
    <row r="1533" spans="1:17">
      <c r="A1533" s="505"/>
      <c r="B1533" s="3139"/>
      <c r="C1533" s="522"/>
      <c r="D1533" s="505"/>
      <c r="E1533" s="505"/>
      <c r="F1533" s="505"/>
      <c r="G1533" s="505"/>
      <c r="H1533" s="3154" t="s">
        <v>2409</v>
      </c>
      <c r="I1533" s="505"/>
      <c r="J1533" s="3184">
        <f>'Part IX A-Scoring Criteria'!J160</f>
        <v>0</v>
      </c>
      <c r="K1533" s="3184"/>
      <c r="L1533" s="3184"/>
      <c r="M1533" s="505"/>
      <c r="N1533" s="505"/>
      <c r="O1533" s="505"/>
      <c r="P1533" s="505"/>
      <c r="Q1533" s="505"/>
    </row>
    <row r="1534" spans="1:17">
      <c r="A1534" s="522"/>
      <c r="B1534" s="3139" t="s">
        <v>2086</v>
      </c>
      <c r="C1534" s="522" t="s">
        <v>1008</v>
      </c>
      <c r="D1534" s="522"/>
      <c r="E1534" s="522"/>
      <c r="F1534" s="522"/>
      <c r="G1534" s="522"/>
      <c r="H1534" s="522"/>
      <c r="I1534" s="522"/>
      <c r="J1534" s="522"/>
      <c r="K1534" s="522"/>
      <c r="L1534" s="522"/>
      <c r="M1534" s="2915"/>
      <c r="N1534" s="3139" t="s">
        <v>2086</v>
      </c>
      <c r="O1534" s="3146">
        <f>'Part IX A-Scoring Criteria'!O161</f>
        <v>0</v>
      </c>
      <c r="P1534" s="3146">
        <f>'Part IX A-Scoring Criteria'!P161</f>
        <v>0</v>
      </c>
      <c r="Q1534" s="522"/>
    </row>
    <row r="1535" spans="1:17">
      <c r="A1535" s="522"/>
      <c r="B1535" s="3139" t="s">
        <v>2660</v>
      </c>
      <c r="C1535" s="522" t="s">
        <v>1009</v>
      </c>
      <c r="D1535" s="522"/>
      <c r="E1535" s="522"/>
      <c r="F1535" s="522"/>
      <c r="G1535" s="522"/>
      <c r="H1535" s="522"/>
      <c r="I1535" s="522"/>
      <c r="J1535" s="522"/>
      <c r="K1535" s="522"/>
      <c r="L1535" s="522"/>
      <c r="M1535" s="2915"/>
      <c r="N1535" s="3139" t="s">
        <v>2660</v>
      </c>
      <c r="O1535" s="3146">
        <f>'Part IX A-Scoring Criteria'!O162</f>
        <v>0</v>
      </c>
      <c r="P1535" s="3146">
        <f>'Part IX A-Scoring Criteria'!P162</f>
        <v>0</v>
      </c>
      <c r="Q1535" s="522"/>
    </row>
    <row r="1536" spans="1:17">
      <c r="A1536" s="3033"/>
      <c r="B1536" s="3139" t="s">
        <v>1282</v>
      </c>
      <c r="C1536" s="522" t="s">
        <v>1010</v>
      </c>
      <c r="D1536" s="522"/>
      <c r="E1536" s="522"/>
      <c r="F1536" s="522"/>
      <c r="G1536" s="522"/>
      <c r="H1536" s="522"/>
      <c r="I1536" s="522"/>
      <c r="J1536" s="522"/>
      <c r="K1536" s="522"/>
      <c r="L1536" s="522"/>
      <c r="M1536" s="2915"/>
      <c r="N1536" s="3139" t="s">
        <v>1282</v>
      </c>
      <c r="O1536" s="3146">
        <f>'Part IX A-Scoring Criteria'!O163</f>
        <v>0</v>
      </c>
      <c r="P1536" s="3146">
        <f>'Part IX A-Scoring Criteria'!P163</f>
        <v>0</v>
      </c>
      <c r="Q1536" s="522"/>
    </row>
    <row r="1537" spans="1:17">
      <c r="A1537" s="2927" t="s">
        <v>2083</v>
      </c>
      <c r="B1537" s="2934" t="s">
        <v>2340</v>
      </c>
      <c r="C1537" s="521"/>
      <c r="D1537" s="521"/>
      <c r="E1537" s="521"/>
      <c r="F1537" s="521"/>
      <c r="G1537" s="521"/>
      <c r="H1537" s="3182" t="s">
        <v>3914</v>
      </c>
      <c r="I1537" s="521"/>
      <c r="J1537" s="521"/>
      <c r="K1537" s="521"/>
      <c r="L1537" s="521"/>
      <c r="M1537" s="2915">
        <v>4</v>
      </c>
      <c r="N1537" s="3003" t="s">
        <v>2083</v>
      </c>
      <c r="O1537" s="3113">
        <f>'Part IX A-Scoring Criteria'!O164</f>
        <v>3</v>
      </c>
      <c r="P1537" s="3113">
        <f>'Part IX A-Scoring Criteria'!P164</f>
        <v>0</v>
      </c>
      <c r="Q1537" s="521"/>
    </row>
    <row r="1538" spans="1:17">
      <c r="A1538" s="521"/>
      <c r="B1538" s="3155" t="s">
        <v>2084</v>
      </c>
      <c r="C1538" s="3027" t="s">
        <v>4638</v>
      </c>
      <c r="D1538" s="521"/>
      <c r="E1538" s="521"/>
      <c r="F1538" s="521"/>
      <c r="G1538" s="521"/>
      <c r="H1538" s="521"/>
      <c r="I1538" s="521"/>
      <c r="J1538" s="521"/>
      <c r="K1538" s="521"/>
      <c r="L1538" s="521"/>
      <c r="M1538" s="2915">
        <v>4</v>
      </c>
      <c r="N1538" s="3028">
        <v>1</v>
      </c>
      <c r="O1538" s="3113">
        <f>'Part IX A-Scoring Criteria'!O165</f>
        <v>3</v>
      </c>
      <c r="P1538" s="3113">
        <f>'Part IX A-Scoring Criteria'!P165</f>
        <v>0</v>
      </c>
      <c r="Q1538" s="521"/>
    </row>
    <row r="1539" spans="1:17">
      <c r="A1539" s="521"/>
      <c r="B1539" s="3155"/>
      <c r="C1539" s="522" t="s">
        <v>3903</v>
      </c>
      <c r="D1539" s="522" t="s">
        <v>3902</v>
      </c>
      <c r="E1539" s="521"/>
      <c r="F1539" s="521"/>
      <c r="G1539" s="521"/>
      <c r="H1539" s="521"/>
      <c r="I1539" s="521"/>
      <c r="J1539" s="521"/>
      <c r="K1539" s="521"/>
      <c r="L1539" s="521"/>
      <c r="M1539" s="2915"/>
      <c r="N1539" s="2915"/>
      <c r="O1539" s="2924"/>
      <c r="P1539" s="2924"/>
      <c r="Q1539" s="521"/>
    </row>
    <row r="1540" spans="1:17">
      <c r="A1540" s="521"/>
      <c r="B1540" s="521"/>
      <c r="C1540" s="3139" t="s">
        <v>3906</v>
      </c>
      <c r="D1540" s="3031" t="s">
        <v>3900</v>
      </c>
      <c r="E1540" s="521"/>
      <c r="F1540" s="521"/>
      <c r="G1540" s="3031"/>
      <c r="H1540" s="3031"/>
      <c r="I1540" s="3031"/>
      <c r="J1540" s="3031"/>
      <c r="K1540" s="521"/>
      <c r="L1540" s="521"/>
      <c r="M1540" s="2915">
        <v>3</v>
      </c>
      <c r="N1540" s="3028" t="s">
        <v>3907</v>
      </c>
      <c r="O1540" s="2924">
        <f>'Part IX A-Scoring Criteria'!O167</f>
        <v>3</v>
      </c>
      <c r="P1540" s="2924">
        <f>'Part IX A-Scoring Criteria'!P167</f>
        <v>0</v>
      </c>
      <c r="Q1540" s="2718" t="s">
        <v>2875</v>
      </c>
    </row>
    <row r="1541" spans="1:17">
      <c r="A1541" s="521"/>
      <c r="B1541" s="521"/>
      <c r="C1541" s="3003" t="s">
        <v>235</v>
      </c>
      <c r="D1541" s="3031" t="s">
        <v>3901</v>
      </c>
      <c r="E1541" s="521"/>
      <c r="F1541" s="521"/>
      <c r="G1541" s="3031"/>
      <c r="H1541" s="3031"/>
      <c r="I1541" s="521"/>
      <c r="J1541" s="521"/>
      <c r="K1541" s="521"/>
      <c r="L1541" s="521"/>
      <c r="M1541" s="2915">
        <v>1</v>
      </c>
      <c r="N1541" s="522" t="s">
        <v>3908</v>
      </c>
      <c r="O1541" s="2924">
        <f>'Part IX A-Scoring Criteria'!O168</f>
        <v>0</v>
      </c>
      <c r="P1541" s="2924">
        <f>'Part IX A-Scoring Criteria'!P168</f>
        <v>0</v>
      </c>
      <c r="Q1541" s="2718" t="s">
        <v>2875</v>
      </c>
    </row>
    <row r="1542" spans="1:17">
      <c r="A1542" s="3033"/>
      <c r="B1542" s="3154"/>
      <c r="D1542" s="3092"/>
      <c r="E1542" s="3154"/>
      <c r="G1542" s="3171"/>
      <c r="H1542" s="3031" t="s">
        <v>3875</v>
      </c>
      <c r="J1542" s="2985" t="str">
        <f>'Part I-Project Information'!$F$28</f>
        <v>Lake Park</v>
      </c>
      <c r="K1542" s="2985"/>
    </row>
    <row r="1543" spans="1:17">
      <c r="C1543" s="3091" t="s">
        <v>3904</v>
      </c>
      <c r="D1543" s="2969" t="s">
        <v>3905</v>
      </c>
      <c r="E1543" s="2969"/>
      <c r="F1543" s="2969"/>
      <c r="G1543" s="2969"/>
      <c r="H1543" s="2969"/>
      <c r="I1543" s="2969"/>
      <c r="J1543" s="2969"/>
      <c r="K1543" s="2969"/>
      <c r="L1543" s="2969"/>
      <c r="M1543" s="2915">
        <v>3</v>
      </c>
      <c r="N1543" s="3003" t="s">
        <v>2556</v>
      </c>
      <c r="O1543" s="2924">
        <f>'Part IX A-Scoring Criteria'!O170</f>
        <v>0</v>
      </c>
      <c r="P1543" s="2924">
        <f>'Part IX A-Scoring Criteria'!P170</f>
        <v>0</v>
      </c>
      <c r="Q1543" s="2718" t="s">
        <v>2875</v>
      </c>
    </row>
    <row r="1544" spans="1:17" ht="15">
      <c r="C1544" s="3031"/>
      <c r="D1544" s="2969"/>
      <c r="E1544" s="2969"/>
      <c r="F1544" s="2969"/>
      <c r="G1544" s="2969"/>
      <c r="H1544" s="2969"/>
      <c r="I1544" s="2969"/>
      <c r="J1544" s="2969"/>
      <c r="K1544" s="2969"/>
      <c r="L1544" s="2969"/>
      <c r="N1544" s="522"/>
      <c r="O1544" s="3151"/>
      <c r="P1544" s="3151"/>
    </row>
    <row r="1545" spans="1:17">
      <c r="A1545" s="3032" t="s">
        <v>1418</v>
      </c>
      <c r="B1545" s="3179" t="s">
        <v>2086</v>
      </c>
      <c r="C1545" s="3084" t="s">
        <v>4639</v>
      </c>
      <c r="D1545" s="521"/>
      <c r="E1545" s="521"/>
      <c r="F1545" s="521"/>
      <c r="G1545" s="3031"/>
      <c r="H1545" s="3182" t="s">
        <v>3913</v>
      </c>
      <c r="I1545" s="3031"/>
      <c r="M1545" s="2909">
        <v>2</v>
      </c>
      <c r="N1545" s="3092">
        <v>2</v>
      </c>
      <c r="O1545" s="3113">
        <f>'Part IX A-Scoring Criteria'!O172</f>
        <v>0</v>
      </c>
      <c r="P1545" s="3113">
        <f>'Part IX A-Scoring Criteria'!P172</f>
        <v>0</v>
      </c>
    </row>
    <row r="1546" spans="1:17">
      <c r="A1546" s="3032"/>
      <c r="B1546" s="3179"/>
      <c r="C1546" s="3068" t="s">
        <v>3915</v>
      </c>
      <c r="D1546" s="2969" t="s">
        <v>3909</v>
      </c>
      <c r="E1546" s="2969"/>
      <c r="F1546" s="2969"/>
      <c r="G1546" s="2969"/>
      <c r="H1546" s="2969"/>
      <c r="I1546" s="2969"/>
      <c r="J1546" s="2969"/>
      <c r="K1546" s="2969"/>
      <c r="L1546" s="2969"/>
      <c r="M1546" s="2909"/>
      <c r="N1546" s="3078" t="s">
        <v>2555</v>
      </c>
      <c r="O1546" s="2924">
        <f>'Part IX A-Scoring Criteria'!O173</f>
        <v>0</v>
      </c>
      <c r="P1546" s="2924">
        <f>'Part IX A-Scoring Criteria'!P173</f>
        <v>0</v>
      </c>
      <c r="Q1546" s="2718" t="s">
        <v>2875</v>
      </c>
    </row>
    <row r="1547" spans="1:17">
      <c r="B1547" s="3179"/>
      <c r="C1547" s="3154" t="s">
        <v>3916</v>
      </c>
      <c r="D1547" s="2969"/>
      <c r="E1547" s="2969"/>
      <c r="F1547" s="2969"/>
      <c r="G1547" s="2969"/>
      <c r="H1547" s="2969"/>
      <c r="I1547" s="2969"/>
      <c r="J1547" s="2969"/>
      <c r="K1547" s="2969"/>
      <c r="L1547" s="2969"/>
      <c r="N1547" s="2909"/>
      <c r="O1547" s="2911"/>
      <c r="P1547" s="2911"/>
    </row>
    <row r="1548" spans="1:17">
      <c r="B1548" s="2907" t="s">
        <v>3797</v>
      </c>
      <c r="C1548" s="3031" t="s">
        <v>3904</v>
      </c>
      <c r="D1548" s="505" t="s">
        <v>3910</v>
      </c>
      <c r="E1548" s="521"/>
      <c r="H1548" s="3031"/>
      <c r="I1548" s="3031"/>
      <c r="J1548" s="3031"/>
      <c r="N1548" s="3078" t="s">
        <v>2556</v>
      </c>
      <c r="O1548" s="2924">
        <f>'Part IX A-Scoring Criteria'!O175</f>
        <v>0</v>
      </c>
      <c r="P1548" s="2924">
        <f>'Part IX A-Scoring Criteria'!P175</f>
        <v>0</v>
      </c>
      <c r="Q1548" s="2718" t="s">
        <v>2875</v>
      </c>
    </row>
    <row r="1549" spans="1:17" ht="15">
      <c r="A1549" s="521"/>
      <c r="B1549" s="2994" t="s">
        <v>267</v>
      </c>
      <c r="C1549" s="521"/>
      <c r="D1549" s="525"/>
      <c r="E1549" s="525"/>
      <c r="F1549" s="525"/>
      <c r="G1549" s="525"/>
      <c r="H1549" s="522"/>
      <c r="I1549" s="522"/>
      <c r="J1549" s="522"/>
      <c r="K1549" s="522"/>
      <c r="L1549" s="3117"/>
      <c r="M1549" s="2915"/>
      <c r="N1549" s="2909"/>
      <c r="O1549" s="3113"/>
      <c r="P1549" s="2911"/>
      <c r="Q1549" s="3117"/>
    </row>
    <row r="1550" spans="1:17" ht="15.75">
      <c r="A1550" s="2969" t="str">
        <f>'Part IX A-Scoring Criteria'!A177</f>
        <v>Project is in Lowndes County which has not received a tax credit award since 2009.</v>
      </c>
      <c r="B1550" s="2969"/>
      <c r="C1550" s="2969"/>
      <c r="D1550" s="2969"/>
      <c r="E1550" s="2969"/>
      <c r="F1550" s="2969"/>
      <c r="G1550" s="2969"/>
      <c r="H1550" s="2969"/>
      <c r="I1550" s="2969"/>
      <c r="J1550" s="2969"/>
      <c r="K1550" s="2969"/>
      <c r="L1550" s="2969"/>
      <c r="M1550" s="2969"/>
      <c r="N1550" s="2969"/>
      <c r="O1550" s="2969"/>
      <c r="P1550" s="2969"/>
      <c r="Q1550" s="3118" t="s">
        <v>1313</v>
      </c>
    </row>
    <row r="1551" spans="1:17" ht="15">
      <c r="A1551" s="521"/>
      <c r="B1551" s="2994" t="s">
        <v>1959</v>
      </c>
      <c r="C1551" s="521"/>
      <c r="D1551" s="3034"/>
      <c r="E1551" s="3036"/>
      <c r="F1551" s="3036"/>
      <c r="G1551" s="3036"/>
      <c r="H1551" s="3036"/>
      <c r="I1551" s="3036"/>
      <c r="J1551" s="3036"/>
      <c r="K1551" s="3036"/>
      <c r="L1551" s="3036"/>
      <c r="M1551" s="3036"/>
      <c r="N1551" s="3136"/>
      <c r="O1551" s="3137"/>
      <c r="P1551" s="2924"/>
      <c r="Q1551" s="3125"/>
    </row>
    <row r="1552" spans="1:17" ht="15.75">
      <c r="A1552" s="2969">
        <f>'Part IX A-Scoring Criteria'!A179</f>
        <v>0</v>
      </c>
      <c r="B1552" s="2969"/>
      <c r="C1552" s="2969"/>
      <c r="D1552" s="2969"/>
      <c r="E1552" s="2969"/>
      <c r="F1552" s="2969"/>
      <c r="G1552" s="2969"/>
      <c r="H1552" s="2969"/>
      <c r="I1552" s="2969"/>
      <c r="J1552" s="2969"/>
      <c r="K1552" s="2969"/>
      <c r="L1552" s="2969"/>
      <c r="M1552" s="2969"/>
      <c r="N1552" s="2969"/>
      <c r="O1552" s="2969"/>
      <c r="P1552" s="2969"/>
      <c r="Q1552" s="3118" t="s">
        <v>1313</v>
      </c>
    </row>
    <row r="1553" spans="1:17">
      <c r="N1553" s="2909"/>
      <c r="O1553" s="2911"/>
      <c r="P1553" s="2911"/>
    </row>
    <row r="1554" spans="1:17" ht="15">
      <c r="A1554" s="3114" t="s">
        <v>226</v>
      </c>
      <c r="B1554" s="3115" t="s">
        <v>3887</v>
      </c>
      <c r="C1554" s="3117"/>
      <c r="D1554" s="3117"/>
      <c r="E1554" s="3138"/>
      <c r="F1554" s="3138"/>
      <c r="G1554" s="3117"/>
      <c r="H1554" s="3182"/>
      <c r="I1554" s="3117"/>
      <c r="J1554" s="3117"/>
      <c r="K1554" s="525"/>
      <c r="L1554" s="3150" t="str">
        <f>IF(OR($O1554=$M1554,$O1554=0,$O1554=""),"","* * Check Score! * *")</f>
        <v/>
      </c>
      <c r="M1554" s="2924">
        <v>2</v>
      </c>
      <c r="N1554" s="3153" t="str">
        <f>IF(OR($O1554=$M1554,$O1554=0,$O1554=""),"","***")</f>
        <v/>
      </c>
      <c r="O1554" s="3113">
        <f>'Part IX A-Scoring Criteria'!O181</f>
        <v>2</v>
      </c>
      <c r="P1554" s="3113">
        <f>'Part IX A-Scoring Criteria'!P181</f>
        <v>2</v>
      </c>
      <c r="Q1554" s="2924" t="s">
        <v>458</v>
      </c>
    </row>
    <row r="1555" spans="1:17">
      <c r="B1555" s="505" t="s">
        <v>1749</v>
      </c>
      <c r="M1555" s="2948"/>
      <c r="P1555" s="3092" t="s">
        <v>2635</v>
      </c>
    </row>
    <row r="1556" spans="1:17">
      <c r="A1556" s="3071" t="s">
        <v>2080</v>
      </c>
      <c r="B1556" s="2969" t="s">
        <v>2765</v>
      </c>
      <c r="C1556" s="2969"/>
      <c r="D1556" s="2969"/>
      <c r="E1556" s="2969"/>
      <c r="F1556" s="2969"/>
      <c r="G1556" s="2969"/>
      <c r="H1556" s="2969"/>
      <c r="I1556" s="2969"/>
      <c r="J1556" s="2969"/>
      <c r="K1556" s="2969"/>
      <c r="L1556" s="2969"/>
      <c r="M1556" s="2944"/>
      <c r="N1556" s="3078" t="s">
        <v>2080</v>
      </c>
      <c r="O1556" s="3146" t="str">
        <f>'Part IX A-Scoring Criteria'!O183</f>
        <v>No</v>
      </c>
      <c r="P1556" s="3146">
        <f>'Part IX A-Scoring Criteria'!P183</f>
        <v>0</v>
      </c>
      <c r="Q1556" s="3077"/>
    </row>
    <row r="1557" spans="1:17">
      <c r="A1557" s="3071" t="s">
        <v>2083</v>
      </c>
      <c r="B1557" s="2969" t="s">
        <v>2911</v>
      </c>
      <c r="C1557" s="2969"/>
      <c r="D1557" s="2969"/>
      <c r="E1557" s="2969"/>
      <c r="F1557" s="2969"/>
      <c r="G1557" s="2969"/>
      <c r="H1557" s="2969"/>
      <c r="I1557" s="2969"/>
      <c r="J1557" s="2969"/>
      <c r="K1557" s="2969"/>
      <c r="L1557" s="2969"/>
      <c r="M1557" s="2944"/>
      <c r="N1557" s="3078" t="s">
        <v>2083</v>
      </c>
      <c r="O1557" s="3146" t="str">
        <f>'Part IX A-Scoring Criteria'!O184</f>
        <v>No</v>
      </c>
      <c r="P1557" s="3146">
        <f>'Part IX A-Scoring Criteria'!P184</f>
        <v>0</v>
      </c>
      <c r="Q1557" s="3077"/>
    </row>
    <row r="1558" spans="1:17">
      <c r="A1558" s="3071" t="s">
        <v>788</v>
      </c>
      <c r="B1558" s="3068" t="s">
        <v>1750</v>
      </c>
      <c r="C1558" s="3077"/>
      <c r="D1558" s="3077"/>
      <c r="E1558" s="3077"/>
      <c r="F1558" s="3077"/>
      <c r="G1558" s="3077"/>
      <c r="H1558" s="3077"/>
      <c r="I1558" s="3077"/>
      <c r="J1558" s="3077"/>
      <c r="K1558" s="3077"/>
      <c r="L1558" s="3077"/>
      <c r="M1558" s="3185"/>
      <c r="N1558" s="3003" t="s">
        <v>788</v>
      </c>
      <c r="O1558" s="3146" t="str">
        <f>'Part IX A-Scoring Criteria'!O185</f>
        <v>No</v>
      </c>
      <c r="P1558" s="3146">
        <f>'Part IX A-Scoring Criteria'!P185</f>
        <v>0</v>
      </c>
      <c r="Q1558" s="3077"/>
    </row>
    <row r="1559" spans="1:17" ht="15">
      <c r="A1559" s="3078"/>
      <c r="B1559" s="2994" t="s">
        <v>267</v>
      </c>
      <c r="C1559" s="521"/>
      <c r="D1559" s="525"/>
      <c r="E1559" s="525"/>
      <c r="F1559" s="525"/>
      <c r="G1559" s="525"/>
      <c r="H1559" s="522"/>
      <c r="I1559" s="522"/>
      <c r="J1559" s="522"/>
      <c r="K1559" s="522"/>
      <c r="L1559" s="3117"/>
      <c r="M1559" s="2915"/>
      <c r="N1559" s="2909"/>
      <c r="O1559" s="3113"/>
      <c r="P1559" s="2911"/>
      <c r="Q1559" s="3117"/>
    </row>
    <row r="1560" spans="1:17" ht="15.75">
      <c r="A1560" s="2969" t="str">
        <f>'Part IX A-Scoring Criteria'!A187</f>
        <v xml:space="preserve">There is an excellent market for this property.  The property has been operating over 20 years and has consistantly maintained an occupancy rate in excess of 95%.  </v>
      </c>
      <c r="B1560" s="2969"/>
      <c r="C1560" s="2969"/>
      <c r="D1560" s="2969"/>
      <c r="E1560" s="2969"/>
      <c r="F1560" s="2969"/>
      <c r="G1560" s="2969"/>
      <c r="H1560" s="2969"/>
      <c r="I1560" s="2969"/>
      <c r="J1560" s="2969"/>
      <c r="K1560" s="2969"/>
      <c r="L1560" s="2969"/>
      <c r="M1560" s="2969"/>
      <c r="N1560" s="2969"/>
      <c r="O1560" s="2969"/>
      <c r="P1560" s="2969"/>
      <c r="Q1560" s="3118" t="s">
        <v>1313</v>
      </c>
    </row>
    <row r="1561" spans="1:17" ht="15">
      <c r="A1561" s="521"/>
      <c r="B1561" s="2994" t="s">
        <v>1959</v>
      </c>
      <c r="C1561" s="521"/>
      <c r="D1561" s="3034"/>
      <c r="E1561" s="3036"/>
      <c r="F1561" s="3036"/>
      <c r="G1561" s="3036"/>
      <c r="H1561" s="3036"/>
      <c r="I1561" s="3036"/>
      <c r="J1561" s="3036"/>
      <c r="K1561" s="3036"/>
      <c r="L1561" s="3036"/>
      <c r="M1561" s="3036"/>
      <c r="N1561" s="3136"/>
      <c r="O1561" s="3137"/>
      <c r="P1561" s="2924"/>
      <c r="Q1561" s="3125"/>
    </row>
    <row r="1562" spans="1:17" ht="15.75">
      <c r="A1562" s="2969">
        <f>'Part IX A-Scoring Criteria'!A189</f>
        <v>0</v>
      </c>
      <c r="B1562" s="2969"/>
      <c r="C1562" s="2969"/>
      <c r="D1562" s="2969"/>
      <c r="E1562" s="2969"/>
      <c r="F1562" s="2969"/>
      <c r="G1562" s="2969"/>
      <c r="H1562" s="2969"/>
      <c r="I1562" s="2969"/>
      <c r="J1562" s="2969"/>
      <c r="K1562" s="2969"/>
      <c r="L1562" s="2969"/>
      <c r="M1562" s="2969"/>
      <c r="N1562" s="2969"/>
      <c r="O1562" s="2969"/>
      <c r="P1562" s="2969"/>
      <c r="Q1562" s="3118" t="s">
        <v>1313</v>
      </c>
    </row>
    <row r="1563" spans="1:17">
      <c r="N1563" s="2909"/>
      <c r="O1563" s="2911"/>
      <c r="P1563" s="2911"/>
    </row>
    <row r="1564" spans="1:17" ht="15">
      <c r="A1564" s="3186" t="s">
        <v>227</v>
      </c>
      <c r="B1564" s="3115" t="s">
        <v>3148</v>
      </c>
      <c r="C1564" s="3117"/>
      <c r="D1564" s="3138"/>
      <c r="E1564" s="3138"/>
      <c r="F1564" s="3138"/>
      <c r="G1564" s="3117"/>
      <c r="H1564" s="522"/>
      <c r="I1564" s="3182" t="s">
        <v>414</v>
      </c>
      <c r="J1564" s="3117"/>
      <c r="K1564" s="525"/>
      <c r="L1564" s="3117"/>
      <c r="M1564" s="2924">
        <v>1</v>
      </c>
      <c r="N1564" s="2915"/>
      <c r="O1564" s="3113">
        <f>'Part IX A-Scoring Criteria'!O191</f>
        <v>1</v>
      </c>
      <c r="P1564" s="3113">
        <f>'Part IX A-Scoring Criteria'!P191</f>
        <v>0</v>
      </c>
      <c r="Q1564" s="2924" t="s">
        <v>458</v>
      </c>
    </row>
    <row r="1565" spans="1:17" ht="15">
      <c r="A1565" s="3081" t="s">
        <v>2080</v>
      </c>
      <c r="B1565" s="2934" t="s">
        <v>2341</v>
      </c>
      <c r="C1565" s="3151"/>
      <c r="D1565" s="3182"/>
      <c r="E1565" s="3182"/>
      <c r="F1565" s="3111"/>
      <c r="H1565" s="3151"/>
      <c r="I1565" s="3151"/>
      <c r="J1565" s="3151"/>
      <c r="K1565" s="3151"/>
      <c r="L1565" s="3151"/>
      <c r="M1565" s="2915">
        <v>1</v>
      </c>
      <c r="N1565" s="3003" t="s">
        <v>2080</v>
      </c>
      <c r="O1565" s="2924">
        <f>'Part IX A-Scoring Criteria'!O192</f>
        <v>1</v>
      </c>
      <c r="P1565" s="2924">
        <f>'Part IX A-Scoring Criteria'!P192</f>
        <v>0</v>
      </c>
      <c r="Q1565" s="2972" t="s">
        <v>2875</v>
      </c>
    </row>
    <row r="1566" spans="1:17" ht="15">
      <c r="A1566" s="3081"/>
      <c r="B1566" s="3031" t="s">
        <v>2851</v>
      </c>
      <c r="C1566" s="3151"/>
      <c r="D1566" s="3182"/>
      <c r="E1566" s="3182"/>
      <c r="F1566" s="3111"/>
      <c r="H1566" s="3151"/>
      <c r="I1566" s="3151"/>
      <c r="J1566" s="3151"/>
      <c r="K1566" s="3003"/>
      <c r="L1566" s="3151"/>
      <c r="M1566" s="2915"/>
      <c r="N1566" s="3003"/>
      <c r="O1566" s="3146" t="str">
        <f>'Part IX A-Scoring Criteria'!O193</f>
        <v>Yes</v>
      </c>
      <c r="P1566" s="3146">
        <f>'Part IX A-Scoring Criteria'!P193</f>
        <v>0</v>
      </c>
      <c r="Q1566" s="2972"/>
    </row>
    <row r="1567" spans="1:17" ht="15">
      <c r="A1567" s="3081" t="s">
        <v>2083</v>
      </c>
      <c r="B1567" s="2934" t="s">
        <v>2342</v>
      </c>
      <c r="C1567" s="3117"/>
      <c r="D1567" s="522"/>
      <c r="E1567" s="3117"/>
      <c r="F1567" s="3117"/>
      <c r="G1567" s="3117"/>
      <c r="H1567" s="3117"/>
      <c r="I1567" s="3117"/>
      <c r="J1567" s="3117"/>
      <c r="K1567" s="522"/>
      <c r="L1567" s="3151"/>
      <c r="M1567" s="2915">
        <v>1</v>
      </c>
      <c r="N1567" s="3003" t="s">
        <v>2083</v>
      </c>
      <c r="O1567" s="2924">
        <f>'Part IX A-Scoring Criteria'!O194</f>
        <v>0</v>
      </c>
      <c r="P1567" s="2924">
        <f>'Part IX A-Scoring Criteria'!P194</f>
        <v>0</v>
      </c>
      <c r="Q1567" s="2972" t="s">
        <v>2875</v>
      </c>
    </row>
    <row r="1568" spans="1:17" ht="15">
      <c r="A1568" s="3081"/>
      <c r="B1568" s="3031" t="s">
        <v>2839</v>
      </c>
      <c r="C1568" s="3117"/>
      <c r="D1568" s="522"/>
      <c r="E1568" s="3117"/>
      <c r="F1568" s="3117"/>
      <c r="G1568" s="3117"/>
      <c r="H1568" s="3028"/>
      <c r="I1568" s="3117"/>
      <c r="J1568" s="3117"/>
      <c r="K1568" s="522"/>
      <c r="L1568" s="3151"/>
      <c r="M1568" s="2915"/>
      <c r="N1568" s="3003"/>
      <c r="O1568" s="3146" t="str">
        <f>'Part IX A-Scoring Criteria'!O195</f>
        <v>N/a</v>
      </c>
      <c r="P1568" s="3146">
        <f>'Part IX A-Scoring Criteria'!P195</f>
        <v>0</v>
      </c>
      <c r="Q1568" s="2972"/>
    </row>
    <row r="1569" spans="1:17" ht="15">
      <c r="A1569" s="521"/>
      <c r="B1569" s="2994" t="s">
        <v>267</v>
      </c>
      <c r="C1569" s="521"/>
      <c r="D1569" s="525"/>
      <c r="E1569" s="525"/>
      <c r="F1569" s="525"/>
      <c r="G1569" s="525"/>
      <c r="H1569" s="522"/>
      <c r="I1569" s="522"/>
      <c r="J1569" s="522"/>
      <c r="K1569" s="522"/>
      <c r="L1569" s="3117"/>
      <c r="M1569" s="2915"/>
      <c r="N1569" s="2909"/>
      <c r="O1569" s="3113"/>
      <c r="P1569" s="2911"/>
      <c r="Q1569" s="3117"/>
    </row>
    <row r="1570" spans="1:17" ht="15.75">
      <c r="A1570" s="2969" t="str">
        <f>'Part IX A-Scoring Criteria'!A197</f>
        <v>Applicant agrees to forego the cancellation option for a period of at least 5 years after close of Compliance period.</v>
      </c>
      <c r="B1570" s="2969"/>
      <c r="C1570" s="2969"/>
      <c r="D1570" s="2969"/>
      <c r="E1570" s="2969"/>
      <c r="F1570" s="2969"/>
      <c r="G1570" s="2969"/>
      <c r="H1570" s="2969"/>
      <c r="I1570" s="2969"/>
      <c r="J1570" s="2969"/>
      <c r="K1570" s="2969"/>
      <c r="L1570" s="2969"/>
      <c r="M1570" s="2969"/>
      <c r="N1570" s="2969"/>
      <c r="O1570" s="2969"/>
      <c r="P1570" s="2969"/>
      <c r="Q1570" s="3118" t="s">
        <v>1313</v>
      </c>
    </row>
    <row r="1571" spans="1:17" ht="15">
      <c r="A1571" s="521"/>
      <c r="B1571" s="2994" t="s">
        <v>1959</v>
      </c>
      <c r="C1571" s="521"/>
      <c r="D1571" s="3034"/>
      <c r="E1571" s="3036"/>
      <c r="F1571" s="3036"/>
      <c r="G1571" s="3036"/>
      <c r="H1571" s="3036"/>
      <c r="I1571" s="3036"/>
      <c r="J1571" s="3036"/>
      <c r="K1571" s="3036"/>
      <c r="L1571" s="3036"/>
      <c r="M1571" s="3036"/>
      <c r="N1571" s="3136"/>
      <c r="O1571" s="3137"/>
      <c r="P1571" s="2924"/>
      <c r="Q1571" s="3125"/>
    </row>
    <row r="1572" spans="1:17" ht="15.75">
      <c r="A1572" s="2969">
        <f>'Part IX A-Scoring Criteria'!A199</f>
        <v>0</v>
      </c>
      <c r="B1572" s="2969"/>
      <c r="C1572" s="2969"/>
      <c r="D1572" s="2969"/>
      <c r="E1572" s="2969"/>
      <c r="F1572" s="2969"/>
      <c r="G1572" s="2969"/>
      <c r="H1572" s="2969"/>
      <c r="I1572" s="2969"/>
      <c r="J1572" s="2969"/>
      <c r="K1572" s="2969"/>
      <c r="L1572" s="2969"/>
      <c r="M1572" s="2969"/>
      <c r="N1572" s="2969"/>
      <c r="O1572" s="2969"/>
      <c r="P1572" s="2969"/>
      <c r="Q1572" s="3118" t="s">
        <v>1313</v>
      </c>
    </row>
    <row r="1573" spans="1:17" ht="15">
      <c r="A1573" s="521"/>
      <c r="B1573" s="521"/>
      <c r="C1573" s="3036"/>
      <c r="D1573" s="3036"/>
      <c r="E1573" s="3036"/>
      <c r="F1573" s="3036"/>
      <c r="G1573" s="3036"/>
      <c r="H1573" s="3036"/>
      <c r="I1573" s="3036"/>
      <c r="J1573" s="3036"/>
      <c r="K1573" s="3036"/>
      <c r="L1573" s="3036"/>
      <c r="M1573" s="3036"/>
      <c r="N1573" s="3136"/>
      <c r="O1573" s="3137"/>
      <c r="P1573" s="2924"/>
      <c r="Q1573" s="3117"/>
    </row>
    <row r="1574" spans="1:17" ht="15">
      <c r="A1574" s="3186" t="s">
        <v>245</v>
      </c>
      <c r="B1574" s="3120" t="s">
        <v>3888</v>
      </c>
      <c r="C1574" s="2987"/>
      <c r="D1574" s="3093"/>
      <c r="E1574" s="522"/>
      <c r="F1574" s="3117"/>
      <c r="G1574" s="3117"/>
      <c r="H1574" s="3117"/>
      <c r="I1574" s="3117"/>
      <c r="J1574" s="3117"/>
      <c r="K1574" s="3117"/>
      <c r="L1574" s="3117"/>
      <c r="M1574" s="2924">
        <v>3</v>
      </c>
      <c r="N1574" s="2915"/>
      <c r="O1574" s="2915"/>
      <c r="P1574" s="2924">
        <f>'Part IX A-Scoring Criteria'!P201</f>
        <v>0</v>
      </c>
      <c r="Q1574" s="2924" t="s">
        <v>458</v>
      </c>
    </row>
    <row r="1575" spans="1:17" ht="15">
      <c r="A1575" s="3186"/>
      <c r="B1575" s="3031" t="s">
        <v>2842</v>
      </c>
      <c r="C1575" s="2987"/>
      <c r="D1575" s="3093"/>
      <c r="E1575" s="522"/>
      <c r="F1575" s="3117"/>
      <c r="G1575" s="3117"/>
      <c r="H1575" s="3117"/>
      <c r="I1575" s="2918">
        <f>'Part I-Project Information'!$H$86</f>
        <v>0</v>
      </c>
      <c r="J1575" s="3117"/>
      <c r="K1575" s="3117"/>
      <c r="L1575" s="3117"/>
      <c r="M1575" s="2924"/>
      <c r="N1575" s="2924"/>
      <c r="O1575" s="3092" t="s">
        <v>2635</v>
      </c>
      <c r="P1575" s="3092" t="s">
        <v>2635</v>
      </c>
      <c r="Q1575" s="2924"/>
    </row>
    <row r="1576" spans="1:17" ht="15">
      <c r="A1576" s="3081"/>
      <c r="B1576" s="505" t="s">
        <v>4068</v>
      </c>
      <c r="C1576" s="3117"/>
      <c r="D1576" s="521"/>
      <c r="E1576" s="3117"/>
      <c r="F1576" s="3117"/>
      <c r="G1576" s="3117"/>
      <c r="H1576" s="3117"/>
      <c r="I1576" s="3117"/>
      <c r="J1576" s="3117"/>
      <c r="K1576" s="3117"/>
      <c r="L1576" s="3117"/>
      <c r="M1576" s="3117"/>
      <c r="N1576" s="3003"/>
      <c r="O1576" s="3146">
        <f>'Part IX A-Scoring Criteria'!O203</f>
        <v>0</v>
      </c>
      <c r="P1576" s="3146">
        <f>'Part IX A-Scoring Criteria'!P203</f>
        <v>0</v>
      </c>
      <c r="Q1576" s="3117"/>
    </row>
    <row r="1577" spans="1:17" ht="15">
      <c r="A1577" s="3081"/>
      <c r="B1577" s="505" t="s">
        <v>4069</v>
      </c>
      <c r="C1577" s="3117"/>
      <c r="D1577" s="521"/>
      <c r="E1577" s="3117"/>
      <c r="F1577" s="3117"/>
      <c r="G1577" s="3117"/>
      <c r="H1577" s="3117"/>
      <c r="I1577" s="3117"/>
      <c r="J1577" s="3117"/>
      <c r="K1577" s="3117"/>
      <c r="L1577" s="3117"/>
      <c r="M1577" s="3117"/>
      <c r="N1577" s="3003"/>
      <c r="O1577" s="3146">
        <f>'Part IX A-Scoring Criteria'!O204</f>
        <v>0</v>
      </c>
      <c r="P1577" s="3146">
        <f>'Part IX A-Scoring Criteria'!P204</f>
        <v>0</v>
      </c>
      <c r="Q1577" s="3117"/>
    </row>
    <row r="1578" spans="1:17" ht="15">
      <c r="A1578" s="3081"/>
      <c r="B1578" s="505" t="s">
        <v>3889</v>
      </c>
      <c r="C1578" s="3117"/>
      <c r="D1578" s="521"/>
      <c r="E1578" s="3117"/>
      <c r="F1578" s="3117"/>
      <c r="G1578" s="3117"/>
      <c r="H1578" s="3117"/>
      <c r="I1578" s="3117"/>
      <c r="J1578" s="3117"/>
      <c r="K1578" s="3117"/>
      <c r="L1578" s="3117"/>
      <c r="M1578" s="3117"/>
      <c r="N1578" s="3003"/>
      <c r="O1578" s="3146">
        <f>'Part IX A-Scoring Criteria'!O205</f>
        <v>0</v>
      </c>
      <c r="P1578" s="3146">
        <f>'Part IX A-Scoring Criteria'!P205</f>
        <v>0</v>
      </c>
      <c r="Q1578" s="3117"/>
    </row>
    <row r="1579" spans="1:17" ht="15">
      <c r="A1579" s="521"/>
      <c r="B1579" s="2994" t="s">
        <v>267</v>
      </c>
      <c r="C1579" s="521"/>
      <c r="D1579" s="525"/>
      <c r="E1579" s="525"/>
      <c r="F1579" s="525"/>
      <c r="G1579" s="525"/>
      <c r="H1579" s="522"/>
      <c r="I1579" s="522"/>
      <c r="J1579" s="522"/>
      <c r="K1579" s="522"/>
      <c r="L1579" s="3117"/>
      <c r="M1579" s="2915"/>
      <c r="N1579" s="2909"/>
      <c r="O1579" s="3113"/>
      <c r="P1579" s="2911"/>
      <c r="Q1579" s="3117"/>
    </row>
    <row r="1580" spans="1:17" ht="15.75">
      <c r="A1580" s="2969" t="str">
        <f>'Part IX A-Scoring Criteria'!A207</f>
        <v>Applicant is not a non-profit.</v>
      </c>
      <c r="B1580" s="2969"/>
      <c r="C1580" s="2969"/>
      <c r="D1580" s="2969"/>
      <c r="E1580" s="2969"/>
      <c r="F1580" s="2969"/>
      <c r="G1580" s="2969"/>
      <c r="H1580" s="2969"/>
      <c r="I1580" s="2969"/>
      <c r="J1580" s="2969"/>
      <c r="K1580" s="2969"/>
      <c r="L1580" s="2969"/>
      <c r="M1580" s="2969"/>
      <c r="N1580" s="2969"/>
      <c r="O1580" s="2969"/>
      <c r="P1580" s="2969"/>
      <c r="Q1580" s="3118" t="s">
        <v>1313</v>
      </c>
    </row>
    <row r="1581" spans="1:17" ht="15">
      <c r="A1581" s="521"/>
      <c r="B1581" s="2994" t="s">
        <v>1959</v>
      </c>
      <c r="C1581" s="521"/>
      <c r="D1581" s="3034"/>
      <c r="E1581" s="3036"/>
      <c r="F1581" s="3036"/>
      <c r="G1581" s="3036"/>
      <c r="H1581" s="3036"/>
      <c r="I1581" s="3036"/>
      <c r="J1581" s="3036"/>
      <c r="K1581" s="3036"/>
      <c r="L1581" s="3036"/>
      <c r="M1581" s="3036"/>
      <c r="N1581" s="3136"/>
      <c r="O1581" s="3137"/>
      <c r="P1581" s="2924"/>
      <c r="Q1581" s="3125"/>
    </row>
    <row r="1582" spans="1:17" ht="15.75">
      <c r="A1582" s="2969">
        <f>'Part IX A-Scoring Criteria'!A209</f>
        <v>0</v>
      </c>
      <c r="B1582" s="2969"/>
      <c r="C1582" s="2969"/>
      <c r="D1582" s="2969"/>
      <c r="E1582" s="2969"/>
      <c r="F1582" s="2969"/>
      <c r="G1582" s="2969"/>
      <c r="H1582" s="2969"/>
      <c r="I1582" s="2969"/>
      <c r="J1582" s="2969"/>
      <c r="K1582" s="2969"/>
      <c r="L1582" s="2969"/>
      <c r="M1582" s="2969"/>
      <c r="N1582" s="2969"/>
      <c r="O1582" s="2969"/>
      <c r="P1582" s="2969"/>
      <c r="Q1582" s="3118" t="s">
        <v>1313</v>
      </c>
    </row>
    <row r="1583" spans="1:17">
      <c r="N1583" s="2909"/>
      <c r="O1583" s="2911"/>
      <c r="P1583" s="2911"/>
    </row>
    <row r="1584" spans="1:17" ht="15">
      <c r="A1584" s="3114" t="s">
        <v>246</v>
      </c>
      <c r="B1584" s="3115" t="s">
        <v>3149</v>
      </c>
      <c r="C1584" s="3187"/>
      <c r="D1584" s="3187"/>
      <c r="E1584" s="3187"/>
      <c r="F1584" s="3187"/>
      <c r="G1584" s="522" t="s">
        <v>3100</v>
      </c>
      <c r="H1584" s="505"/>
      <c r="I1584" s="3091" t="str">
        <f>'Part I-Project Information'!$H$90</f>
        <v>Rural</v>
      </c>
      <c r="J1584" s="3187"/>
      <c r="K1584" s="3187"/>
      <c r="L1584" s="3187"/>
      <c r="M1584" s="2924">
        <v>3</v>
      </c>
      <c r="N1584" s="3153" t="str">
        <f>IF(OR($O1584=$M1584,$O1584=0,$O1584=""),"","***")</f>
        <v/>
      </c>
      <c r="O1584" s="3113">
        <f>'Part IX A-Scoring Criteria'!O211</f>
        <v>0</v>
      </c>
      <c r="P1584" s="3113">
        <f>'Part IX A-Scoring Criteria'!P211</f>
        <v>0</v>
      </c>
      <c r="Q1584" s="2924" t="s">
        <v>458</v>
      </c>
    </row>
    <row r="1585" spans="1:17" ht="15">
      <c r="A1585" s="3114"/>
      <c r="B1585" s="3187"/>
      <c r="C1585" s="3187"/>
      <c r="D1585" s="3187"/>
      <c r="E1585" s="3187"/>
      <c r="F1585" s="3187"/>
      <c r="G1585" s="3154" t="s">
        <v>3891</v>
      </c>
      <c r="H1585" s="3138"/>
      <c r="I1585" s="3031" t="str">
        <f>'Part I-Project Information'!$K$30</f>
        <v>Rural</v>
      </c>
      <c r="J1585" s="3187"/>
      <c r="K1585" s="3031" t="str">
        <f>IF(I1584="Flexible","(NOTE: Only Rural pool applicants are eligible for this section.)","")</f>
        <v/>
      </c>
      <c r="L1585" s="3187"/>
      <c r="M1585" s="2924"/>
      <c r="N1585" s="3153"/>
      <c r="O1585" s="3153"/>
      <c r="P1585" s="3153"/>
      <c r="Q1585" s="3187"/>
    </row>
    <row r="1586" spans="1:17">
      <c r="A1586" s="3071" t="s">
        <v>2080</v>
      </c>
      <c r="B1586" s="2969" t="s">
        <v>4640</v>
      </c>
      <c r="C1586" s="2969"/>
      <c r="D1586" s="2969"/>
      <c r="E1586" s="2969"/>
      <c r="F1586" s="2969"/>
      <c r="G1586" s="2969"/>
      <c r="H1586" s="2969"/>
      <c r="I1586" s="2969"/>
      <c r="J1586" s="2969"/>
      <c r="K1586" s="2969"/>
      <c r="L1586" s="2969"/>
      <c r="M1586" s="3144">
        <v>2</v>
      </c>
      <c r="N1586" s="3078" t="s">
        <v>2080</v>
      </c>
      <c r="O1586" s="2924">
        <f>'Part IX A-Scoring Criteria'!O213</f>
        <v>0</v>
      </c>
      <c r="P1586" s="2924">
        <f>'Part IX A-Scoring Criteria'!P213</f>
        <v>0</v>
      </c>
      <c r="Q1586" s="3126" t="s">
        <v>2875</v>
      </c>
    </row>
    <row r="1587" spans="1:17" ht="15">
      <c r="A1587" s="3114"/>
      <c r="B1587" s="3187"/>
      <c r="C1587" s="2916"/>
      <c r="D1587" s="3187"/>
      <c r="E1587" s="3188"/>
      <c r="F1587" s="3187"/>
      <c r="G1587" s="3154" t="s">
        <v>1880</v>
      </c>
      <c r="H1587" s="3187"/>
      <c r="I1587" s="3031">
        <f>'Part VI-Revenues &amp; Expenses'!$M$62</f>
        <v>42</v>
      </c>
      <c r="J1587" s="3031" t="s">
        <v>4047</v>
      </c>
      <c r="K1587" s="3189"/>
      <c r="L1587" s="566"/>
      <c r="M1587" s="2924"/>
      <c r="N1587" s="3153"/>
      <c r="O1587" s="3153"/>
      <c r="P1587" s="3153"/>
      <c r="Q1587" s="2924"/>
    </row>
    <row r="1588" spans="1:17" ht="15">
      <c r="A1588" s="3114"/>
      <c r="B1588" s="3031"/>
      <c r="C1588" s="2916"/>
      <c r="D1588" s="3187"/>
      <c r="E1588" s="3188"/>
      <c r="F1588" s="3187"/>
      <c r="G1588" s="3154" t="s">
        <v>4046</v>
      </c>
      <c r="H1588" s="3187"/>
      <c r="I1588" s="3190">
        <f>'Part VI-Revenues &amp; Expenses'!$M$74</f>
        <v>0</v>
      </c>
      <c r="J1588" s="3191"/>
      <c r="K1588" s="3189"/>
      <c r="L1588" s="566"/>
      <c r="M1588" s="2924"/>
      <c r="N1588" s="3153"/>
      <c r="O1588" s="3153"/>
      <c r="P1588" s="3153"/>
      <c r="Q1588" s="2924"/>
    </row>
    <row r="1589" spans="1:17" ht="15">
      <c r="A1589" s="3114"/>
      <c r="B1589" s="2934"/>
      <c r="C1589" s="2916"/>
      <c r="D1589" s="3187"/>
      <c r="E1589" s="3188"/>
      <c r="F1589" s="3187"/>
      <c r="G1589" s="3154" t="s">
        <v>3062</v>
      </c>
      <c r="H1589" s="3187"/>
      <c r="I1589" s="3192">
        <f>'Part VI-Revenues &amp; Expenses'!$M$74/'Part VI-Revenues &amp; Expenses'!$M$62</f>
        <v>0</v>
      </c>
      <c r="J1589" s="3191"/>
      <c r="K1589" s="3189"/>
      <c r="L1589" s="566"/>
      <c r="M1589" s="2924"/>
      <c r="N1589" s="3153"/>
      <c r="O1589" s="3153"/>
      <c r="P1589" s="3153"/>
      <c r="Q1589" s="2924"/>
    </row>
    <row r="1590" spans="1:17" ht="13.5">
      <c r="A1590" s="3071" t="s">
        <v>2083</v>
      </c>
      <c r="B1590" s="3068" t="s">
        <v>4641</v>
      </c>
      <c r="C1590" s="3068"/>
      <c r="D1590" s="3068"/>
      <c r="E1590" s="3068"/>
      <c r="F1590" s="3068"/>
      <c r="G1590" s="3068"/>
      <c r="H1590" s="3068"/>
      <c r="I1590" s="3091"/>
      <c r="J1590" s="3068"/>
      <c r="K1590" s="3068"/>
      <c r="L1590" s="3068"/>
      <c r="M1590" s="2915">
        <v>1</v>
      </c>
      <c r="N1590" s="3003" t="s">
        <v>2083</v>
      </c>
      <c r="O1590" s="2924">
        <f>'Part IX A-Scoring Criteria'!O217</f>
        <v>0</v>
      </c>
      <c r="P1590" s="2924">
        <f>'Part IX A-Scoring Criteria'!P217</f>
        <v>0</v>
      </c>
      <c r="Q1590" s="2972" t="s">
        <v>2875</v>
      </c>
    </row>
    <row r="1591" spans="1:17" ht="15">
      <c r="A1591" s="3114"/>
      <c r="B1591" s="2934"/>
      <c r="C1591" s="2916"/>
      <c r="D1591" s="3187"/>
      <c r="E1591" s="3188"/>
      <c r="F1591" s="3187"/>
      <c r="G1591" s="3154" t="s">
        <v>3890</v>
      </c>
      <c r="H1591" s="3187"/>
      <c r="I1591" s="3154" t="str">
        <f>'Part I-Project Information'!$H$67</f>
        <v>Family</v>
      </c>
      <c r="J1591" s="3191"/>
      <c r="K1591" s="3189"/>
      <c r="L1591" s="566"/>
      <c r="M1591" s="2924"/>
      <c r="N1591" s="3153"/>
      <c r="O1591" s="3153"/>
      <c r="P1591" s="3153"/>
      <c r="Q1591" s="2924"/>
    </row>
    <row r="1592" spans="1:17" ht="15">
      <c r="A1592" s="521"/>
      <c r="B1592" s="2994" t="s">
        <v>267</v>
      </c>
      <c r="C1592" s="521"/>
      <c r="D1592" s="525"/>
      <c r="E1592" s="525"/>
      <c r="F1592" s="525"/>
      <c r="G1592" s="525"/>
      <c r="H1592" s="522"/>
      <c r="I1592" s="522"/>
      <c r="J1592" s="3034" t="s">
        <v>1959</v>
      </c>
      <c r="K1592" s="3117"/>
      <c r="L1592" s="3117"/>
      <c r="M1592" s="2915"/>
      <c r="N1592" s="2909"/>
      <c r="O1592" s="3113"/>
      <c r="P1592" s="2911"/>
      <c r="Q1592" s="3117"/>
    </row>
    <row r="1593" spans="1:17" ht="15.75">
      <c r="A1593" s="2969" t="str">
        <f>'Part IX A-Scoring Criteria'!A220</f>
        <v>No points claimed for rural priority due to project being a rehab.</v>
      </c>
      <c r="B1593" s="2969"/>
      <c r="C1593" s="2969"/>
      <c r="D1593" s="2969"/>
      <c r="E1593" s="2969"/>
      <c r="F1593" s="2969"/>
      <c r="G1593" s="2969"/>
      <c r="H1593" s="2969"/>
      <c r="I1593" s="2969"/>
      <c r="J1593" s="2969">
        <f>'Part IX A-Scoring Criteria'!J220</f>
        <v>0</v>
      </c>
      <c r="K1593" s="2969"/>
      <c r="L1593" s="2969"/>
      <c r="M1593" s="2969"/>
      <c r="N1593" s="2969"/>
      <c r="O1593" s="2969"/>
      <c r="P1593" s="2969"/>
      <c r="Q1593" s="3118" t="s">
        <v>1313</v>
      </c>
    </row>
    <row r="1594" spans="1:17" ht="15">
      <c r="A1594" s="521"/>
      <c r="B1594" s="3117"/>
      <c r="C1594" s="3036"/>
      <c r="D1594" s="3036"/>
      <c r="E1594" s="3036"/>
      <c r="F1594" s="3036"/>
      <c r="G1594" s="3036"/>
      <c r="H1594" s="3036"/>
      <c r="I1594" s="3036"/>
      <c r="J1594" s="3036"/>
      <c r="K1594" s="3036"/>
      <c r="L1594" s="3036"/>
      <c r="M1594" s="3036"/>
      <c r="N1594" s="3136"/>
      <c r="O1594" s="3137"/>
      <c r="P1594" s="2924"/>
      <c r="Q1594" s="3117"/>
    </row>
    <row r="1595" spans="1:17" ht="15">
      <c r="A1595" s="3114" t="s">
        <v>1472</v>
      </c>
      <c r="B1595" s="3120" t="s">
        <v>1752</v>
      </c>
      <c r="C1595" s="3117"/>
      <c r="D1595" s="2987"/>
      <c r="E1595" s="2987"/>
      <c r="F1595" s="3117"/>
      <c r="G1595" s="522"/>
      <c r="H1595" s="522"/>
      <c r="I1595" s="522"/>
      <c r="J1595" s="3117"/>
      <c r="K1595" s="3028"/>
      <c r="L1595" s="3150" t="str">
        <f>IF(OR($O1595=$M1595,$O1595=0,$O1595=""),"","* * Check Score! * *")</f>
        <v/>
      </c>
      <c r="M1595" s="2924">
        <v>1</v>
      </c>
      <c r="N1595" s="3153" t="str">
        <f>IF(OR($O1595=$M1595,$O1595=0,$O1595=""),"","***")</f>
        <v/>
      </c>
      <c r="O1595" s="2924">
        <f>'Part IX A-Scoring Criteria'!O222</f>
        <v>0</v>
      </c>
      <c r="P1595" s="2924">
        <f>'Part IX A-Scoring Criteria'!P222</f>
        <v>0</v>
      </c>
      <c r="Q1595" s="2924" t="s">
        <v>458</v>
      </c>
    </row>
    <row r="1596" spans="1:17" ht="15">
      <c r="A1596" s="3117"/>
      <c r="B1596" s="3064" t="s">
        <v>3150</v>
      </c>
      <c r="C1596" s="3117"/>
      <c r="D1596" s="3151"/>
      <c r="E1596" s="2987"/>
      <c r="F1596" s="522"/>
      <c r="G1596" s="522"/>
      <c r="H1596" s="522"/>
      <c r="I1596" s="3032"/>
      <c r="J1596" s="3117"/>
      <c r="K1596" s="3117"/>
      <c r="L1596" s="3117"/>
      <c r="M1596" s="3117"/>
      <c r="N1596" s="3117"/>
      <c r="O1596" s="3092" t="s">
        <v>2635</v>
      </c>
      <c r="P1596" s="3092" t="s">
        <v>2635</v>
      </c>
      <c r="Q1596" s="3117"/>
    </row>
    <row r="1597" spans="1:17">
      <c r="A1597" s="3081" t="s">
        <v>2080</v>
      </c>
      <c r="B1597" s="522" t="s">
        <v>3268</v>
      </c>
      <c r="C1597" s="505"/>
      <c r="D1597" s="522"/>
      <c r="E1597" s="522"/>
      <c r="F1597" s="522"/>
      <c r="G1597" s="505"/>
      <c r="H1597" s="505"/>
      <c r="I1597" s="3040" t="str">
        <f>'Part IX A-Scoring Criteria'!I224</f>
        <v>&lt; Select applicable GICH &gt;</v>
      </c>
      <c r="J1597" s="3040"/>
      <c r="K1597" s="3040"/>
      <c r="L1597" s="505"/>
      <c r="M1597" s="505"/>
      <c r="N1597" s="3003" t="s">
        <v>2080</v>
      </c>
      <c r="O1597" s="3146">
        <f>'Part IX A-Scoring Criteria'!O224</f>
        <v>0</v>
      </c>
      <c r="P1597" s="3146">
        <f>'Part IX A-Scoring Criteria'!P224</f>
        <v>0</v>
      </c>
      <c r="Q1597" s="505"/>
    </row>
    <row r="1598" spans="1:17">
      <c r="A1598" s="3081" t="s">
        <v>2083</v>
      </c>
      <c r="B1598" s="522" t="s">
        <v>3269</v>
      </c>
      <c r="C1598" s="505"/>
      <c r="D1598" s="522"/>
      <c r="E1598" s="522"/>
      <c r="F1598" s="522"/>
      <c r="G1598" s="522"/>
      <c r="H1598" s="505"/>
      <c r="I1598" s="505"/>
      <c r="J1598" s="505"/>
      <c r="K1598" s="505"/>
      <c r="L1598" s="505"/>
      <c r="M1598" s="522"/>
      <c r="N1598" s="3003" t="s">
        <v>2083</v>
      </c>
      <c r="O1598" s="3146">
        <f>'Part IX A-Scoring Criteria'!O225</f>
        <v>0</v>
      </c>
      <c r="P1598" s="3146">
        <f>'Part IX A-Scoring Criteria'!P225</f>
        <v>0</v>
      </c>
      <c r="Q1598" s="505"/>
    </row>
    <row r="1599" spans="1:17">
      <c r="A1599" s="3081" t="s">
        <v>788</v>
      </c>
      <c r="B1599" s="522" t="s">
        <v>4196</v>
      </c>
      <c r="C1599" s="505"/>
      <c r="D1599" s="522"/>
      <c r="E1599" s="522"/>
      <c r="F1599" s="522"/>
      <c r="G1599" s="522"/>
      <c r="H1599" s="522"/>
      <c r="I1599" s="505"/>
      <c r="J1599" s="505"/>
      <c r="K1599" s="505"/>
      <c r="L1599" s="522"/>
      <c r="M1599" s="522"/>
      <c r="N1599" s="3003" t="s">
        <v>788</v>
      </c>
      <c r="O1599" s="3146">
        <f>'Part IX A-Scoring Criteria'!O226</f>
        <v>0</v>
      </c>
      <c r="P1599" s="3146">
        <f>'Part IX A-Scoring Criteria'!P226</f>
        <v>0</v>
      </c>
      <c r="Q1599" s="505"/>
    </row>
    <row r="1600" spans="1:17">
      <c r="A1600" s="3081" t="s">
        <v>2215</v>
      </c>
      <c r="B1600" s="522" t="s">
        <v>4070</v>
      </c>
      <c r="C1600" s="505"/>
      <c r="D1600" s="522"/>
      <c r="E1600" s="522"/>
      <c r="F1600" s="522"/>
      <c r="G1600" s="522"/>
      <c r="H1600" s="522"/>
      <c r="I1600" s="522"/>
      <c r="J1600" s="522"/>
      <c r="K1600" s="522"/>
      <c r="L1600" s="522"/>
      <c r="M1600" s="522"/>
      <c r="N1600" s="3003" t="s">
        <v>2215</v>
      </c>
      <c r="O1600" s="3146">
        <f>'Part IX A-Scoring Criteria'!O227</f>
        <v>0</v>
      </c>
      <c r="P1600" s="3146">
        <f>'Part IX A-Scoring Criteria'!P227</f>
        <v>0</v>
      </c>
      <c r="Q1600" s="505"/>
    </row>
    <row r="1601" spans="1:17">
      <c r="A1601" s="3193" t="s">
        <v>3270</v>
      </c>
      <c r="B1601" s="522"/>
      <c r="C1601" s="505"/>
      <c r="D1601" s="522"/>
      <c r="E1601" s="522"/>
      <c r="F1601" s="522"/>
      <c r="G1601" s="522"/>
      <c r="H1601" s="522"/>
      <c r="I1601" s="522"/>
      <c r="J1601" s="522"/>
      <c r="K1601" s="522"/>
      <c r="L1601" s="522"/>
      <c r="M1601" s="522"/>
      <c r="N1601" s="3003"/>
      <c r="O1601" s="3003"/>
      <c r="P1601" s="3003"/>
      <c r="Q1601" s="505"/>
    </row>
    <row r="1602" spans="1:17" ht="15">
      <c r="A1602" s="521"/>
      <c r="B1602" s="2994" t="s">
        <v>267</v>
      </c>
      <c r="C1602" s="521"/>
      <c r="D1602" s="525"/>
      <c r="E1602" s="525"/>
      <c r="F1602" s="525"/>
      <c r="G1602" s="525"/>
      <c r="H1602" s="522"/>
      <c r="I1602" s="522"/>
      <c r="J1602" s="3034" t="s">
        <v>1959</v>
      </c>
      <c r="K1602" s="3117"/>
      <c r="L1602" s="3117"/>
      <c r="M1602" s="2915"/>
      <c r="N1602" s="2909"/>
      <c r="O1602" s="3113"/>
      <c r="P1602" s="2911"/>
      <c r="Q1602" s="3117"/>
    </row>
    <row r="1603" spans="1:17" ht="15.75">
      <c r="A1603" s="2969" t="str">
        <f>'Part IX A-Scoring Criteria'!A230</f>
        <v>Not a DCA community initiative community so no points claimed.</v>
      </c>
      <c r="B1603" s="2969"/>
      <c r="C1603" s="2969"/>
      <c r="D1603" s="2969"/>
      <c r="E1603" s="2969"/>
      <c r="F1603" s="2969"/>
      <c r="G1603" s="2969"/>
      <c r="H1603" s="2969"/>
      <c r="I1603" s="2969"/>
      <c r="J1603" s="2969">
        <f>'Part IX A-Scoring Criteria'!J230</f>
        <v>0</v>
      </c>
      <c r="K1603" s="2969"/>
      <c r="L1603" s="2969"/>
      <c r="M1603" s="2969"/>
      <c r="N1603" s="2969"/>
      <c r="O1603" s="2969"/>
      <c r="P1603" s="2969"/>
      <c r="Q1603" s="3118" t="s">
        <v>1313</v>
      </c>
    </row>
    <row r="1604" spans="1:17">
      <c r="N1604" s="2909"/>
      <c r="O1604" s="2911"/>
      <c r="P1604" s="2911"/>
    </row>
    <row r="1605" spans="1:17" ht="15">
      <c r="A1605" s="3114" t="s">
        <v>1751</v>
      </c>
      <c r="B1605" s="3120" t="s">
        <v>3152</v>
      </c>
      <c r="C1605" s="3117"/>
      <c r="D1605" s="2987"/>
      <c r="E1605" s="2987"/>
      <c r="F1605" s="522"/>
      <c r="G1605" s="522"/>
      <c r="H1605" s="522"/>
      <c r="I1605" s="2934" t="s">
        <v>3100</v>
      </c>
      <c r="J1605" s="2916"/>
      <c r="K1605" s="3187"/>
      <c r="L1605" s="2934" t="str">
        <f>'Part I-Project Information'!$H$90</f>
        <v>Rural</v>
      </c>
      <c r="M1605" s="3113">
        <v>8</v>
      </c>
      <c r="N1605" s="2915"/>
      <c r="O1605" s="3113">
        <f>'Part IX A-Scoring Criteria'!O232</f>
        <v>0</v>
      </c>
      <c r="P1605" s="3113">
        <f>'Part IX A-Scoring Criteria'!P232</f>
        <v>0</v>
      </c>
      <c r="Q1605" s="2924" t="s">
        <v>458</v>
      </c>
    </row>
    <row r="1606" spans="1:17" ht="15">
      <c r="A1606" s="521"/>
      <c r="B1606" s="3064" t="s">
        <v>3275</v>
      </c>
      <c r="C1606" s="3117"/>
      <c r="D1606" s="3117"/>
      <c r="E1606" s="2987"/>
      <c r="F1606" s="522"/>
      <c r="G1606" s="522"/>
      <c r="H1606" s="522"/>
      <c r="I1606" s="522"/>
      <c r="J1606" s="3117"/>
      <c r="K1606" s="3028"/>
      <c r="L1606" s="3194"/>
      <c r="M1606" s="3117"/>
      <c r="N1606" s="3117"/>
      <c r="O1606" s="3092" t="s">
        <v>2635</v>
      </c>
      <c r="P1606" s="3092" t="s">
        <v>2635</v>
      </c>
      <c r="Q1606" s="3117"/>
    </row>
    <row r="1607" spans="1:17" ht="15">
      <c r="A1607" s="505"/>
      <c r="B1607" s="3195" t="s">
        <v>2084</v>
      </c>
      <c r="C1607" s="505" t="s">
        <v>3151</v>
      </c>
      <c r="D1607" s="505"/>
      <c r="E1607" s="2987"/>
      <c r="F1607" s="522"/>
      <c r="G1607" s="522"/>
      <c r="H1607" s="522"/>
      <c r="I1607" s="522"/>
      <c r="J1607" s="3117"/>
      <c r="K1607" s="3028"/>
      <c r="L1607" s="3194" t="str">
        <f>IF(M1607&gt;14,"Over limit!","")</f>
        <v/>
      </c>
      <c r="M1607" s="505"/>
      <c r="N1607" s="3139" t="s">
        <v>2084</v>
      </c>
      <c r="O1607" s="3146">
        <f>'Part IX A-Scoring Criteria'!O234</f>
        <v>0</v>
      </c>
      <c r="P1607" s="3146">
        <f>'Part IX A-Scoring Criteria'!P234</f>
        <v>0</v>
      </c>
      <c r="Q1607" s="505"/>
    </row>
    <row r="1608" spans="1:17">
      <c r="A1608" s="505"/>
      <c r="B1608" s="3195" t="s">
        <v>2086</v>
      </c>
      <c r="C1608" s="505" t="s">
        <v>592</v>
      </c>
      <c r="D1608" s="505"/>
      <c r="E1608" s="505"/>
      <c r="F1608" s="505"/>
      <c r="G1608" s="505"/>
      <c r="H1608" s="505"/>
      <c r="I1608" s="505"/>
      <c r="J1608" s="505"/>
      <c r="K1608" s="505"/>
      <c r="L1608" s="505"/>
      <c r="M1608" s="505"/>
      <c r="N1608" s="3139" t="s">
        <v>2086</v>
      </c>
      <c r="O1608" s="3146">
        <f>'Part IX A-Scoring Criteria'!O235</f>
        <v>0</v>
      </c>
      <c r="P1608" s="3146">
        <f>'Part IX A-Scoring Criteria'!P235</f>
        <v>0</v>
      </c>
      <c r="Q1608" s="505"/>
    </row>
    <row r="1609" spans="1:17">
      <c r="A1609" s="505"/>
      <c r="B1609" s="3195" t="s">
        <v>2660</v>
      </c>
      <c r="C1609" s="505" t="s">
        <v>593</v>
      </c>
      <c r="D1609" s="505"/>
      <c r="E1609" s="505"/>
      <c r="F1609" s="505"/>
      <c r="G1609" s="505"/>
      <c r="H1609" s="505"/>
      <c r="I1609" s="505"/>
      <c r="J1609" s="505"/>
      <c r="K1609" s="505"/>
      <c r="L1609" s="505"/>
      <c r="M1609" s="505"/>
      <c r="N1609" s="3139" t="s">
        <v>2660</v>
      </c>
      <c r="O1609" s="3146">
        <f>'Part IX A-Scoring Criteria'!O236</f>
        <v>0</v>
      </c>
      <c r="P1609" s="3146">
        <f>'Part IX A-Scoring Criteria'!P236</f>
        <v>0</v>
      </c>
      <c r="Q1609" s="505"/>
    </row>
    <row r="1610" spans="1:17">
      <c r="A1610" s="505"/>
      <c r="B1610" s="3195" t="s">
        <v>1282</v>
      </c>
      <c r="C1610" s="505" t="s">
        <v>594</v>
      </c>
      <c r="D1610" s="505"/>
      <c r="E1610" s="505"/>
      <c r="F1610" s="505"/>
      <c r="G1610" s="505"/>
      <c r="H1610" s="505"/>
      <c r="I1610" s="505"/>
      <c r="J1610" s="505"/>
      <c r="K1610" s="505"/>
      <c r="L1610" s="505"/>
      <c r="M1610" s="505"/>
      <c r="N1610" s="3139" t="s">
        <v>1282</v>
      </c>
      <c r="O1610" s="3146">
        <f>'Part IX A-Scoring Criteria'!O237</f>
        <v>0</v>
      </c>
      <c r="P1610" s="3146">
        <f>'Part IX A-Scoring Criteria'!P237</f>
        <v>0</v>
      </c>
      <c r="Q1610" s="505"/>
    </row>
    <row r="1611" spans="1:17">
      <c r="A1611" s="505"/>
      <c r="B1611" s="3195" t="s">
        <v>1283</v>
      </c>
      <c r="C1611" s="505" t="s">
        <v>602</v>
      </c>
      <c r="D1611" s="505"/>
      <c r="E1611" s="505"/>
      <c r="F1611" s="505"/>
      <c r="G1611" s="505"/>
      <c r="H1611" s="505"/>
      <c r="I1611" s="505"/>
      <c r="J1611" s="505"/>
      <c r="K1611" s="505"/>
      <c r="L1611" s="505"/>
      <c r="M1611" s="505"/>
      <c r="N1611" s="3139" t="s">
        <v>1283</v>
      </c>
      <c r="O1611" s="3146">
        <f>'Part IX A-Scoring Criteria'!O238</f>
        <v>0</v>
      </c>
      <c r="P1611" s="3146">
        <f>'Part IX A-Scoring Criteria'!P238</f>
        <v>0</v>
      </c>
      <c r="Q1611" s="505"/>
    </row>
    <row r="1612" spans="1:17" ht="15">
      <c r="A1612" s="3081" t="s">
        <v>2080</v>
      </c>
      <c r="B1612" s="3193" t="s">
        <v>1936</v>
      </c>
      <c r="C1612" s="3117"/>
      <c r="D1612" s="3031"/>
      <c r="E1612" s="3031"/>
      <c r="F1612" s="521"/>
      <c r="G1612" s="3151"/>
      <c r="H1612" s="3151"/>
      <c r="I1612" s="3151"/>
      <c r="J1612" s="3031"/>
      <c r="K1612" s="3151"/>
      <c r="L1612" s="521"/>
      <c r="M1612" s="2915">
        <v>4</v>
      </c>
      <c r="N1612" s="3003" t="s">
        <v>2080</v>
      </c>
      <c r="O1612" s="3113">
        <f>'Part IX A-Scoring Criteria'!O239</f>
        <v>0</v>
      </c>
      <c r="P1612" s="3113">
        <f>'Part IX A-Scoring Criteria'!P239</f>
        <v>0</v>
      </c>
      <c r="Q1612" s="3117"/>
    </row>
    <row r="1613" spans="1:17">
      <c r="B1613" s="3155" t="s">
        <v>2084</v>
      </c>
      <c r="C1613" s="3084" t="s">
        <v>2759</v>
      </c>
      <c r="I1613" s="3196" t="s">
        <v>2088</v>
      </c>
      <c r="J1613" s="3196"/>
      <c r="L1613" s="3196" t="s">
        <v>2088</v>
      </c>
      <c r="M1613" s="3196"/>
      <c r="N1613" s="3139"/>
      <c r="O1613" s="2911"/>
      <c r="P1613" s="2911"/>
    </row>
    <row r="1614" spans="1:17" ht="15">
      <c r="A1614" s="2948"/>
      <c r="B1614" s="3003" t="s">
        <v>2555</v>
      </c>
      <c r="C1614" s="522" t="s">
        <v>1556</v>
      </c>
      <c r="D1614" s="3117"/>
      <c r="E1614" s="3117"/>
      <c r="F1614" s="3117"/>
      <c r="G1614" s="3117"/>
      <c r="H1614" s="3003" t="s">
        <v>2555</v>
      </c>
      <c r="I1614" s="3197">
        <f>'Part IX A-Scoring Criteria'!I241</f>
        <v>0</v>
      </c>
      <c r="J1614" s="3197"/>
      <c r="K1614" s="3003" t="s">
        <v>2555</v>
      </c>
      <c r="L1614" s="3197">
        <f>'Part IX A-Scoring Criteria'!L241</f>
        <v>0</v>
      </c>
      <c r="M1614" s="3197"/>
      <c r="N1614" s="3139"/>
      <c r="O1614" s="2911"/>
      <c r="P1614" s="2911"/>
      <c r="Q1614" s="3117"/>
    </row>
    <row r="1615" spans="1:17">
      <c r="A1615" s="3009"/>
      <c r="B1615" s="3078" t="s">
        <v>2556</v>
      </c>
      <c r="C1615" s="522" t="s">
        <v>1557</v>
      </c>
      <c r="H1615" s="3078" t="s">
        <v>2556</v>
      </c>
      <c r="I1615" s="3197">
        <f>'Part IX A-Scoring Criteria'!I242</f>
        <v>0</v>
      </c>
      <c r="J1615" s="3197"/>
      <c r="K1615" s="3078" t="s">
        <v>2556</v>
      </c>
      <c r="L1615" s="3197">
        <f>'Part IX A-Scoring Criteria'!L242</f>
        <v>0</v>
      </c>
      <c r="M1615" s="3197"/>
      <c r="N1615" s="3139"/>
      <c r="O1615" s="2911"/>
      <c r="P1615" s="2911"/>
    </row>
    <row r="1616" spans="1:17">
      <c r="B1616" s="3003" t="s">
        <v>2557</v>
      </c>
      <c r="C1616" s="522" t="s">
        <v>2758</v>
      </c>
      <c r="H1616" s="3003" t="s">
        <v>2557</v>
      </c>
      <c r="I1616" s="3197">
        <f>'Part IX A-Scoring Criteria'!I243</f>
        <v>0</v>
      </c>
      <c r="J1616" s="3197"/>
      <c r="K1616" s="3003" t="s">
        <v>2557</v>
      </c>
      <c r="L1616" s="3197">
        <f>'Part IX A-Scoring Criteria'!L243</f>
        <v>0</v>
      </c>
      <c r="M1616" s="3197"/>
      <c r="N1616" s="3139"/>
      <c r="O1616" s="2911"/>
      <c r="P1616" s="2911"/>
    </row>
    <row r="1617" spans="1:17">
      <c r="A1617" s="3009"/>
      <c r="B1617" s="3003" t="s">
        <v>2558</v>
      </c>
      <c r="C1617" s="522" t="s">
        <v>4071</v>
      </c>
      <c r="H1617" s="3003" t="s">
        <v>2558</v>
      </c>
      <c r="I1617" s="3197">
        <f>'Part IX A-Scoring Criteria'!I244</f>
        <v>0</v>
      </c>
      <c r="J1617" s="3197"/>
      <c r="K1617" s="3003" t="s">
        <v>2558</v>
      </c>
      <c r="L1617" s="3197">
        <f>'Part IX A-Scoring Criteria'!L244</f>
        <v>0</v>
      </c>
      <c r="M1617" s="3197"/>
      <c r="N1617" s="3139"/>
      <c r="O1617" s="2911"/>
      <c r="P1617" s="2911"/>
    </row>
    <row r="1618" spans="1:17" ht="15">
      <c r="A1618" s="2948"/>
      <c r="B1618" s="3078" t="s">
        <v>2559</v>
      </c>
      <c r="C1618" s="522" t="s">
        <v>2912</v>
      </c>
      <c r="D1618" s="3117"/>
      <c r="E1618" s="3117"/>
      <c r="F1618" s="3117"/>
      <c r="G1618" s="3117"/>
      <c r="H1618" s="3078" t="s">
        <v>2559</v>
      </c>
      <c r="I1618" s="3197">
        <f>'Part IX A-Scoring Criteria'!I245</f>
        <v>0</v>
      </c>
      <c r="J1618" s="3197"/>
      <c r="K1618" s="3078" t="s">
        <v>2559</v>
      </c>
      <c r="L1618" s="3197">
        <f>'Part IX A-Scoring Criteria'!L245</f>
        <v>0</v>
      </c>
      <c r="M1618" s="3197"/>
      <c r="N1618" s="3139"/>
      <c r="O1618" s="2911"/>
      <c r="P1618" s="2911"/>
      <c r="Q1618" s="3117"/>
    </row>
    <row r="1619" spans="1:17">
      <c r="B1619" s="3003" t="s">
        <v>2575</v>
      </c>
      <c r="C1619" s="522" t="s">
        <v>3271</v>
      </c>
      <c r="H1619" s="3003" t="s">
        <v>2575</v>
      </c>
      <c r="I1619" s="3197">
        <f>'Part IX A-Scoring Criteria'!I246</f>
        <v>0</v>
      </c>
      <c r="J1619" s="3197"/>
      <c r="K1619" s="3003" t="s">
        <v>2575</v>
      </c>
      <c r="L1619" s="3197">
        <f>'Part IX A-Scoring Criteria'!L246</f>
        <v>0</v>
      </c>
      <c r="M1619" s="3197"/>
      <c r="N1619" s="3139"/>
      <c r="O1619" s="2911"/>
      <c r="P1619" s="2911"/>
    </row>
    <row r="1620" spans="1:17">
      <c r="A1620" s="3009"/>
      <c r="B1620" s="3003" t="s">
        <v>2576</v>
      </c>
      <c r="C1620" s="522" t="s">
        <v>3918</v>
      </c>
      <c r="H1620" s="3003" t="s">
        <v>2576</v>
      </c>
      <c r="I1620" s="3197">
        <f>'Part IX A-Scoring Criteria'!I247</f>
        <v>0</v>
      </c>
      <c r="J1620" s="3197"/>
      <c r="K1620" s="3003" t="s">
        <v>2576</v>
      </c>
      <c r="L1620" s="3197">
        <f>'Part IX A-Scoring Criteria'!L247</f>
        <v>0</v>
      </c>
      <c r="M1620" s="3197"/>
      <c r="N1620" s="3139"/>
      <c r="O1620" s="2911"/>
      <c r="P1620" s="2911"/>
    </row>
    <row r="1621" spans="1:17">
      <c r="B1621" s="3003" t="s">
        <v>2577</v>
      </c>
      <c r="C1621" s="522" t="s">
        <v>3919</v>
      </c>
      <c r="H1621" s="3003" t="s">
        <v>2577</v>
      </c>
      <c r="I1621" s="3197">
        <f>'Part IX A-Scoring Criteria'!I248</f>
        <v>0</v>
      </c>
      <c r="J1621" s="3197"/>
      <c r="K1621" s="3003" t="s">
        <v>2577</v>
      </c>
      <c r="L1621" s="3197">
        <f>'Part IX A-Scoring Criteria'!L248</f>
        <v>0</v>
      </c>
      <c r="M1621" s="3197"/>
      <c r="N1621" s="3139"/>
      <c r="O1621" s="2911"/>
      <c r="P1621" s="2911"/>
    </row>
    <row r="1622" spans="1:17">
      <c r="A1622" s="3009"/>
      <c r="B1622" s="3003" t="s">
        <v>2578</v>
      </c>
      <c r="C1622" s="522" t="s">
        <v>3920</v>
      </c>
      <c r="H1622" s="3003" t="s">
        <v>2578</v>
      </c>
      <c r="I1622" s="3197">
        <f>'Part IX A-Scoring Criteria'!I249</f>
        <v>0</v>
      </c>
      <c r="J1622" s="3197"/>
      <c r="K1622" s="3003" t="s">
        <v>2578</v>
      </c>
      <c r="L1622" s="3197">
        <f>'Part IX A-Scoring Criteria'!L249</f>
        <v>0</v>
      </c>
      <c r="M1622" s="3197"/>
      <c r="N1622" s="3139"/>
      <c r="O1622" s="2911"/>
      <c r="P1622" s="2911"/>
    </row>
    <row r="1623" spans="1:17">
      <c r="A1623" s="3009"/>
      <c r="B1623" s="3195"/>
      <c r="C1623" s="3031" t="s">
        <v>2761</v>
      </c>
      <c r="H1623" s="505"/>
      <c r="I1623" s="3197">
        <f>SUM(I1614:J1622)</f>
        <v>0</v>
      </c>
      <c r="J1623" s="3197"/>
      <c r="L1623" s="3197">
        <f>SUM($L1614:$L1622)</f>
        <v>0</v>
      </c>
      <c r="M1623" s="3197"/>
      <c r="N1623" s="3139"/>
      <c r="O1623" s="2911"/>
      <c r="P1623" s="2911"/>
    </row>
    <row r="1624" spans="1:17" ht="15">
      <c r="A1624" s="521"/>
      <c r="B1624" s="3198"/>
      <c r="C1624" s="3117"/>
      <c r="D1624" s="522"/>
      <c r="E1624" s="522"/>
      <c r="F1624" s="2924"/>
      <c r="G1624" s="2924"/>
      <c r="H1624" s="2924"/>
      <c r="I1624" s="2924"/>
      <c r="J1624" s="3031"/>
      <c r="K1624" s="3031"/>
      <c r="L1624" s="3031"/>
      <c r="M1624" s="3028"/>
      <c r="N1624" s="2924"/>
      <c r="O1624" s="2911"/>
      <c r="P1624" s="3113"/>
      <c r="Q1624" s="3117"/>
    </row>
    <row r="1625" spans="1:17">
      <c r="B1625" s="3155" t="s">
        <v>2086</v>
      </c>
      <c r="C1625" s="3084" t="s">
        <v>2760</v>
      </c>
      <c r="D1625" s="3031" t="s">
        <v>2762</v>
      </c>
      <c r="I1625" s="3197">
        <f>'Part IV-Uses of Funds'!$G$130</f>
        <v>6245106</v>
      </c>
      <c r="J1625" s="3197"/>
    </row>
    <row r="1626" spans="1:17">
      <c r="B1626" s="3139"/>
      <c r="C1626" s="3199"/>
      <c r="D1626" s="3154" t="s">
        <v>2763</v>
      </c>
      <c r="G1626" s="3001"/>
      <c r="H1626" s="3001"/>
      <c r="I1626" s="3200">
        <f>IF($I1625=0,0,$I1623/$I1625)</f>
        <v>0</v>
      </c>
      <c r="J1626" s="3200"/>
      <c r="L1626" s="3200">
        <f>IF($I1625=0,0,$L1623/$I1625)</f>
        <v>0</v>
      </c>
      <c r="M1626" s="3200"/>
    </row>
    <row r="1627" spans="1:17" ht="15">
      <c r="A1627" s="3081" t="s">
        <v>2083</v>
      </c>
      <c r="B1627" s="3193" t="s">
        <v>3921</v>
      </c>
      <c r="C1627" s="3117"/>
      <c r="D1627" s="522"/>
      <c r="E1627" s="522"/>
      <c r="F1627" s="2924"/>
      <c r="G1627" s="3117"/>
      <c r="H1627" s="522"/>
      <c r="I1627" s="2924"/>
      <c r="J1627" s="3031"/>
      <c r="K1627" s="3031"/>
      <c r="L1627" s="3031"/>
      <c r="M1627" s="2915">
        <v>2</v>
      </c>
      <c r="N1627" s="3003" t="s">
        <v>2083</v>
      </c>
      <c r="O1627" s="2924">
        <f>'Part IX A-Scoring Criteria'!O254</f>
        <v>0</v>
      </c>
      <c r="P1627" s="2924">
        <f>'Part IX A-Scoring Criteria'!P254</f>
        <v>0</v>
      </c>
      <c r="Q1627" s="2972" t="s">
        <v>2875</v>
      </c>
    </row>
    <row r="1628" spans="1:17" ht="15">
      <c r="A1628" s="3081"/>
      <c r="B1628" s="522" t="s">
        <v>3153</v>
      </c>
      <c r="C1628" s="522"/>
      <c r="D1628" s="522"/>
      <c r="E1628" s="522"/>
      <c r="F1628" s="522"/>
      <c r="G1628" s="522"/>
      <c r="H1628" s="522"/>
      <c r="I1628" s="522"/>
      <c r="J1628" s="522"/>
      <c r="K1628" s="522"/>
      <c r="L1628" s="522"/>
      <c r="M1628" s="522"/>
      <c r="N1628" s="522"/>
      <c r="O1628" s="2924">
        <f>'Part IX A-Scoring Criteria'!O255</f>
        <v>0</v>
      </c>
      <c r="P1628" s="2924">
        <f>'Part IX A-Scoring Criteria'!P255</f>
        <v>0</v>
      </c>
      <c r="Q1628" s="3117"/>
    </row>
    <row r="1629" spans="1:17" ht="15">
      <c r="A1629" s="3081" t="s">
        <v>788</v>
      </c>
      <c r="B1629" s="3193" t="s">
        <v>675</v>
      </c>
      <c r="C1629" s="3117"/>
      <c r="D1629" s="522"/>
      <c r="E1629" s="522"/>
      <c r="F1629" s="2924"/>
      <c r="G1629" s="2924"/>
      <c r="H1629" s="2924"/>
      <c r="I1629" s="2924"/>
      <c r="J1629" s="3031"/>
      <c r="K1629" s="3031"/>
      <c r="L1629" s="3031"/>
      <c r="M1629" s="2915">
        <v>2</v>
      </c>
      <c r="N1629" s="3003" t="s">
        <v>788</v>
      </c>
      <c r="O1629" s="3113">
        <f>'Part IX A-Scoring Criteria'!O256</f>
        <v>0</v>
      </c>
      <c r="P1629" s="3113">
        <f>'Part IX A-Scoring Criteria'!P256</f>
        <v>0</v>
      </c>
      <c r="Q1629" s="3117"/>
    </row>
    <row r="1630" spans="1:17">
      <c r="B1630" s="522" t="s">
        <v>4048</v>
      </c>
      <c r="E1630" s="3092"/>
      <c r="I1630" s="3201">
        <f>'Part IX A-Scoring Criteria'!I257</f>
        <v>0</v>
      </c>
      <c r="J1630" s="3201"/>
      <c r="L1630" s="3197">
        <f>'Part IX A-Scoring Criteria'!L257</f>
        <v>0</v>
      </c>
      <c r="M1630" s="3197"/>
      <c r="P1630" s="2911"/>
    </row>
    <row r="1631" spans="1:17" ht="15">
      <c r="A1631" s="521"/>
      <c r="B1631" s="3117"/>
      <c r="C1631" s="522" t="s">
        <v>4376</v>
      </c>
      <c r="D1631" s="3036"/>
      <c r="E1631" s="3036"/>
      <c r="F1631" s="3036"/>
      <c r="G1631" s="3036"/>
      <c r="H1631" s="3036"/>
      <c r="I1631" s="3200">
        <f>IF($I1630=0,0,$I1630/$I1625)</f>
        <v>0</v>
      </c>
      <c r="J1631" s="3200"/>
      <c r="K1631" s="3036"/>
      <c r="L1631" s="3200">
        <f>IF($L1630=0,0,$L1630/$I1625)</f>
        <v>0</v>
      </c>
      <c r="M1631" s="3200"/>
      <c r="N1631" s="3136"/>
      <c r="O1631" s="3137"/>
      <c r="P1631" s="2924"/>
      <c r="Q1631" s="3117"/>
    </row>
    <row r="1632" spans="1:17" ht="15">
      <c r="A1632" s="2948"/>
      <c r="B1632" s="522" t="s">
        <v>3174</v>
      </c>
      <c r="C1632" s="3117"/>
      <c r="D1632" s="3117"/>
      <c r="E1632" s="3117"/>
      <c r="F1632" s="3117"/>
      <c r="G1632" s="3117"/>
      <c r="H1632" s="3117"/>
      <c r="I1632" s="2957">
        <f>'Part IX A-Scoring Criteria'!I259</f>
        <v>0</v>
      </c>
      <c r="J1632" s="2957"/>
      <c r="K1632" s="2957"/>
      <c r="L1632" s="2957"/>
      <c r="M1632" s="2957"/>
      <c r="N1632" s="2957"/>
      <c r="O1632" s="3117"/>
      <c r="P1632" s="3117"/>
      <c r="Q1632" s="3117"/>
    </row>
    <row r="1633" spans="1:17" ht="15">
      <c r="A1633" s="2948"/>
      <c r="B1633" s="522"/>
      <c r="C1633" s="3154" t="s">
        <v>1360</v>
      </c>
      <c r="D1633" s="3117"/>
      <c r="E1633" s="3117"/>
      <c r="F1633" s="3117"/>
      <c r="G1633" s="3117"/>
      <c r="H1633" s="3117"/>
      <c r="I1633" s="3184" t="str">
        <f>'Part IX A-Scoring Criteria'!I260</f>
        <v>&lt;Select unrelated 3rd party type&gt;</v>
      </c>
      <c r="J1633" s="3184"/>
      <c r="K1633" s="3184"/>
      <c r="L1633" s="3117"/>
      <c r="M1633" s="3117"/>
      <c r="N1633" s="3117"/>
      <c r="O1633" s="3117"/>
      <c r="P1633" s="3117"/>
      <c r="Q1633" s="3117"/>
    </row>
    <row r="1634" spans="1:17">
      <c r="A1634" s="3009"/>
      <c r="B1634" s="3068" t="s">
        <v>2466</v>
      </c>
      <c r="D1634" s="3077"/>
      <c r="E1634" s="2893">
        <f>'Part IX A-Scoring Criteria'!E261</f>
        <v>0</v>
      </c>
      <c r="F1634" s="3202"/>
      <c r="G1634" s="3202"/>
      <c r="H1634" s="3202"/>
      <c r="I1634" s="3202"/>
      <c r="J1634" s="3202"/>
      <c r="K1634" s="3202"/>
      <c r="L1634" s="3202"/>
      <c r="M1634" s="3202"/>
      <c r="N1634" s="3202"/>
      <c r="O1634" s="3202"/>
      <c r="P1634" s="3202"/>
    </row>
    <row r="1635" spans="1:17" ht="15">
      <c r="A1635" s="521"/>
      <c r="B1635" s="2994" t="s">
        <v>267</v>
      </c>
      <c r="C1635" s="521"/>
      <c r="D1635" s="525"/>
      <c r="E1635" s="525"/>
      <c r="F1635" s="525"/>
      <c r="G1635" s="525"/>
      <c r="H1635" s="522"/>
      <c r="I1635" s="522"/>
      <c r="J1635" s="522"/>
      <c r="K1635" s="522"/>
      <c r="L1635" s="3117"/>
      <c r="M1635" s="2915"/>
      <c r="N1635" s="2909"/>
      <c r="O1635" s="3113"/>
      <c r="P1635" s="2911"/>
      <c r="Q1635" s="3117"/>
    </row>
    <row r="1636" spans="1:17" ht="15.75">
      <c r="A1636" s="2969" t="str">
        <f>'Part IX A-Scoring Criteria'!A263</f>
        <v>No points claimed for this leveraging.</v>
      </c>
      <c r="B1636" s="2969"/>
      <c r="C1636" s="2969"/>
      <c r="D1636" s="2969"/>
      <c r="E1636" s="2969"/>
      <c r="F1636" s="2969"/>
      <c r="G1636" s="2969"/>
      <c r="H1636" s="2969"/>
      <c r="I1636" s="2969"/>
      <c r="J1636" s="2969"/>
      <c r="K1636" s="2969"/>
      <c r="L1636" s="2969"/>
      <c r="M1636" s="2969"/>
      <c r="N1636" s="2969"/>
      <c r="O1636" s="2969"/>
      <c r="P1636" s="2969"/>
      <c r="Q1636" s="3118" t="s">
        <v>1313</v>
      </c>
    </row>
    <row r="1637" spans="1:17" ht="15">
      <c r="A1637" s="521"/>
      <c r="B1637" s="2994" t="s">
        <v>1959</v>
      </c>
      <c r="C1637" s="521"/>
      <c r="D1637" s="3034"/>
      <c r="E1637" s="3036"/>
      <c r="F1637" s="3036"/>
      <c r="G1637" s="3036"/>
      <c r="H1637" s="3036"/>
      <c r="I1637" s="3036"/>
      <c r="J1637" s="3036"/>
      <c r="K1637" s="3036"/>
      <c r="L1637" s="3036"/>
      <c r="M1637" s="3036"/>
      <c r="N1637" s="3136"/>
      <c r="O1637" s="3137"/>
      <c r="P1637" s="2924"/>
      <c r="Q1637" s="3125"/>
    </row>
    <row r="1638" spans="1:17" ht="15.75">
      <c r="A1638" s="2969">
        <f>'Part IX A-Scoring Criteria'!A265</f>
        <v>0</v>
      </c>
      <c r="B1638" s="2969"/>
      <c r="C1638" s="2969"/>
      <c r="D1638" s="2969"/>
      <c r="E1638" s="2969"/>
      <c r="F1638" s="2969"/>
      <c r="G1638" s="2969"/>
      <c r="H1638" s="2969"/>
      <c r="I1638" s="2969"/>
      <c r="J1638" s="2969"/>
      <c r="K1638" s="2969"/>
      <c r="L1638" s="2969"/>
      <c r="M1638" s="2969"/>
      <c r="N1638" s="2969"/>
      <c r="O1638" s="2969"/>
      <c r="P1638" s="2969"/>
      <c r="Q1638" s="3118" t="s">
        <v>1313</v>
      </c>
    </row>
    <row r="1639" spans="1:17">
      <c r="N1639" s="2909"/>
      <c r="O1639" s="2911"/>
      <c r="P1639" s="2911"/>
    </row>
    <row r="1640" spans="1:17" ht="15">
      <c r="A1640" s="3114" t="s">
        <v>1753</v>
      </c>
      <c r="B1640" s="3115" t="s">
        <v>3922</v>
      </c>
      <c r="C1640" s="3003"/>
      <c r="D1640" s="3117"/>
      <c r="E1640" s="3138"/>
      <c r="F1640" s="3117"/>
      <c r="G1640" s="2934" t="s">
        <v>3100</v>
      </c>
      <c r="H1640" s="3117"/>
      <c r="I1640" s="2927" t="str">
        <f>'Part I-Project Information'!$H$90</f>
        <v>Rural</v>
      </c>
      <c r="J1640" s="525"/>
      <c r="K1640" s="525"/>
      <c r="L1640" s="3150" t="str">
        <f>IF(OR($O1640=$M1640,$O1640=0,$O1640=""),"","* * Check Score! * *")</f>
        <v/>
      </c>
      <c r="M1640" s="2924">
        <v>3</v>
      </c>
      <c r="N1640" s="3151"/>
      <c r="O1640" s="2915"/>
      <c r="P1640" s="2924">
        <f>'Part IX A-Scoring Criteria'!P267</f>
        <v>0</v>
      </c>
      <c r="Q1640" s="2924" t="s">
        <v>458</v>
      </c>
    </row>
    <row r="1641" spans="1:17" ht="15">
      <c r="A1641" s="3081" t="s">
        <v>2080</v>
      </c>
      <c r="B1641" s="2934" t="s">
        <v>2914</v>
      </c>
      <c r="C1641" s="3117"/>
      <c r="D1641" s="521"/>
      <c r="E1641" s="3117"/>
      <c r="F1641" s="3117"/>
      <c r="G1641" s="505" t="s">
        <v>2461</v>
      </c>
      <c r="H1641" s="3117"/>
      <c r="I1641" s="3117"/>
      <c r="J1641" s="3117"/>
      <c r="K1641" s="3117"/>
      <c r="L1641" s="3117"/>
      <c r="M1641" s="2915">
        <v>3</v>
      </c>
      <c r="N1641" s="3003" t="s">
        <v>2080</v>
      </c>
      <c r="O1641" s="2924" t="str">
        <f>'Part IX A-Scoring Criteria'!O268</f>
        <v>No</v>
      </c>
      <c r="P1641" s="2924">
        <f>'Part IX A-Scoring Criteria'!P268</f>
        <v>0</v>
      </c>
      <c r="Q1641" s="3117"/>
    </row>
    <row r="1642" spans="1:17" ht="15">
      <c r="A1642" s="3081" t="s">
        <v>2083</v>
      </c>
      <c r="B1642" s="2934" t="s">
        <v>3923</v>
      </c>
      <c r="C1642" s="3117"/>
      <c r="D1642" s="521"/>
      <c r="E1642" s="3117"/>
      <c r="F1642" s="521"/>
      <c r="G1642" s="3117"/>
      <c r="H1642" s="3027" t="s">
        <v>3927</v>
      </c>
      <c r="I1642" s="3117"/>
      <c r="J1642" s="3117"/>
      <c r="K1642" s="3117"/>
      <c r="L1642" s="3117"/>
      <c r="M1642" s="3117"/>
      <c r="N1642" s="3003" t="s">
        <v>2083</v>
      </c>
      <c r="O1642" s="3092" t="s">
        <v>2635</v>
      </c>
      <c r="P1642" s="3092" t="s">
        <v>2635</v>
      </c>
      <c r="Q1642" s="3117"/>
    </row>
    <row r="1643" spans="1:17" ht="15">
      <c r="A1643" s="3081"/>
      <c r="B1643" s="3195" t="s">
        <v>2084</v>
      </c>
      <c r="C1643" s="522" t="s">
        <v>3924</v>
      </c>
      <c r="D1643" s="521"/>
      <c r="E1643" s="3151"/>
      <c r="F1643" s="521"/>
      <c r="G1643" s="3151"/>
      <c r="H1643" s="522"/>
      <c r="I1643" s="3151"/>
      <c r="J1643" s="3151"/>
      <c r="K1643" s="3151"/>
      <c r="L1643" s="3151"/>
      <c r="M1643" s="3151"/>
      <c r="N1643" s="3195" t="s">
        <v>2084</v>
      </c>
      <c r="O1643" s="2924">
        <f>'Part IX A-Scoring Criteria'!O270</f>
        <v>0</v>
      </c>
      <c r="P1643" s="2924">
        <f>'Part IX A-Scoring Criteria'!P270</f>
        <v>0</v>
      </c>
      <c r="Q1643" s="3151"/>
    </row>
    <row r="1644" spans="1:17" ht="15">
      <c r="A1644" s="3081"/>
      <c r="B1644" s="3195" t="s">
        <v>2086</v>
      </c>
      <c r="C1644" s="522" t="s">
        <v>3925</v>
      </c>
      <c r="D1644" s="521"/>
      <c r="E1644" s="3151"/>
      <c r="F1644" s="521"/>
      <c r="G1644" s="3151"/>
      <c r="H1644" s="522"/>
      <c r="I1644" s="3151"/>
      <c r="J1644" s="3151"/>
      <c r="K1644" s="3151"/>
      <c r="L1644" s="3151"/>
      <c r="M1644" s="3151"/>
      <c r="N1644" s="3195" t="s">
        <v>2086</v>
      </c>
      <c r="O1644" s="2924">
        <f>'Part IX A-Scoring Criteria'!O271</f>
        <v>0</v>
      </c>
      <c r="P1644" s="2924">
        <f>'Part IX A-Scoring Criteria'!P271</f>
        <v>0</v>
      </c>
      <c r="Q1644" s="3151"/>
    </row>
    <row r="1645" spans="1:17" ht="15">
      <c r="A1645" s="3081"/>
      <c r="B1645" s="3195" t="s">
        <v>2660</v>
      </c>
      <c r="C1645" s="522" t="s">
        <v>3926</v>
      </c>
      <c r="D1645" s="521"/>
      <c r="E1645" s="3151"/>
      <c r="F1645" s="521"/>
      <c r="G1645" s="3151"/>
      <c r="H1645" s="522"/>
      <c r="I1645" s="3151"/>
      <c r="J1645" s="3151"/>
      <c r="K1645" s="3151"/>
      <c r="L1645" s="3151"/>
      <c r="M1645" s="3151"/>
      <c r="N1645" s="3195" t="s">
        <v>2660</v>
      </c>
      <c r="O1645" s="2924">
        <f>'Part IX A-Scoring Criteria'!O272</f>
        <v>0</v>
      </c>
      <c r="P1645" s="2924">
        <f>'Part IX A-Scoring Criteria'!P272</f>
        <v>0</v>
      </c>
      <c r="Q1645" s="3151"/>
    </row>
    <row r="1646" spans="1:17" ht="15">
      <c r="A1646" s="3081"/>
      <c r="B1646" s="3195" t="s">
        <v>1282</v>
      </c>
      <c r="C1646" s="522" t="s">
        <v>2913</v>
      </c>
      <c r="D1646" s="521"/>
      <c r="E1646" s="3151"/>
      <c r="F1646" s="521"/>
      <c r="G1646" s="3151"/>
      <c r="H1646" s="522"/>
      <c r="I1646" s="3151"/>
      <c r="J1646" s="3151"/>
      <c r="K1646" s="3151"/>
      <c r="L1646" s="3151"/>
      <c r="M1646" s="3151"/>
      <c r="N1646" s="3195" t="s">
        <v>1282</v>
      </c>
      <c r="O1646" s="2924">
        <f>'Part IX A-Scoring Criteria'!O273</f>
        <v>0</v>
      </c>
      <c r="P1646" s="2924">
        <f>'Part IX A-Scoring Criteria'!P273</f>
        <v>0</v>
      </c>
      <c r="Q1646" s="3151"/>
    </row>
    <row r="1647" spans="1:17" ht="15">
      <c r="A1647" s="3122" t="s">
        <v>788</v>
      </c>
      <c r="B1647" s="3203" t="s">
        <v>3928</v>
      </c>
      <c r="C1647" s="3125"/>
      <c r="D1647" s="2979"/>
      <c r="E1647" s="2979"/>
      <c r="F1647" s="521"/>
      <c r="G1647" s="521"/>
      <c r="H1647" s="521"/>
      <c r="I1647" s="521"/>
      <c r="J1647" s="3117"/>
      <c r="K1647" s="3117"/>
      <c r="L1647" s="3117"/>
      <c r="M1647" s="3117"/>
      <c r="N1647" s="3117"/>
      <c r="O1647" s="3204" t="s">
        <v>4642</v>
      </c>
      <c r="P1647" s="3204"/>
      <c r="Q1647" s="3117"/>
    </row>
    <row r="1648" spans="1:17" ht="15">
      <c r="A1648" s="3081"/>
      <c r="B1648" s="3195" t="s">
        <v>2084</v>
      </c>
      <c r="C1648" s="522" t="s">
        <v>3929</v>
      </c>
      <c r="D1648" s="521"/>
      <c r="E1648" s="3151"/>
      <c r="F1648" s="521"/>
      <c r="G1648" s="3151"/>
      <c r="H1648" s="522"/>
      <c r="I1648" s="3151"/>
      <c r="J1648" s="3151"/>
      <c r="K1648" s="3151"/>
      <c r="L1648" s="3151"/>
      <c r="M1648" s="3151"/>
      <c r="N1648" s="3003" t="s">
        <v>788</v>
      </c>
      <c r="O1648" s="3139" t="s">
        <v>2084</v>
      </c>
      <c r="P1648" s="3032">
        <f>'Part IX A-Scoring Criteria'!P275</f>
        <v>0</v>
      </c>
      <c r="Q1648" s="3151"/>
    </row>
    <row r="1649" spans="1:17" ht="15">
      <c r="A1649" s="3081"/>
      <c r="B1649" s="3195" t="s">
        <v>2086</v>
      </c>
      <c r="C1649" s="522" t="s">
        <v>3930</v>
      </c>
      <c r="D1649" s="521"/>
      <c r="E1649" s="3151"/>
      <c r="F1649" s="521"/>
      <c r="G1649" s="3151"/>
      <c r="H1649" s="522"/>
      <c r="I1649" s="3151"/>
      <c r="J1649" s="3151"/>
      <c r="K1649" s="3151"/>
      <c r="L1649" s="3151"/>
      <c r="M1649" s="3151"/>
      <c r="N1649" s="3151"/>
      <c r="O1649" s="3139" t="s">
        <v>2086</v>
      </c>
      <c r="P1649" s="3032">
        <f>'Part IX A-Scoring Criteria'!P276</f>
        <v>0</v>
      </c>
      <c r="Q1649" s="3151"/>
    </row>
    <row r="1650" spans="1:17" ht="15">
      <c r="A1650" s="3081"/>
      <c r="B1650" s="3195" t="s">
        <v>2660</v>
      </c>
      <c r="C1650" s="522" t="s">
        <v>3931</v>
      </c>
      <c r="D1650" s="521"/>
      <c r="E1650" s="3151"/>
      <c r="F1650" s="521"/>
      <c r="G1650" s="3151"/>
      <c r="H1650" s="522"/>
      <c r="I1650" s="3151"/>
      <c r="J1650" s="3151"/>
      <c r="K1650" s="3151"/>
      <c r="L1650" s="3151"/>
      <c r="M1650" s="3151"/>
      <c r="N1650" s="3151"/>
      <c r="O1650" s="3139" t="s">
        <v>2660</v>
      </c>
      <c r="P1650" s="3032">
        <f>'Part IX A-Scoring Criteria'!P277</f>
        <v>0</v>
      </c>
      <c r="Q1650" s="3151"/>
    </row>
    <row r="1651" spans="1:17" ht="15">
      <c r="A1651" s="3081"/>
      <c r="B1651" s="3195" t="s">
        <v>1282</v>
      </c>
      <c r="C1651" s="522" t="s">
        <v>3932</v>
      </c>
      <c r="D1651" s="521"/>
      <c r="E1651" s="3151"/>
      <c r="F1651" s="521"/>
      <c r="G1651" s="3151"/>
      <c r="H1651" s="522"/>
      <c r="I1651" s="3151"/>
      <c r="J1651" s="3151"/>
      <c r="K1651" s="3151"/>
      <c r="L1651" s="3151"/>
      <c r="M1651" s="3151"/>
      <c r="N1651" s="3151"/>
      <c r="O1651" s="3139" t="s">
        <v>1282</v>
      </c>
      <c r="P1651" s="3032">
        <f>'Part IX A-Scoring Criteria'!P278</f>
        <v>0</v>
      </c>
      <c r="Q1651" s="3151"/>
    </row>
    <row r="1652" spans="1:17" ht="15">
      <c r="A1652" s="3081"/>
      <c r="B1652" s="3195" t="s">
        <v>1283</v>
      </c>
      <c r="C1652" s="522" t="s">
        <v>3933</v>
      </c>
      <c r="D1652" s="521"/>
      <c r="E1652" s="3151"/>
      <c r="F1652" s="521"/>
      <c r="G1652" s="3151"/>
      <c r="H1652" s="522"/>
      <c r="I1652" s="3151"/>
      <c r="J1652" s="3151"/>
      <c r="K1652" s="3151"/>
      <c r="L1652" s="3151"/>
      <c r="M1652" s="3151"/>
      <c r="N1652" s="3151"/>
      <c r="O1652" s="3139" t="s">
        <v>1283</v>
      </c>
      <c r="P1652" s="3032">
        <f>'Part IX A-Scoring Criteria'!P279</f>
        <v>0</v>
      </c>
      <c r="Q1652" s="3151"/>
    </row>
    <row r="1653" spans="1:17" ht="15">
      <c r="A1653" s="3071"/>
      <c r="B1653" s="3157" t="s">
        <v>1977</v>
      </c>
      <c r="C1653" s="2969" t="s">
        <v>3934</v>
      </c>
      <c r="D1653" s="2969"/>
      <c r="E1653" s="2969"/>
      <c r="F1653" s="2969"/>
      <c r="G1653" s="2969"/>
      <c r="H1653" s="2969"/>
      <c r="I1653" s="2969"/>
      <c r="J1653" s="2969"/>
      <c r="K1653" s="2969"/>
      <c r="L1653" s="2969"/>
      <c r="M1653" s="3205"/>
      <c r="N1653" s="3205"/>
      <c r="O1653" s="3145" t="s">
        <v>1977</v>
      </c>
      <c r="P1653" s="3032">
        <f>'Part IX A-Scoring Criteria'!P280</f>
        <v>0</v>
      </c>
      <c r="Q1653" s="3205"/>
    </row>
    <row r="1654" spans="1:17" ht="15">
      <c r="A1654" s="3081"/>
      <c r="B1654" s="3195" t="s">
        <v>525</v>
      </c>
      <c r="C1654" s="522" t="s">
        <v>3935</v>
      </c>
      <c r="D1654" s="521"/>
      <c r="E1654" s="3151"/>
      <c r="F1654" s="521"/>
      <c r="G1654" s="3151"/>
      <c r="H1654" s="522"/>
      <c r="I1654" s="3151"/>
      <c r="J1654" s="3151"/>
      <c r="K1654" s="3151"/>
      <c r="L1654" s="3151"/>
      <c r="M1654" s="3151"/>
      <c r="N1654" s="3151"/>
      <c r="O1654" s="3139" t="s">
        <v>525</v>
      </c>
      <c r="P1654" s="3032">
        <f>'Part IX A-Scoring Criteria'!P281</f>
        <v>0</v>
      </c>
      <c r="Q1654" s="3151"/>
    </row>
    <row r="1655" spans="1:17" ht="15">
      <c r="A1655" s="3081"/>
      <c r="B1655" s="2994" t="s">
        <v>267</v>
      </c>
      <c r="C1655" s="505"/>
      <c r="D1655" s="521"/>
      <c r="E1655" s="3117"/>
      <c r="F1655" s="521"/>
      <c r="G1655" s="3117"/>
      <c r="H1655" s="505"/>
      <c r="I1655" s="3117"/>
      <c r="J1655" s="3117"/>
      <c r="K1655" s="3117"/>
      <c r="L1655" s="3117"/>
      <c r="M1655" s="3117"/>
      <c r="N1655" s="3117"/>
      <c r="O1655" s="3206" t="s">
        <v>3936</v>
      </c>
      <c r="P1655" s="2927">
        <f>SUM(P1648:P1654)</f>
        <v>0</v>
      </c>
      <c r="Q1655" s="3117"/>
    </row>
    <row r="1656" spans="1:17" ht="15.75">
      <c r="A1656" s="2969" t="str">
        <f>'Part IX A-Scoring Criteria'!A283</f>
        <v>No points claimed for Innovative project concept.</v>
      </c>
      <c r="B1656" s="2969"/>
      <c r="C1656" s="2969"/>
      <c r="D1656" s="2969"/>
      <c r="E1656" s="2969"/>
      <c r="F1656" s="2969"/>
      <c r="G1656" s="2969"/>
      <c r="H1656" s="2969"/>
      <c r="I1656" s="2969"/>
      <c r="J1656" s="2969"/>
      <c r="K1656" s="2969"/>
      <c r="L1656" s="2969"/>
      <c r="M1656" s="2969"/>
      <c r="N1656" s="2969"/>
      <c r="O1656" s="2969"/>
      <c r="P1656" s="2969"/>
      <c r="Q1656" s="3118" t="s">
        <v>1313</v>
      </c>
    </row>
    <row r="1657" spans="1:17" ht="15">
      <c r="A1657" s="521"/>
      <c r="B1657" s="2994" t="s">
        <v>1959</v>
      </c>
      <c r="C1657" s="521"/>
      <c r="D1657" s="3034"/>
      <c r="E1657" s="3036"/>
      <c r="F1657" s="3036"/>
      <c r="G1657" s="3036"/>
      <c r="H1657" s="3036"/>
      <c r="I1657" s="3036"/>
      <c r="J1657" s="3036"/>
      <c r="K1657" s="3036"/>
      <c r="L1657" s="3036"/>
      <c r="M1657" s="3036"/>
      <c r="N1657" s="3136"/>
      <c r="O1657" s="3137"/>
      <c r="P1657" s="2924"/>
      <c r="Q1657" s="3125"/>
    </row>
    <row r="1658" spans="1:17" ht="15.75">
      <c r="A1658" s="2969">
        <f>'Part IX A-Scoring Criteria'!A285</f>
        <v>0</v>
      </c>
      <c r="B1658" s="2969"/>
      <c r="C1658" s="2969"/>
      <c r="D1658" s="2969"/>
      <c r="E1658" s="2969"/>
      <c r="F1658" s="2969"/>
      <c r="G1658" s="2969"/>
      <c r="H1658" s="2969"/>
      <c r="I1658" s="2969"/>
      <c r="J1658" s="2969"/>
      <c r="K1658" s="2969"/>
      <c r="L1658" s="2969"/>
      <c r="M1658" s="2969"/>
      <c r="N1658" s="2969"/>
      <c r="O1658" s="2969"/>
      <c r="P1658" s="2969"/>
      <c r="Q1658" s="3118" t="s">
        <v>1313</v>
      </c>
    </row>
    <row r="1659" spans="1:17" ht="15">
      <c r="A1659" s="521"/>
      <c r="B1659" s="521"/>
      <c r="C1659" s="3036"/>
      <c r="D1659" s="3036"/>
      <c r="E1659" s="3036"/>
      <c r="F1659" s="3036"/>
      <c r="G1659" s="3036"/>
      <c r="H1659" s="3036"/>
      <c r="I1659" s="3036"/>
      <c r="J1659" s="3036"/>
      <c r="K1659" s="3036"/>
      <c r="L1659" s="3036"/>
      <c r="M1659" s="3036"/>
      <c r="N1659" s="3136"/>
      <c r="O1659" s="3137"/>
      <c r="P1659" s="2924"/>
      <c r="Q1659" s="3117"/>
    </row>
    <row r="1660" spans="1:17" ht="15">
      <c r="A1660" s="3186" t="s">
        <v>1754</v>
      </c>
      <c r="B1660" s="3120" t="s">
        <v>2890</v>
      </c>
      <c r="C1660" s="2987"/>
      <c r="D1660" s="3093"/>
      <c r="E1660" s="522"/>
      <c r="F1660" s="3117"/>
      <c r="G1660" s="3117"/>
      <c r="H1660" s="3117"/>
      <c r="I1660" s="3117"/>
      <c r="J1660" s="3182"/>
      <c r="K1660" s="3117"/>
      <c r="L1660" s="3117"/>
      <c r="M1660" s="2924">
        <v>3</v>
      </c>
      <c r="N1660" s="2915"/>
      <c r="O1660" s="3113">
        <f>'Part IX A-Scoring Criteria'!O287</f>
        <v>2</v>
      </c>
      <c r="P1660" s="3113">
        <f>'Part IX A-Scoring Criteria'!P287</f>
        <v>0</v>
      </c>
      <c r="Q1660" s="2924" t="s">
        <v>458</v>
      </c>
    </row>
    <row r="1661" spans="1:17" ht="15">
      <c r="A1661" s="3081" t="s">
        <v>2080</v>
      </c>
      <c r="B1661" s="2934" t="s">
        <v>3155</v>
      </c>
      <c r="C1661" s="3117"/>
      <c r="D1661" s="521"/>
      <c r="E1661" s="521"/>
      <c r="F1661" s="521"/>
      <c r="G1661" s="3117"/>
      <c r="H1661" s="3041" t="s">
        <v>4227</v>
      </c>
      <c r="I1661" s="3207">
        <f>'Part VI-Revenues &amp; Expenses'!$M$66/'Part VI-Revenues &amp; Expenses'!$M$62</f>
        <v>0.16666666666666666</v>
      </c>
      <c r="J1661" s="3117"/>
      <c r="K1661" s="3082" t="s">
        <v>4197</v>
      </c>
      <c r="L1661" s="3208">
        <f>'Part VI-Revenues &amp; Expenses'!$I$58/'Part VI-Revenues &amp; Expenses'!$M$58</f>
        <v>9.5238095238095233E-2</v>
      </c>
      <c r="M1661" s="2915">
        <v>2</v>
      </c>
      <c r="N1661" s="3003" t="s">
        <v>2080</v>
      </c>
      <c r="O1661" s="2924">
        <f>'Part IX A-Scoring Criteria'!O288</f>
        <v>2</v>
      </c>
      <c r="P1661" s="2924">
        <f>'Part IX A-Scoring Criteria'!P288</f>
        <v>0</v>
      </c>
      <c r="Q1661" s="2972" t="s">
        <v>2875</v>
      </c>
    </row>
    <row r="1662" spans="1:17">
      <c r="A1662" s="3071"/>
      <c r="B1662" s="3157" t="s">
        <v>2084</v>
      </c>
      <c r="C1662" s="2969" t="s">
        <v>3937</v>
      </c>
      <c r="D1662" s="2969"/>
      <c r="E1662" s="2969"/>
      <c r="F1662" s="2969"/>
      <c r="G1662" s="2969"/>
      <c r="H1662" s="2969"/>
      <c r="I1662" s="2969"/>
      <c r="J1662" s="2969"/>
      <c r="K1662" s="2969"/>
      <c r="L1662" s="2969"/>
      <c r="M1662" s="3070"/>
      <c r="N1662" s="3145" t="s">
        <v>2084</v>
      </c>
      <c r="O1662" s="2924" t="str">
        <f>'Part IX A-Scoring Criteria'!O289</f>
        <v>Agree</v>
      </c>
      <c r="P1662" s="2924">
        <f>'Part IX A-Scoring Criteria'!P289</f>
        <v>0</v>
      </c>
      <c r="Q1662" s="3156"/>
    </row>
    <row r="1663" spans="1:17">
      <c r="A1663" s="2987"/>
      <c r="B1663" s="3157" t="s">
        <v>2086</v>
      </c>
      <c r="C1663" s="3098" t="s">
        <v>3938</v>
      </c>
      <c r="D1663" s="3098"/>
      <c r="E1663" s="3098"/>
      <c r="F1663" s="3098"/>
      <c r="G1663" s="3098"/>
      <c r="H1663" s="3098"/>
      <c r="I1663" s="3098"/>
      <c r="J1663" s="3098"/>
      <c r="K1663" s="3098"/>
      <c r="L1663" s="3098"/>
      <c r="M1663" s="3098"/>
      <c r="N1663" s="3145" t="s">
        <v>2086</v>
      </c>
      <c r="O1663" s="2924" t="str">
        <f>'Part IX A-Scoring Criteria'!O290</f>
        <v>Yes</v>
      </c>
      <c r="P1663" s="2924">
        <f>'Part IX A-Scoring Criteria'!P290</f>
        <v>0</v>
      </c>
      <c r="Q1663" s="3068"/>
    </row>
    <row r="1664" spans="1:17">
      <c r="A1664" s="3068"/>
      <c r="B1664" s="3157"/>
      <c r="C1664" s="3209"/>
      <c r="D1664" s="3209"/>
      <c r="E1664" s="3209"/>
      <c r="F1664" s="3209"/>
      <c r="G1664" s="3209"/>
      <c r="H1664" s="3209"/>
      <c r="I1664" s="3068"/>
      <c r="J1664" s="3068"/>
      <c r="K1664" s="3068"/>
      <c r="L1664" s="3068"/>
      <c r="M1664" s="3209"/>
      <c r="N1664" s="3209"/>
      <c r="O1664" s="3209"/>
      <c r="P1664" s="3209"/>
      <c r="Q1664" s="3068"/>
    </row>
    <row r="1665" spans="1:17" ht="15">
      <c r="A1665" s="3081" t="s">
        <v>2083</v>
      </c>
      <c r="B1665" s="2934" t="s">
        <v>2891</v>
      </c>
      <c r="C1665" s="3117"/>
      <c r="D1665" s="3031"/>
      <c r="E1665" s="3117"/>
      <c r="F1665" s="3117"/>
      <c r="G1665" s="522"/>
      <c r="H1665" s="3117"/>
      <c r="I1665" s="3117"/>
      <c r="J1665" s="3117"/>
      <c r="K1665" s="3117"/>
      <c r="L1665" s="3117"/>
      <c r="M1665" s="2915">
        <v>3</v>
      </c>
      <c r="N1665" s="3003" t="s">
        <v>2083</v>
      </c>
      <c r="O1665" s="2924">
        <f>'Part IX A-Scoring Criteria'!O292</f>
        <v>0</v>
      </c>
      <c r="P1665" s="2924">
        <f>'Part IX A-Scoring Criteria'!P292</f>
        <v>0</v>
      </c>
      <c r="Q1665" s="2972" t="s">
        <v>2875</v>
      </c>
    </row>
    <row r="1666" spans="1:17">
      <c r="A1666" s="3071"/>
      <c r="B1666" s="3157" t="s">
        <v>2084</v>
      </c>
      <c r="C1666" s="2969" t="s">
        <v>4072</v>
      </c>
      <c r="D1666" s="2969"/>
      <c r="E1666" s="2969"/>
      <c r="F1666" s="2969"/>
      <c r="G1666" s="2969"/>
      <c r="H1666" s="2969"/>
      <c r="I1666" s="2969"/>
      <c r="J1666" s="2969"/>
      <c r="K1666" s="2969"/>
      <c r="L1666" s="2969"/>
      <c r="M1666" s="3070"/>
      <c r="N1666" s="3145" t="s">
        <v>2084</v>
      </c>
      <c r="O1666" s="2924">
        <f>'Part IX A-Scoring Criteria'!O293</f>
        <v>0</v>
      </c>
      <c r="P1666" s="2924">
        <f>'Part IX A-Scoring Criteria'!P293</f>
        <v>0</v>
      </c>
      <c r="Q1666" s="3156"/>
    </row>
    <row r="1667" spans="1:17">
      <c r="A1667" s="2987"/>
      <c r="B1667" s="3157" t="s">
        <v>2086</v>
      </c>
      <c r="C1667" s="3068" t="s">
        <v>3939</v>
      </c>
      <c r="D1667" s="3068"/>
      <c r="E1667" s="3068"/>
      <c r="F1667" s="3068"/>
      <c r="G1667" s="3068"/>
      <c r="H1667" s="3068"/>
      <c r="I1667" s="3068"/>
      <c r="J1667" s="3068" t="s">
        <v>3940</v>
      </c>
      <c r="K1667" s="3068"/>
      <c r="L1667" s="3208">
        <f>'Part IX A-Scoring Criteria'!L294</f>
        <v>0</v>
      </c>
      <c r="M1667" s="3068"/>
      <c r="N1667" s="3145" t="s">
        <v>2086</v>
      </c>
      <c r="O1667" s="2924">
        <f>'Part IX A-Scoring Criteria'!O294</f>
        <v>0</v>
      </c>
      <c r="P1667" s="2924">
        <f>'Part IX A-Scoring Criteria'!P294</f>
        <v>0</v>
      </c>
      <c r="Q1667" s="3068"/>
    </row>
    <row r="1668" spans="1:17" ht="15">
      <c r="A1668" s="521"/>
      <c r="B1668" s="2994" t="s">
        <v>267</v>
      </c>
      <c r="C1668" s="521"/>
      <c r="D1668" s="525"/>
      <c r="E1668" s="525"/>
      <c r="F1668" s="525"/>
      <c r="G1668" s="525"/>
      <c r="H1668" s="522"/>
      <c r="I1668" s="522"/>
      <c r="J1668" s="522"/>
      <c r="K1668" s="522"/>
      <c r="L1668" s="3117"/>
      <c r="M1668" s="2915"/>
      <c r="N1668" s="2909"/>
      <c r="O1668" s="3113"/>
      <c r="P1668" s="2911"/>
      <c r="Q1668" s="3117"/>
    </row>
    <row r="1669" spans="1:17" ht="15.75">
      <c r="A1669" s="2969" t="str">
        <f>'Part IX A-Scoring Criteria'!A296</f>
        <v>Applicants understands the requirements of HUD Section 811 PRA program and agrees to accept the PRA or other DCA offered rental assistance for up to 10% of the units.</v>
      </c>
      <c r="B1669" s="2969"/>
      <c r="C1669" s="2969"/>
      <c r="D1669" s="2969"/>
      <c r="E1669" s="2969"/>
      <c r="F1669" s="2969"/>
      <c r="G1669" s="2969"/>
      <c r="H1669" s="2969"/>
      <c r="I1669" s="2969"/>
      <c r="J1669" s="2969"/>
      <c r="K1669" s="2969"/>
      <c r="L1669" s="2969"/>
      <c r="M1669" s="2969"/>
      <c r="N1669" s="2969"/>
      <c r="O1669" s="2969"/>
      <c r="P1669" s="2969"/>
      <c r="Q1669" s="3118" t="s">
        <v>1313</v>
      </c>
    </row>
    <row r="1670" spans="1:17" ht="15">
      <c r="A1670" s="521"/>
      <c r="B1670" s="2994" t="s">
        <v>1959</v>
      </c>
      <c r="C1670" s="521"/>
      <c r="D1670" s="3034"/>
      <c r="E1670" s="3036"/>
      <c r="F1670" s="3036"/>
      <c r="G1670" s="3036"/>
      <c r="H1670" s="3036"/>
      <c r="I1670" s="3036"/>
      <c r="J1670" s="3036"/>
      <c r="K1670" s="3036"/>
      <c r="L1670" s="3036"/>
      <c r="M1670" s="3036"/>
      <c r="N1670" s="3136"/>
      <c r="O1670" s="3137"/>
      <c r="P1670" s="2924"/>
      <c r="Q1670" s="3125"/>
    </row>
    <row r="1671" spans="1:17" ht="15.75">
      <c r="A1671" s="2969">
        <f>'Part IX A-Scoring Criteria'!A298</f>
        <v>0</v>
      </c>
      <c r="B1671" s="2969"/>
      <c r="C1671" s="2969"/>
      <c r="D1671" s="2969"/>
      <c r="E1671" s="2969"/>
      <c r="F1671" s="2969"/>
      <c r="G1671" s="2969"/>
      <c r="H1671" s="2969"/>
      <c r="I1671" s="2969"/>
      <c r="J1671" s="2969"/>
      <c r="K1671" s="2969"/>
      <c r="L1671" s="2969"/>
      <c r="M1671" s="2969"/>
      <c r="N1671" s="2969"/>
      <c r="O1671" s="2969"/>
      <c r="P1671" s="2969"/>
      <c r="Q1671" s="3118" t="s">
        <v>1313</v>
      </c>
    </row>
    <row r="1672" spans="1:17" ht="15">
      <c r="A1672" s="521"/>
      <c r="B1672" s="521"/>
      <c r="C1672" s="3036"/>
      <c r="D1672" s="3036"/>
      <c r="E1672" s="3036"/>
      <c r="F1672" s="3036"/>
      <c r="G1672" s="3036"/>
      <c r="H1672" s="3036"/>
      <c r="I1672" s="3036"/>
      <c r="J1672" s="3036"/>
      <c r="K1672" s="3036"/>
      <c r="L1672" s="3036"/>
      <c r="M1672" s="3036"/>
      <c r="N1672" s="3136"/>
      <c r="O1672" s="3137"/>
      <c r="P1672" s="2924"/>
      <c r="Q1672" s="3117"/>
    </row>
    <row r="1673" spans="1:17" ht="15">
      <c r="A1673" s="3114" t="s">
        <v>1755</v>
      </c>
      <c r="B1673" s="3115" t="s">
        <v>2892</v>
      </c>
      <c r="C1673" s="3117"/>
      <c r="D1673" s="3031"/>
      <c r="E1673" s="3117"/>
      <c r="F1673" s="3117"/>
      <c r="G1673" s="3182" t="s">
        <v>3899</v>
      </c>
      <c r="H1673" s="3117"/>
      <c r="I1673" s="3117"/>
      <c r="J1673" s="3117"/>
      <c r="K1673" s="3117"/>
      <c r="L1673" s="3117"/>
      <c r="M1673" s="2924">
        <v>2</v>
      </c>
      <c r="N1673" s="3003"/>
      <c r="O1673" s="3113">
        <f>'Part IX A-Scoring Criteria'!O300</f>
        <v>0</v>
      </c>
      <c r="P1673" s="3113">
        <f>'Part IX A-Scoring Criteria'!P300</f>
        <v>0</v>
      </c>
      <c r="Q1673" s="2924" t="s">
        <v>458</v>
      </c>
    </row>
    <row r="1674" spans="1:17" ht="15">
      <c r="A1674" s="3205"/>
      <c r="B1674" s="3179"/>
      <c r="C1674" s="3205"/>
      <c r="D1674" s="3205"/>
      <c r="E1674" s="3205"/>
      <c r="F1674" s="3080"/>
      <c r="G1674" s="2927"/>
      <c r="H1674" s="3205"/>
      <c r="I1674" s="3205"/>
      <c r="J1674" s="3205"/>
      <c r="K1674" s="3205"/>
      <c r="L1674" s="3205"/>
      <c r="M1674" s="3144"/>
      <c r="N1674" s="3144"/>
      <c r="O1674" s="3144"/>
      <c r="P1674" s="3144"/>
      <c r="Q1674" s="2718"/>
    </row>
    <row r="1675" spans="1:17" ht="15">
      <c r="A1675" s="3210" t="s">
        <v>2080</v>
      </c>
      <c r="B1675" s="2969" t="s">
        <v>4073</v>
      </c>
      <c r="C1675" s="2969"/>
      <c r="D1675" s="2969"/>
      <c r="E1675" s="2969"/>
      <c r="F1675" s="2969"/>
      <c r="G1675" s="2969"/>
      <c r="H1675" s="3205"/>
      <c r="I1675" s="3068" t="s">
        <v>3943</v>
      </c>
      <c r="J1675" s="3205"/>
      <c r="K1675" s="3205"/>
      <c r="L1675" s="3211">
        <f>'Part VI-Revenues &amp; Expenses'!$M$82</f>
        <v>0</v>
      </c>
      <c r="M1675" s="3144">
        <v>2</v>
      </c>
      <c r="N1675" s="3078" t="s">
        <v>2080</v>
      </c>
      <c r="O1675" s="2924">
        <f>'Part IX A-Scoring Criteria'!O302</f>
        <v>0</v>
      </c>
      <c r="P1675" s="2924">
        <f>'Part IX A-Scoring Criteria'!P302</f>
        <v>0</v>
      </c>
      <c r="Q1675" s="2718" t="s">
        <v>2875</v>
      </c>
    </row>
    <row r="1676" spans="1:17" ht="15">
      <c r="A1676" s="3156"/>
      <c r="B1676" s="2969"/>
      <c r="C1676" s="2969"/>
      <c r="D1676" s="2969"/>
      <c r="E1676" s="2969"/>
      <c r="F1676" s="2969"/>
      <c r="G1676" s="2969"/>
      <c r="H1676" s="3205"/>
      <c r="I1676" s="3091" t="s">
        <v>3156</v>
      </c>
      <c r="J1676" s="3205"/>
      <c r="K1676" s="3205"/>
      <c r="L1676" s="3211">
        <f>'Part VI-Revenues &amp; Expenses'!$M$62</f>
        <v>42</v>
      </c>
      <c r="M1676" s="3144"/>
      <c r="N1676" s="3144"/>
      <c r="O1676" s="3144"/>
      <c r="P1676" s="3144"/>
      <c r="Q1676" s="2718"/>
    </row>
    <row r="1677" spans="1:17" ht="15">
      <c r="A1677" s="3026" t="s">
        <v>1418</v>
      </c>
      <c r="B1677" s="3205"/>
      <c r="C1677" s="3205"/>
      <c r="D1677" s="3068" t="s">
        <v>3158</v>
      </c>
      <c r="E1677" s="3205"/>
      <c r="F1677" s="3205"/>
      <c r="G1677" s="3211">
        <f>'Part III-Sources of Funds'!$I$46</f>
        <v>0</v>
      </c>
      <c r="H1677" s="3205"/>
      <c r="I1677" s="3031" t="s">
        <v>3157</v>
      </c>
      <c r="J1677" s="3205"/>
      <c r="K1677" s="3205"/>
      <c r="L1677" s="3212">
        <f>L1675/L1676</f>
        <v>0</v>
      </c>
      <c r="M1677" s="3144"/>
      <c r="N1677" s="3144"/>
      <c r="O1677" s="3144"/>
      <c r="P1677" s="3144"/>
      <c r="Q1677" s="2718"/>
    </row>
    <row r="1678" spans="1:17" ht="15">
      <c r="A1678" s="3205"/>
      <c r="B1678" s="3179"/>
      <c r="C1678" s="3205"/>
      <c r="D1678" s="3205"/>
      <c r="E1678" s="3205"/>
      <c r="F1678" s="3080"/>
      <c r="G1678" s="2927"/>
      <c r="H1678" s="3205"/>
      <c r="I1678" s="3205"/>
      <c r="J1678" s="3205"/>
      <c r="K1678" s="3205"/>
      <c r="L1678" s="3205"/>
      <c r="M1678" s="3144"/>
      <c r="N1678" s="3144"/>
      <c r="O1678" s="3144"/>
      <c r="P1678" s="3144"/>
      <c r="Q1678" s="2718"/>
    </row>
    <row r="1679" spans="1:17" ht="15">
      <c r="A1679" s="3210" t="s">
        <v>2083</v>
      </c>
      <c r="B1679" s="3068" t="s">
        <v>4074</v>
      </c>
      <c r="C1679" s="3205"/>
      <c r="D1679" s="3213" t="str">
        <f>'Part IX A-Scoring Criteria'!D306</f>
        <v>&lt;&lt;Select applicable status&gt;&gt;</v>
      </c>
      <c r="E1679" s="3213"/>
      <c r="F1679" s="3213"/>
      <c r="G1679" s="3213"/>
      <c r="H1679" s="3068"/>
      <c r="I1679" s="3068" t="s">
        <v>3944</v>
      </c>
      <c r="J1679" s="3205"/>
      <c r="K1679" s="3205"/>
      <c r="L1679" s="3211">
        <f>'Part IX A-Scoring Criteria'!L306</f>
        <v>0</v>
      </c>
      <c r="M1679" s="3144">
        <v>1</v>
      </c>
      <c r="N1679" s="3078" t="s">
        <v>2083</v>
      </c>
      <c r="O1679" s="2924">
        <f>'Part IX A-Scoring Criteria'!O306</f>
        <v>0</v>
      </c>
      <c r="P1679" s="2924">
        <f>'Part IX A-Scoring Criteria'!P306</f>
        <v>0</v>
      </c>
      <c r="Q1679" s="2718" t="s">
        <v>2875</v>
      </c>
    </row>
    <row r="1680" spans="1:17" ht="15">
      <c r="A1680" s="3210"/>
      <c r="B1680" s="3068"/>
      <c r="C1680" s="3068"/>
      <c r="D1680" s="3205"/>
      <c r="E1680" s="3205"/>
      <c r="F1680" s="3205"/>
      <c r="G1680" s="3205"/>
      <c r="H1680" s="3068"/>
      <c r="I1680" s="3091" t="s">
        <v>3156</v>
      </c>
      <c r="J1680" s="3205"/>
      <c r="K1680" s="3205"/>
      <c r="L1680" s="3211">
        <f>'Part VI-Revenues &amp; Expenses'!$M$62</f>
        <v>42</v>
      </c>
      <c r="M1680" s="3144"/>
      <c r="N1680" s="3144"/>
      <c r="O1680" s="3144"/>
      <c r="P1680" s="3144"/>
      <c r="Q1680" s="2718"/>
    </row>
    <row r="1681" spans="1:17" ht="15">
      <c r="A1681" s="3210"/>
      <c r="B1681" s="3068"/>
      <c r="C1681" s="3068"/>
      <c r="D1681" s="3068"/>
      <c r="E1681" s="3068"/>
      <c r="F1681" s="3068"/>
      <c r="G1681" s="3068"/>
      <c r="H1681" s="3068"/>
      <c r="I1681" s="3031" t="s">
        <v>3157</v>
      </c>
      <c r="J1681" s="3205"/>
      <c r="K1681" s="3205"/>
      <c r="L1681" s="3212">
        <f>L1679/L1680</f>
        <v>0</v>
      </c>
      <c r="M1681" s="3144"/>
      <c r="N1681" s="3144"/>
      <c r="O1681" s="3144"/>
      <c r="P1681" s="3144"/>
      <c r="Q1681" s="2718"/>
    </row>
    <row r="1682" spans="1:17" ht="15">
      <c r="A1682" s="521"/>
      <c r="B1682" s="2994" t="s">
        <v>267</v>
      </c>
      <c r="C1682" s="521"/>
      <c r="D1682" s="525"/>
      <c r="E1682" s="525"/>
      <c r="F1682" s="525"/>
      <c r="G1682" s="525"/>
      <c r="H1682" s="522"/>
      <c r="I1682" s="522"/>
      <c r="J1682" s="522"/>
      <c r="K1682" s="522"/>
      <c r="L1682" s="3117"/>
      <c r="M1682" s="2915"/>
      <c r="N1682" s="2909"/>
      <c r="O1682" s="3113"/>
      <c r="P1682" s="2911"/>
      <c r="Q1682" s="3117"/>
    </row>
    <row r="1683" spans="1:17" ht="15.75">
      <c r="A1683" s="2969" t="str">
        <f>'Part IX A-Scoring Criteria'!A310</f>
        <v>This is not a historic preservation project.</v>
      </c>
      <c r="B1683" s="2969"/>
      <c r="C1683" s="2969"/>
      <c r="D1683" s="2969"/>
      <c r="E1683" s="2969"/>
      <c r="F1683" s="2969"/>
      <c r="G1683" s="2969"/>
      <c r="H1683" s="2969"/>
      <c r="I1683" s="2969"/>
      <c r="J1683" s="2969"/>
      <c r="K1683" s="2969"/>
      <c r="L1683" s="2969"/>
      <c r="M1683" s="2969"/>
      <c r="N1683" s="2969"/>
      <c r="O1683" s="2969"/>
      <c r="P1683" s="2969"/>
      <c r="Q1683" s="3118" t="s">
        <v>1313</v>
      </c>
    </row>
    <row r="1684" spans="1:17" ht="15">
      <c r="A1684" s="521"/>
      <c r="B1684" s="2994" t="s">
        <v>1959</v>
      </c>
      <c r="C1684" s="521"/>
      <c r="D1684" s="3034"/>
      <c r="E1684" s="3036"/>
      <c r="F1684" s="3036"/>
      <c r="G1684" s="3036"/>
      <c r="H1684" s="3036"/>
      <c r="I1684" s="3036"/>
      <c r="J1684" s="3036"/>
      <c r="K1684" s="3036"/>
      <c r="L1684" s="3036"/>
      <c r="M1684" s="3036"/>
      <c r="N1684" s="3136"/>
      <c r="O1684" s="3137"/>
      <c r="P1684" s="2924"/>
      <c r="Q1684" s="3125"/>
    </row>
    <row r="1685" spans="1:17" ht="15.75">
      <c r="A1685" s="2969">
        <f>'Part IX A-Scoring Criteria'!A312</f>
        <v>0</v>
      </c>
      <c r="B1685" s="2969"/>
      <c r="C1685" s="2969"/>
      <c r="D1685" s="2969"/>
      <c r="E1685" s="2969"/>
      <c r="F1685" s="2969"/>
      <c r="G1685" s="2969"/>
      <c r="H1685" s="2969"/>
      <c r="I1685" s="2969"/>
      <c r="J1685" s="2969"/>
      <c r="K1685" s="2969"/>
      <c r="L1685" s="2969"/>
      <c r="M1685" s="2969"/>
      <c r="N1685" s="2969"/>
      <c r="O1685" s="2969"/>
      <c r="P1685" s="2969"/>
      <c r="Q1685" s="3118" t="s">
        <v>1313</v>
      </c>
    </row>
    <row r="1686" spans="1:17" ht="15">
      <c r="A1686" s="521"/>
      <c r="B1686" s="521"/>
      <c r="C1686" s="3036"/>
      <c r="D1686" s="3036"/>
      <c r="E1686" s="3036"/>
      <c r="F1686" s="3036"/>
      <c r="G1686" s="3036"/>
      <c r="H1686" s="3036"/>
      <c r="I1686" s="3036"/>
      <c r="J1686" s="3036"/>
      <c r="K1686" s="3036"/>
      <c r="L1686" s="3036"/>
      <c r="M1686" s="3036"/>
      <c r="N1686" s="3136"/>
      <c r="O1686" s="3137"/>
      <c r="P1686" s="2924"/>
      <c r="Q1686" s="3117"/>
    </row>
    <row r="1687" spans="1:17" ht="15">
      <c r="A1687" s="3186" t="s">
        <v>1756</v>
      </c>
      <c r="B1687" s="3115" t="s">
        <v>2764</v>
      </c>
      <c r="C1687" s="3117"/>
      <c r="D1687" s="3138"/>
      <c r="E1687" s="3138"/>
      <c r="F1687" s="3117"/>
      <c r="G1687" s="3117"/>
      <c r="H1687" s="3117"/>
      <c r="I1687" s="3123" t="s">
        <v>4643</v>
      </c>
      <c r="J1687" s="3138"/>
      <c r="K1687" s="3138"/>
      <c r="L1687" s="3117"/>
      <c r="M1687" s="2911">
        <v>5</v>
      </c>
      <c r="N1687" s="3117"/>
      <c r="O1687" s="3117"/>
      <c r="P1687" s="2924">
        <f>'Part IX A-Scoring Criteria'!P314</f>
        <v>0</v>
      </c>
      <c r="Q1687" s="2924" t="s">
        <v>458</v>
      </c>
    </row>
    <row r="1688" spans="1:17" ht="15">
      <c r="A1688" s="3186"/>
      <c r="B1688" s="3117"/>
      <c r="C1688" s="3117"/>
      <c r="D1688" s="3117"/>
      <c r="E1688" s="3117"/>
      <c r="F1688" s="3117"/>
      <c r="G1688" s="3117"/>
      <c r="H1688" s="3117"/>
      <c r="I1688" s="3117"/>
      <c r="J1688" s="3117"/>
      <c r="K1688" s="3117"/>
      <c r="L1688" s="3117"/>
      <c r="M1688" s="3214"/>
      <c r="N1688" s="3117"/>
      <c r="O1688" s="3117"/>
      <c r="P1688" s="3117"/>
      <c r="Q1688" s="2924"/>
    </row>
    <row r="1689" spans="1:17" ht="15">
      <c r="A1689" s="3186"/>
      <c r="B1689" s="3117"/>
      <c r="C1689" s="3117"/>
      <c r="D1689" s="3040" t="s">
        <v>3172</v>
      </c>
      <c r="E1689" s="3040"/>
      <c r="F1689" s="3215">
        <f>'Part IX A-Scoring Criteria'!F316</f>
        <v>359706</v>
      </c>
      <c r="G1689" s="2745"/>
      <c r="H1689" s="3138"/>
      <c r="I1689" s="3123" t="s">
        <v>4644</v>
      </c>
      <c r="J1689" s="3138"/>
      <c r="K1689" s="3138"/>
      <c r="L1689" s="3117"/>
      <c r="M1689" s="2915">
        <v>20</v>
      </c>
      <c r="N1689" s="2915"/>
      <c r="O1689" s="3113">
        <f>'Part IX A-Scoring Criteria'!O316</f>
        <v>12</v>
      </c>
      <c r="P1689" s="3113">
        <f>'Part IX A-Scoring Criteria'!P316</f>
        <v>0</v>
      </c>
      <c r="Q1689" s="2924"/>
    </row>
    <row r="1690" spans="1:17">
      <c r="A1690" s="3186"/>
      <c r="B1690" s="3081" t="s">
        <v>2080</v>
      </c>
      <c r="C1690" s="3216" t="s">
        <v>3159</v>
      </c>
      <c r="D1690" s="3216"/>
      <c r="E1690" s="3216"/>
      <c r="F1690" s="3216"/>
      <c r="G1690" s="3216"/>
      <c r="H1690" s="3216"/>
      <c r="I1690" s="3216"/>
      <c r="J1690" s="3216"/>
      <c r="K1690" s="3216"/>
      <c r="L1690" s="3216"/>
      <c r="M1690" s="3144">
        <v>6</v>
      </c>
      <c r="N1690" s="3138"/>
      <c r="O1690" s="2924">
        <f>'Part IX A-Scoring Criteria'!O317</f>
        <v>5</v>
      </c>
      <c r="P1690" s="2924">
        <f>'Part IX A-Scoring Criteria'!P317</f>
        <v>0</v>
      </c>
      <c r="Q1690" s="2718" t="s">
        <v>2875</v>
      </c>
    </row>
    <row r="1691" spans="1:17">
      <c r="A1691" s="3026" t="s">
        <v>1418</v>
      </c>
      <c r="B1691" s="3071" t="s">
        <v>2083</v>
      </c>
      <c r="C1691" s="3098" t="s">
        <v>3945</v>
      </c>
      <c r="D1691" s="3098"/>
      <c r="E1691" s="3098"/>
      <c r="F1691" s="3098"/>
      <c r="G1691" s="3098"/>
      <c r="H1691" s="3098"/>
      <c r="I1691" s="3098"/>
      <c r="J1691" s="3098"/>
      <c r="K1691" s="3098"/>
      <c r="L1691" s="3098"/>
      <c r="M1691" s="3144">
        <v>5</v>
      </c>
      <c r="N1691" s="3217"/>
      <c r="O1691" s="2924">
        <f>'Part IX A-Scoring Criteria'!O318</f>
        <v>0</v>
      </c>
      <c r="P1691" s="2924">
        <f>'Part IX A-Scoring Criteria'!P318</f>
        <v>0</v>
      </c>
      <c r="Q1691" s="2718"/>
    </row>
    <row r="1692" spans="1:17">
      <c r="A1692" s="3218"/>
      <c r="B1692" s="3071" t="s">
        <v>788</v>
      </c>
      <c r="C1692" s="3098" t="s">
        <v>3946</v>
      </c>
      <c r="D1692" s="3098"/>
      <c r="E1692" s="3098"/>
      <c r="F1692" s="3098"/>
      <c r="G1692" s="3098"/>
      <c r="H1692" s="3098"/>
      <c r="I1692" s="3098"/>
      <c r="J1692" s="3098"/>
      <c r="K1692" s="3098"/>
      <c r="L1692" s="3098"/>
      <c r="M1692" s="3144">
        <v>2</v>
      </c>
      <c r="N1692" s="3217"/>
      <c r="O1692" s="2924">
        <f>'Part IX A-Scoring Criteria'!O319</f>
        <v>0</v>
      </c>
      <c r="P1692" s="2924">
        <f>'Part IX A-Scoring Criteria'!P319</f>
        <v>0</v>
      </c>
      <c r="Q1692" s="3126" t="s">
        <v>2875</v>
      </c>
    </row>
    <row r="1693" spans="1:17">
      <c r="A1693" s="3218"/>
      <c r="B1693" s="3071" t="s">
        <v>2215</v>
      </c>
      <c r="C1693" s="3098" t="s">
        <v>4198</v>
      </c>
      <c r="D1693" s="3098"/>
      <c r="E1693" s="3098"/>
      <c r="F1693" s="3098"/>
      <c r="G1693" s="3098"/>
      <c r="H1693" s="3098"/>
      <c r="I1693" s="3098"/>
      <c r="J1693" s="3098"/>
      <c r="K1693" s="3098"/>
      <c r="L1693" s="3098"/>
      <c r="M1693" s="3144">
        <v>1</v>
      </c>
      <c r="N1693" s="3217"/>
      <c r="O1693" s="2924">
        <f>'Part IX A-Scoring Criteria'!O320</f>
        <v>1</v>
      </c>
      <c r="P1693" s="2924">
        <f>'Part IX A-Scoring Criteria'!P320</f>
        <v>0</v>
      </c>
      <c r="Q1693" s="2718" t="s">
        <v>2875</v>
      </c>
    </row>
    <row r="1694" spans="1:17">
      <c r="A1694" s="3186"/>
      <c r="B1694" s="3071" t="s">
        <v>1822</v>
      </c>
      <c r="C1694" s="3098" t="s">
        <v>4051</v>
      </c>
      <c r="D1694" s="3098"/>
      <c r="E1694" s="3098"/>
      <c r="F1694" s="3098"/>
      <c r="G1694" s="3098"/>
      <c r="H1694" s="3098"/>
      <c r="I1694" s="3098"/>
      <c r="J1694" s="3098"/>
      <c r="K1694" s="3098"/>
      <c r="L1694" s="3098"/>
      <c r="M1694" s="3144">
        <v>2</v>
      </c>
      <c r="N1694" s="3138"/>
      <c r="O1694" s="2924">
        <f>'Part IX A-Scoring Criteria'!O321</f>
        <v>2</v>
      </c>
      <c r="P1694" s="2924">
        <f>'Part IX A-Scoring Criteria'!P321</f>
        <v>0</v>
      </c>
      <c r="Q1694" s="2718" t="s">
        <v>2875</v>
      </c>
    </row>
    <row r="1695" spans="1:17" ht="15">
      <c r="A1695" s="3117"/>
      <c r="B1695" s="3026" t="s">
        <v>1418</v>
      </c>
      <c r="C1695" s="3216" t="s">
        <v>4050</v>
      </c>
      <c r="D1695" s="3216"/>
      <c r="E1695" s="3216"/>
      <c r="F1695" s="3216"/>
      <c r="G1695" s="3216"/>
      <c r="H1695" s="3216"/>
      <c r="I1695" s="3216"/>
      <c r="J1695" s="3216"/>
      <c r="K1695" s="3216"/>
      <c r="L1695" s="3216"/>
      <c r="M1695" s="2909">
        <v>1</v>
      </c>
      <c r="N1695" s="3138"/>
      <c r="O1695" s="2924">
        <f>'Part IX A-Scoring Criteria'!O322</f>
        <v>0</v>
      </c>
      <c r="P1695" s="2924">
        <f>'Part IX A-Scoring Criteria'!P322</f>
        <v>0</v>
      </c>
      <c r="Q1695" s="505"/>
    </row>
    <row r="1696" spans="1:17">
      <c r="A1696" s="3218"/>
      <c r="B1696" s="3071" t="s">
        <v>1823</v>
      </c>
      <c r="C1696" s="3098" t="s">
        <v>3947</v>
      </c>
      <c r="D1696" s="3098"/>
      <c r="E1696" s="3098"/>
      <c r="F1696" s="3098"/>
      <c r="G1696" s="3098"/>
      <c r="H1696" s="3098"/>
      <c r="I1696" s="3098"/>
      <c r="J1696" s="3098"/>
      <c r="K1696" s="3098"/>
      <c r="L1696" s="3098"/>
      <c r="M1696" s="3144">
        <v>2</v>
      </c>
      <c r="N1696" s="3217"/>
      <c r="O1696" s="2924">
        <f>'Part IX A-Scoring Criteria'!O323</f>
        <v>2</v>
      </c>
      <c r="P1696" s="2924">
        <f>'Part IX A-Scoring Criteria'!P323</f>
        <v>0</v>
      </c>
      <c r="Q1696" s="2718" t="s">
        <v>2875</v>
      </c>
    </row>
    <row r="1697" spans="1:17" ht="15">
      <c r="A1697" s="3205"/>
      <c r="B1697" s="3026" t="s">
        <v>1418</v>
      </c>
      <c r="C1697" s="3098" t="s">
        <v>3948</v>
      </c>
      <c r="D1697" s="3098"/>
      <c r="E1697" s="3098"/>
      <c r="F1697" s="3098"/>
      <c r="G1697" s="3098"/>
      <c r="H1697" s="3098"/>
      <c r="I1697" s="3098"/>
      <c r="J1697" s="3098"/>
      <c r="K1697" s="3098"/>
      <c r="L1697" s="3098"/>
      <c r="M1697" s="3144">
        <v>1</v>
      </c>
      <c r="N1697" s="3217"/>
      <c r="O1697" s="2924">
        <f>'Part IX A-Scoring Criteria'!O324</f>
        <v>0</v>
      </c>
      <c r="P1697" s="2924">
        <f>'Part IX A-Scoring Criteria'!P324</f>
        <v>0</v>
      </c>
      <c r="Q1697" s="2718"/>
    </row>
    <row r="1698" spans="1:17">
      <c r="A1698" s="3186"/>
      <c r="B1698" s="3081" t="s">
        <v>2043</v>
      </c>
      <c r="C1698" s="3216" t="s">
        <v>3949</v>
      </c>
      <c r="D1698" s="3216"/>
      <c r="E1698" s="3216"/>
      <c r="F1698" s="3216"/>
      <c r="G1698" s="3216"/>
      <c r="H1698" s="3216"/>
      <c r="I1698" s="3216"/>
      <c r="J1698" s="3216"/>
      <c r="K1698" s="3216"/>
      <c r="L1698" s="3216"/>
      <c r="M1698" s="2917">
        <v>2</v>
      </c>
      <c r="N1698" s="3138"/>
      <c r="O1698" s="2924">
        <f>'Part IX A-Scoring Criteria'!O325</f>
        <v>2</v>
      </c>
      <c r="P1698" s="2924">
        <f>'Part IX A-Scoring Criteria'!P325</f>
        <v>0</v>
      </c>
      <c r="Q1698" s="2718" t="s">
        <v>2875</v>
      </c>
    </row>
    <row r="1699" spans="1:17">
      <c r="A1699" s="3186"/>
      <c r="B1699" s="3081"/>
      <c r="C1699" s="3219"/>
      <c r="D1699" s="3219"/>
      <c r="E1699" s="3219"/>
      <c r="F1699" s="3219"/>
      <c r="G1699" s="2970" t="s">
        <v>3613</v>
      </c>
      <c r="H1699" s="3220">
        <f>'Part IX A-Scoring Criteria'!H326</f>
        <v>2850000</v>
      </c>
      <c r="I1699" s="2970" t="s">
        <v>562</v>
      </c>
      <c r="J1699" s="3220">
        <f>'Part IX A-Scoring Criteria'!J326</f>
        <v>6245106</v>
      </c>
      <c r="K1699" s="2970" t="s">
        <v>4199</v>
      </c>
      <c r="L1699" s="3221">
        <f>H1699/J1699</f>
        <v>0.45635734605625589</v>
      </c>
      <c r="M1699" s="2917"/>
      <c r="N1699" s="3138"/>
      <c r="O1699" s="3138"/>
      <c r="P1699" s="3138"/>
      <c r="Q1699" s="2718"/>
    </row>
    <row r="1700" spans="1:17">
      <c r="A1700" s="3218"/>
      <c r="B1700" s="3071" t="s">
        <v>3837</v>
      </c>
      <c r="C1700" s="3098" t="s">
        <v>3950</v>
      </c>
      <c r="D1700" s="3098"/>
      <c r="E1700" s="3098"/>
      <c r="F1700" s="3098"/>
      <c r="G1700" s="3098"/>
      <c r="H1700" s="3098"/>
      <c r="I1700" s="3098"/>
      <c r="J1700" s="3098"/>
      <c r="K1700" s="3098"/>
      <c r="L1700" s="3098"/>
      <c r="M1700" s="3222">
        <v>2</v>
      </c>
      <c r="N1700" s="3217"/>
      <c r="O1700" s="2924">
        <f>'Part IX A-Scoring Criteria'!O327</f>
        <v>0</v>
      </c>
      <c r="P1700" s="2924">
        <f>'Part IX A-Scoring Criteria'!P327</f>
        <v>0</v>
      </c>
      <c r="Q1700" s="3126" t="s">
        <v>2875</v>
      </c>
    </row>
    <row r="1701" spans="1:17">
      <c r="A1701" s="3218"/>
      <c r="B1701" s="3071" t="s">
        <v>646</v>
      </c>
      <c r="C1701" s="3098" t="s">
        <v>4052</v>
      </c>
      <c r="D1701" s="3098"/>
      <c r="E1701" s="3098"/>
      <c r="F1701" s="3098"/>
      <c r="G1701" s="3098"/>
      <c r="H1701" s="3098"/>
      <c r="I1701" s="3098"/>
      <c r="J1701" s="3098"/>
      <c r="K1701" s="3098"/>
      <c r="L1701" s="3098"/>
      <c r="M1701" s="3222">
        <v>2</v>
      </c>
      <c r="N1701" s="3217"/>
      <c r="O1701" s="2924">
        <f>'Part IX A-Scoring Criteria'!O328</f>
        <v>0</v>
      </c>
      <c r="P1701" s="2924">
        <f>'Part IX A-Scoring Criteria'!P328</f>
        <v>0</v>
      </c>
      <c r="Q1701" s="3126" t="s">
        <v>2875</v>
      </c>
    </row>
    <row r="1702" spans="1:17">
      <c r="A1702" s="3218"/>
      <c r="B1702" s="3071" t="s">
        <v>3838</v>
      </c>
      <c r="C1702" s="3098" t="s">
        <v>3951</v>
      </c>
      <c r="D1702" s="3098"/>
      <c r="E1702" s="3098"/>
      <c r="F1702" s="3098"/>
      <c r="G1702" s="3098"/>
      <c r="H1702" s="3098"/>
      <c r="I1702" s="3098"/>
      <c r="J1702" s="3098"/>
      <c r="K1702" s="3098"/>
      <c r="L1702" s="3098"/>
      <c r="M1702" s="3222">
        <v>1</v>
      </c>
      <c r="N1702" s="3217"/>
      <c r="O1702" s="2924">
        <f>'Part IX A-Scoring Criteria'!O329</f>
        <v>0</v>
      </c>
      <c r="P1702" s="2924">
        <f>'Part IX A-Scoring Criteria'!P329</f>
        <v>0</v>
      </c>
      <c r="Q1702" s="3126" t="s">
        <v>2875</v>
      </c>
    </row>
    <row r="1703" spans="1:17" ht="15">
      <c r="A1703" s="521"/>
      <c r="B1703" s="2994" t="s">
        <v>267</v>
      </c>
      <c r="C1703" s="521"/>
      <c r="D1703" s="525"/>
      <c r="E1703" s="525"/>
      <c r="F1703" s="525"/>
      <c r="G1703" s="525"/>
      <c r="H1703" s="522"/>
      <c r="I1703" s="522"/>
      <c r="J1703" s="522"/>
      <c r="K1703" s="522"/>
      <c r="L1703" s="3117"/>
      <c r="M1703" s="2915"/>
      <c r="N1703" s="2909"/>
      <c r="O1703" s="3113"/>
      <c r="P1703" s="2911"/>
      <c r="Q1703" s="3117"/>
    </row>
    <row r="1704" spans="1:17" ht="15.75">
      <c r="A1704" s="2969" t="str">
        <f>'Part IX A-Scoring Criteria'!A331</f>
        <v>Arbor  Trace II was a 1993 LIHTC allocation (93-052).  The compliance period began in 1995 and ended in 2010.</v>
      </c>
      <c r="B1704" s="2969"/>
      <c r="C1704" s="2969"/>
      <c r="D1704" s="2969"/>
      <c r="E1704" s="2969"/>
      <c r="F1704" s="2969"/>
      <c r="G1704" s="2969"/>
      <c r="H1704" s="2969"/>
      <c r="I1704" s="2969"/>
      <c r="J1704" s="2969"/>
      <c r="K1704" s="2969"/>
      <c r="L1704" s="2969"/>
      <c r="M1704" s="2969"/>
      <c r="N1704" s="2969"/>
      <c r="O1704" s="2969"/>
      <c r="P1704" s="2969"/>
      <c r="Q1704" s="3118" t="s">
        <v>1313</v>
      </c>
    </row>
    <row r="1705" spans="1:17" ht="15">
      <c r="A1705" s="521"/>
      <c r="B1705" s="2994" t="s">
        <v>1959</v>
      </c>
      <c r="C1705" s="521"/>
      <c r="D1705" s="3034"/>
      <c r="E1705" s="3036"/>
      <c r="F1705" s="3036"/>
      <c r="G1705" s="3036"/>
      <c r="H1705" s="3036"/>
      <c r="I1705" s="3036"/>
      <c r="J1705" s="3036"/>
      <c r="K1705" s="3036"/>
      <c r="L1705" s="3036"/>
      <c r="M1705" s="3036"/>
      <c r="N1705" s="3136"/>
      <c r="O1705" s="3137"/>
      <c r="P1705" s="2924"/>
      <c r="Q1705" s="3125"/>
    </row>
    <row r="1706" spans="1:17" ht="15.75">
      <c r="A1706" s="2969">
        <f>'Part IX A-Scoring Criteria'!A333</f>
        <v>0</v>
      </c>
      <c r="B1706" s="2969"/>
      <c r="C1706" s="2969"/>
      <c r="D1706" s="2969"/>
      <c r="E1706" s="2969"/>
      <c r="F1706" s="2969"/>
      <c r="G1706" s="2969"/>
      <c r="H1706" s="2969"/>
      <c r="I1706" s="2969"/>
      <c r="J1706" s="2969"/>
      <c r="K1706" s="2969"/>
      <c r="L1706" s="2969"/>
      <c r="M1706" s="2969"/>
      <c r="N1706" s="2969"/>
      <c r="O1706" s="2969"/>
      <c r="P1706" s="2969"/>
      <c r="Q1706" s="3118" t="s">
        <v>1313</v>
      </c>
    </row>
    <row r="1707" spans="1:17" ht="15">
      <c r="A1707" s="521"/>
      <c r="B1707" s="3117"/>
      <c r="C1707" s="3036"/>
      <c r="D1707" s="3036"/>
      <c r="E1707" s="3036"/>
      <c r="F1707" s="3036"/>
      <c r="G1707" s="3036"/>
      <c r="H1707" s="3036"/>
      <c r="I1707" s="3036"/>
      <c r="J1707" s="3036"/>
      <c r="K1707" s="3036"/>
      <c r="L1707" s="3036"/>
      <c r="M1707" s="3036"/>
      <c r="N1707" s="3136"/>
      <c r="O1707" s="3137"/>
      <c r="P1707" s="2924"/>
      <c r="Q1707" s="3117"/>
    </row>
    <row r="1708" spans="1:17" ht="15">
      <c r="A1708" s="3186" t="s">
        <v>3160</v>
      </c>
      <c r="B1708" s="3115" t="s">
        <v>3962</v>
      </c>
      <c r="C1708" s="3117"/>
      <c r="D1708" s="3138"/>
      <c r="E1708" s="3138"/>
      <c r="F1708" s="3138"/>
      <c r="G1708" s="3138"/>
      <c r="H1708" s="3138"/>
      <c r="I1708" s="3138"/>
      <c r="J1708" s="3138"/>
      <c r="K1708" s="3138"/>
      <c r="L1708" s="3138"/>
      <c r="M1708" s="2924">
        <v>2</v>
      </c>
      <c r="N1708" s="3139"/>
      <c r="O1708" s="3113">
        <f>'Part IX A-Scoring Criteria'!O335</f>
        <v>2</v>
      </c>
      <c r="P1708" s="3113">
        <f>'Part IX A-Scoring Criteria'!P335</f>
        <v>0</v>
      </c>
      <c r="Q1708" s="2924" t="s">
        <v>458</v>
      </c>
    </row>
    <row r="1709" spans="1:17" ht="15">
      <c r="A1709" s="3117"/>
      <c r="B1709" s="3223" t="s">
        <v>3964</v>
      </c>
      <c r="C1709" s="3223"/>
      <c r="D1709" s="3223"/>
      <c r="E1709" s="3223"/>
      <c r="F1709" s="3223"/>
      <c r="G1709" s="3223"/>
      <c r="H1709" s="3223"/>
      <c r="I1709" s="3223"/>
      <c r="J1709" s="3223"/>
      <c r="K1709" s="3223"/>
      <c r="L1709" s="3223"/>
      <c r="M1709" s="3223"/>
      <c r="N1709" s="3223"/>
      <c r="O1709" s="2924" t="str">
        <f>'Part IX A-Scoring Criteria'!O336</f>
        <v>Yes</v>
      </c>
      <c r="P1709" s="2924">
        <f>'Part IX A-Scoring Criteria'!P336</f>
        <v>0</v>
      </c>
      <c r="Q1709" s="3117"/>
    </row>
    <row r="1710" spans="1:17" ht="15">
      <c r="A1710" s="3081"/>
      <c r="B1710" s="3043"/>
      <c r="C1710" s="3043"/>
      <c r="D1710" s="3043"/>
      <c r="E1710" s="3043"/>
      <c r="F1710" s="3043"/>
      <c r="G1710" s="3043"/>
      <c r="H1710" s="3043"/>
      <c r="I1710" s="3043"/>
      <c r="J1710" s="3043"/>
      <c r="K1710" s="3043"/>
      <c r="L1710" s="3043"/>
      <c r="M1710" s="3043"/>
      <c r="N1710" s="3117"/>
      <c r="O1710" s="3117"/>
      <c r="P1710" s="3117"/>
      <c r="Q1710" s="3117"/>
    </row>
    <row r="1711" spans="1:17" ht="15">
      <c r="A1711" s="3081"/>
      <c r="B1711" s="3031" t="s">
        <v>4200</v>
      </c>
      <c r="C1711" s="3117"/>
      <c r="D1711" s="3117"/>
      <c r="E1711" s="3117"/>
      <c r="F1711" s="522" t="s">
        <v>3959</v>
      </c>
      <c r="G1711" s="522"/>
      <c r="H1711" s="3117"/>
      <c r="I1711" s="3117"/>
      <c r="J1711" s="2957" t="str">
        <f>'Part IX A-Scoring Criteria'!J338</f>
        <v>Lowndes County</v>
      </c>
      <c r="K1711" s="2957"/>
      <c r="L1711" s="2957"/>
      <c r="M1711" s="2957"/>
      <c r="N1711" s="2957"/>
      <c r="O1711" s="2806" t="s">
        <v>4083</v>
      </c>
      <c r="P1711" s="3117"/>
      <c r="Q1711" s="3117"/>
    </row>
    <row r="1712" spans="1:17" ht="15">
      <c r="A1712" s="3081"/>
      <c r="B1712" s="3117"/>
      <c r="C1712" s="3224"/>
      <c r="D1712" s="3224"/>
      <c r="E1712" s="3224"/>
      <c r="F1712" s="3150"/>
      <c r="G1712" s="3117"/>
      <c r="H1712" s="3224"/>
      <c r="I1712" s="3224"/>
      <c r="J1712" s="3224"/>
      <c r="K1712" s="3224"/>
      <c r="L1712" s="3224"/>
      <c r="M1712" s="3117"/>
      <c r="N1712" s="3043"/>
      <c r="O1712" s="2806"/>
      <c r="P1712" s="3043"/>
      <c r="Q1712" s="3117"/>
    </row>
    <row r="1713" spans="1:17" ht="15">
      <c r="A1713" s="3081"/>
      <c r="B1713" s="3117"/>
      <c r="C1713" s="3224"/>
      <c r="D1713" s="3224"/>
      <c r="E1713" s="3224"/>
      <c r="F1713" s="505" t="s">
        <v>3304</v>
      </c>
      <c r="G1713" s="505"/>
      <c r="H1713" s="3117"/>
      <c r="I1713" s="3117"/>
      <c r="J1713" s="3184" t="str">
        <f>'Part I-Project Information'!$H$67</f>
        <v>Family</v>
      </c>
      <c r="K1713" s="3184"/>
      <c r="L1713" s="3224"/>
      <c r="M1713" s="2806" t="s">
        <v>4082</v>
      </c>
      <c r="N1713" s="3043"/>
      <c r="O1713" s="2806"/>
      <c r="P1713" s="3043"/>
      <c r="Q1713" s="3117"/>
    </row>
    <row r="1714" spans="1:17" ht="15">
      <c r="A1714" s="3081"/>
      <c r="B1714" s="3002" t="s">
        <v>3960</v>
      </c>
      <c r="C1714" s="3000"/>
      <c r="D1714" s="3000"/>
      <c r="E1714" s="3224"/>
      <c r="F1714" s="3150"/>
      <c r="G1714" s="3117"/>
      <c r="H1714" s="3224"/>
      <c r="I1714" s="3224"/>
      <c r="J1714" s="3224"/>
      <c r="K1714" s="3224"/>
      <c r="L1714" s="3224"/>
      <c r="M1714" s="2806"/>
      <c r="N1714" s="3043"/>
      <c r="O1714" s="2806"/>
      <c r="P1714" s="3095" t="s">
        <v>3956</v>
      </c>
      <c r="Q1714" s="3117"/>
    </row>
    <row r="1715" spans="1:17" ht="23.25">
      <c r="A1715" s="3081"/>
      <c r="B1715" s="3117"/>
      <c r="C1715" s="2958"/>
      <c r="D1715" s="3117"/>
      <c r="E1715" s="3117"/>
      <c r="F1715" s="3031" t="s">
        <v>3961</v>
      </c>
      <c r="G1715" s="3117"/>
      <c r="H1715" s="3224"/>
      <c r="I1715" s="3225" t="s">
        <v>3955</v>
      </c>
      <c r="J1715" s="3092" t="s">
        <v>3957</v>
      </c>
      <c r="K1715" s="3028" t="s">
        <v>3956</v>
      </c>
      <c r="L1715" s="2918" t="s">
        <v>3958</v>
      </c>
      <c r="M1715" s="2806"/>
      <c r="N1715" s="2917"/>
      <c r="O1715" s="2806"/>
      <c r="P1715" s="3095"/>
      <c r="Q1715" s="3117"/>
    </row>
    <row r="1716" spans="1:17" ht="22.5">
      <c r="A1716" s="3081"/>
      <c r="B1716" s="3003" t="s">
        <v>2555</v>
      </c>
      <c r="C1716" s="3000" t="s">
        <v>3954</v>
      </c>
      <c r="D1716" s="3000"/>
      <c r="E1716" s="3224"/>
      <c r="F1716" s="2957" t="e">
        <f>-'Part IX A-Scoring Criteria'!F343</f>
        <v>#VALUE!</v>
      </c>
      <c r="G1716" s="2957"/>
      <c r="H1716" s="2957"/>
      <c r="I1716" s="2970" t="str">
        <f>'Part IX A-Scoring Criteria'!I343</f>
        <v>PK,K,1,2,3,4,5</v>
      </c>
      <c r="J1716" s="2970" t="str">
        <f>'Part IX A-Scoring Criteria'!J343</f>
        <v>No</v>
      </c>
      <c r="K1716" s="3226">
        <f>'Part IX A-Scoring Criteria'!K343</f>
        <v>87.4</v>
      </c>
      <c r="L1716" s="2917">
        <v>78</v>
      </c>
      <c r="M1716" s="2918" t="str">
        <f>IF(K1716="","",IF(K1716&gt;=L1716,"Yes",IF(K1716&lt;L1716,"No","")))</f>
        <v>Yes</v>
      </c>
      <c r="N1716" s="2917"/>
      <c r="O1716" s="2918" t="str">
        <f>IF(P1716="","",IF(P1716&gt;=L1716,"Yes",IF(P1716&lt;L1716,"No","")))</f>
        <v>No</v>
      </c>
      <c r="P1716" s="3226">
        <f>'Part IX A-Scoring Criteria'!P343</f>
        <v>0</v>
      </c>
      <c r="Q1716" s="3117"/>
    </row>
    <row r="1717" spans="1:17" ht="15">
      <c r="A1717" s="3081"/>
      <c r="B1717" s="3078" t="s">
        <v>2556</v>
      </c>
      <c r="C1717" s="3000" t="s">
        <v>3952</v>
      </c>
      <c r="D1717" s="3000"/>
      <c r="E1717" s="3224"/>
      <c r="F1717" s="2957" t="e">
        <f>-'Part IX A-Scoring Criteria'!F344</f>
        <v>#VALUE!</v>
      </c>
      <c r="G1717" s="2957"/>
      <c r="H1717" s="2957"/>
      <c r="I1717" s="2970" t="str">
        <f>'Part IX A-Scoring Criteria'!I344</f>
        <v>6,7,8</v>
      </c>
      <c r="J1717" s="2970" t="str">
        <f>'Part IX A-Scoring Criteria'!J344</f>
        <v>No</v>
      </c>
      <c r="K1717" s="3226">
        <f>'Part IX A-Scoring Criteria'!K344</f>
        <v>82.2</v>
      </c>
      <c r="L1717" s="2917">
        <v>75</v>
      </c>
      <c r="M1717" s="2918" t="str">
        <f>IF(K1717="","",IF(K1717&gt;=L1717,"Yes",IF(K1717&lt;L1717,"No","")))</f>
        <v>Yes</v>
      </c>
      <c r="N1717" s="2917"/>
      <c r="O1717" s="2918" t="str">
        <f>IF(P1717="","",IF(P1717&gt;=L1717,"Yes",IF(P1717&lt;L1717,"No","")))</f>
        <v>No</v>
      </c>
      <c r="P1717" s="3226">
        <f>'Part IX A-Scoring Criteria'!P344</f>
        <v>0</v>
      </c>
      <c r="Q1717" s="3117"/>
    </row>
    <row r="1718" spans="1:17" ht="15">
      <c r="A1718" s="3081"/>
      <c r="B1718" s="3003" t="s">
        <v>2557</v>
      </c>
      <c r="C1718" s="3000" t="s">
        <v>3953</v>
      </c>
      <c r="D1718" s="3000"/>
      <c r="E1718" s="3224"/>
      <c r="F1718" s="2957" t="e">
        <f>-'Part IX A-Scoring Criteria'!F345</f>
        <v>#VALUE!</v>
      </c>
      <c r="G1718" s="2957"/>
      <c r="H1718" s="2957"/>
      <c r="I1718" s="2970" t="str">
        <f>'Part IX A-Scoring Criteria'!I345</f>
        <v>9,10,11,12</v>
      </c>
      <c r="J1718" s="2970" t="str">
        <f>'Part IX A-Scoring Criteria'!J345</f>
        <v>No</v>
      </c>
      <c r="K1718" s="3226">
        <f>'Part IX A-Scoring Criteria'!K345</f>
        <v>73.7</v>
      </c>
      <c r="L1718" s="2917">
        <v>72</v>
      </c>
      <c r="M1718" s="2918" t="str">
        <f>IF(K1718="","",IF(K1718&gt;=L1718,"Yes",IF(K1718&lt;L1718,"No","")))</f>
        <v>Yes</v>
      </c>
      <c r="N1718" s="2917"/>
      <c r="O1718" s="2918" t="str">
        <f>IF(P1718="","",IF(P1718&gt;=L1718,"Yes",IF(P1718&lt;L1718,"No","")))</f>
        <v>No</v>
      </c>
      <c r="P1718" s="3226">
        <f>'Part IX A-Scoring Criteria'!P345</f>
        <v>0</v>
      </c>
      <c r="Q1718" s="3117"/>
    </row>
    <row r="1719" spans="1:17" ht="15">
      <c r="A1719" s="521"/>
      <c r="B1719" s="2994" t="s">
        <v>267</v>
      </c>
      <c r="C1719" s="521"/>
      <c r="D1719" s="525"/>
      <c r="E1719" s="525"/>
      <c r="F1719" s="525"/>
      <c r="G1719" s="525"/>
      <c r="H1719" s="522"/>
      <c r="I1719" s="522"/>
      <c r="J1719" s="522"/>
      <c r="K1719" s="522"/>
      <c r="L1719" s="3117"/>
      <c r="M1719" s="2915"/>
      <c r="N1719" s="2909"/>
      <c r="O1719" s="3113"/>
      <c r="P1719" s="2911"/>
      <c r="Q1719" s="3117"/>
    </row>
    <row r="1720" spans="1:17" ht="15.75">
      <c r="A1720" s="2969" t="str">
        <f>'Part IX A-Scoring Criteria'!A347</f>
        <v>All schools in Arbor Trace's school district exceed state averages.</v>
      </c>
      <c r="B1720" s="2969"/>
      <c r="C1720" s="2969"/>
      <c r="D1720" s="2969"/>
      <c r="E1720" s="2969"/>
      <c r="F1720" s="2969"/>
      <c r="G1720" s="2969"/>
      <c r="H1720" s="2969"/>
      <c r="I1720" s="2969"/>
      <c r="J1720" s="2969"/>
      <c r="K1720" s="2969"/>
      <c r="L1720" s="2969"/>
      <c r="M1720" s="2969"/>
      <c r="N1720" s="2969"/>
      <c r="O1720" s="2969"/>
      <c r="P1720" s="2969"/>
      <c r="Q1720" s="3118" t="s">
        <v>1313</v>
      </c>
    </row>
    <row r="1721" spans="1:17" ht="15">
      <c r="A1721" s="521"/>
      <c r="B1721" s="2994" t="s">
        <v>1959</v>
      </c>
      <c r="C1721" s="521"/>
      <c r="D1721" s="3034"/>
      <c r="E1721" s="3036"/>
      <c r="F1721" s="3036"/>
      <c r="G1721" s="3036"/>
      <c r="H1721" s="3036"/>
      <c r="I1721" s="3036"/>
      <c r="J1721" s="3036"/>
      <c r="K1721" s="3036"/>
      <c r="L1721" s="3036"/>
      <c r="M1721" s="3036"/>
      <c r="N1721" s="3136"/>
      <c r="O1721" s="3137"/>
      <c r="P1721" s="2924"/>
      <c r="Q1721" s="3125"/>
    </row>
    <row r="1722" spans="1:17" ht="15.75">
      <c r="A1722" s="2969">
        <f>'Part IX A-Scoring Criteria'!A349</f>
        <v>0</v>
      </c>
      <c r="B1722" s="2969"/>
      <c r="C1722" s="2969"/>
      <c r="D1722" s="2969"/>
      <c r="E1722" s="2969"/>
      <c r="F1722" s="2969"/>
      <c r="G1722" s="2969"/>
      <c r="H1722" s="2969"/>
      <c r="I1722" s="2969"/>
      <c r="J1722" s="2969"/>
      <c r="K1722" s="2969"/>
      <c r="L1722" s="2969"/>
      <c r="M1722" s="2969"/>
      <c r="N1722" s="2969"/>
      <c r="O1722" s="2969"/>
      <c r="P1722" s="2969"/>
      <c r="Q1722" s="3118" t="s">
        <v>1313</v>
      </c>
    </row>
    <row r="1723" spans="1:17" ht="15">
      <c r="A1723" s="521"/>
      <c r="B1723" s="3117"/>
      <c r="C1723" s="3036"/>
      <c r="D1723" s="3036"/>
      <c r="E1723" s="3036"/>
      <c r="F1723" s="3036"/>
      <c r="G1723" s="3036"/>
      <c r="H1723" s="3036"/>
      <c r="I1723" s="3036"/>
      <c r="J1723" s="3036"/>
      <c r="K1723" s="3036"/>
      <c r="L1723" s="3036"/>
      <c r="M1723" s="3036"/>
      <c r="N1723" s="3136"/>
      <c r="O1723" s="3137"/>
      <c r="P1723" s="2924"/>
      <c r="Q1723" s="3117"/>
    </row>
    <row r="1724" spans="1:17" ht="15">
      <c r="A1724" s="3186" t="s">
        <v>3163</v>
      </c>
      <c r="B1724" s="3115" t="s">
        <v>3162</v>
      </c>
      <c r="C1724" s="3117"/>
      <c r="D1724" s="3138"/>
      <c r="E1724" s="3138"/>
      <c r="F1724" s="3138"/>
      <c r="G1724" s="3028" t="s">
        <v>4368</v>
      </c>
      <c r="H1724" s="3138"/>
      <c r="I1724" s="505" t="s">
        <v>3167</v>
      </c>
      <c r="J1724" s="505"/>
      <c r="K1724" s="3184" t="str">
        <f>'Part IX A-Scoring Criteria'!K351</f>
        <v>Lake Park</v>
      </c>
      <c r="L1724" s="3184"/>
      <c r="M1724" s="2924">
        <v>2</v>
      </c>
      <c r="N1724" s="3139"/>
      <c r="O1724" s="2924">
        <f>'Part IX A-Scoring Criteria'!O351</f>
        <v>0</v>
      </c>
      <c r="P1724" s="2924">
        <f>'Part IX A-Scoring Criteria'!P351</f>
        <v>0</v>
      </c>
      <c r="Q1724" s="2924" t="s">
        <v>458</v>
      </c>
    </row>
    <row r="1725" spans="1:17">
      <c r="A1725" s="3081" t="s">
        <v>2080</v>
      </c>
      <c r="B1725" s="505"/>
      <c r="C1725" s="3092" t="s">
        <v>3171</v>
      </c>
      <c r="D1725" s="505"/>
      <c r="E1725" s="505"/>
      <c r="F1725" s="505"/>
      <c r="G1725" s="3220">
        <f>'Part IX A-Scoring Criteria'!G352</f>
        <v>0</v>
      </c>
      <c r="H1725" s="505"/>
      <c r="I1725" s="3184" t="s">
        <v>3168</v>
      </c>
      <c r="J1725" s="3184"/>
      <c r="K1725" s="3184" t="str">
        <f>'Part IX A-Scoring Criteria'!K352</f>
        <v>Lowndes</v>
      </c>
      <c r="L1725" s="3184"/>
      <c r="M1725" s="505"/>
      <c r="N1725" s="505"/>
      <c r="O1725" s="505"/>
      <c r="P1725" s="505"/>
      <c r="Q1725" s="505"/>
    </row>
    <row r="1726" spans="1:17">
      <c r="A1726" s="3081"/>
      <c r="B1726" s="505"/>
      <c r="C1726" s="3092"/>
      <c r="D1726" s="505"/>
      <c r="E1726" s="505"/>
      <c r="F1726" s="505"/>
      <c r="G1726" s="505"/>
      <c r="H1726" s="505"/>
      <c r="I1726" s="3154" t="s">
        <v>3169</v>
      </c>
      <c r="J1726" s="505"/>
      <c r="K1726" s="3184" t="str">
        <f>'Part IX A-Scoring Criteria'!K353</f>
        <v>Valdosta</v>
      </c>
      <c r="L1726" s="3184"/>
      <c r="M1726" s="505"/>
      <c r="N1726" s="505"/>
      <c r="O1726" s="505"/>
      <c r="P1726" s="505"/>
      <c r="Q1726" s="505"/>
    </row>
    <row r="1727" spans="1:17">
      <c r="A1727" s="3071" t="s">
        <v>2083</v>
      </c>
      <c r="B1727" s="3154" t="s">
        <v>3166</v>
      </c>
      <c r="C1727" s="3154"/>
      <c r="D1727" s="3092"/>
      <c r="E1727" s="3092"/>
      <c r="F1727" s="505"/>
      <c r="G1727" s="3168">
        <f>'Part IX A-Scoring Criteria'!G354</f>
        <v>0</v>
      </c>
      <c r="H1727" s="505"/>
      <c r="I1727" s="3154" t="s">
        <v>3305</v>
      </c>
      <c r="J1727" s="505"/>
      <c r="K1727" s="3184" t="str">
        <f>'Part IX A-Scoring Criteria'!K354</f>
        <v>MSA</v>
      </c>
      <c r="L1727" s="3184"/>
      <c r="M1727" s="505"/>
      <c r="N1727" s="505"/>
      <c r="O1727" s="505"/>
      <c r="P1727" s="505"/>
      <c r="Q1727" s="505"/>
    </row>
    <row r="1728" spans="1:17">
      <c r="A1728" s="3033"/>
      <c r="B1728" s="3154" t="s">
        <v>3165</v>
      </c>
      <c r="C1728" s="3154"/>
      <c r="D1728" s="3092"/>
      <c r="E1728" s="3092"/>
      <c r="F1728" s="3033"/>
      <c r="G1728" s="3033"/>
      <c r="H1728" s="505"/>
      <c r="I1728" s="505" t="s">
        <v>3306</v>
      </c>
      <c r="J1728" s="505"/>
      <c r="K1728" s="3184" t="str">
        <f>'Part IX A-Scoring Criteria'!K355</f>
        <v>Rural</v>
      </c>
      <c r="L1728" s="3184"/>
      <c r="M1728" s="505"/>
      <c r="N1728" s="505"/>
      <c r="O1728" s="505"/>
      <c r="P1728" s="505"/>
      <c r="Q1728" s="505"/>
    </row>
    <row r="1729" spans="1:17">
      <c r="A1729" s="505"/>
      <c r="B1729" s="505"/>
      <c r="C1729" s="505"/>
      <c r="D1729" s="505"/>
      <c r="E1729" s="505"/>
      <c r="F1729" s="505"/>
      <c r="G1729" s="505"/>
      <c r="H1729" s="3033"/>
      <c r="I1729" s="3033"/>
      <c r="J1729" s="3033"/>
      <c r="K1729" s="3033"/>
      <c r="L1729" s="3033"/>
      <c r="M1729" s="505"/>
      <c r="N1729" s="505"/>
      <c r="O1729" s="505"/>
      <c r="P1729" s="505"/>
      <c r="Q1729" s="505"/>
    </row>
    <row r="1730" spans="1:17">
      <c r="A1730" s="3033"/>
      <c r="B1730" s="3033"/>
      <c r="C1730" s="3227" t="s">
        <v>3164</v>
      </c>
      <c r="D1730" s="3228" t="s">
        <v>3963</v>
      </c>
      <c r="E1730" s="3228"/>
      <c r="F1730" s="3228"/>
      <c r="G1730" s="3228"/>
      <c r="H1730" s="3228"/>
      <c r="I1730" s="3228"/>
      <c r="J1730" s="3228"/>
      <c r="K1730" s="3228"/>
      <c r="L1730" s="3227" t="s">
        <v>1678</v>
      </c>
      <c r="M1730" s="3227" t="s">
        <v>2726</v>
      </c>
      <c r="N1730" s="505"/>
      <c r="O1730" s="505"/>
      <c r="P1730" s="505"/>
      <c r="Q1730" s="505"/>
    </row>
    <row r="1731" spans="1:17">
      <c r="A1731" s="3033"/>
      <c r="B1731" s="3033"/>
      <c r="C1731" s="3227" t="s">
        <v>1263</v>
      </c>
      <c r="D1731" s="3059" t="s">
        <v>3170</v>
      </c>
      <c r="E1731" s="3059"/>
      <c r="F1731" s="3059"/>
      <c r="G1731" s="3059"/>
      <c r="H1731" s="3059"/>
      <c r="I1731" s="3059"/>
      <c r="J1731" s="3059"/>
      <c r="K1731" s="3059"/>
      <c r="L1731" s="3227" t="s">
        <v>2740</v>
      </c>
      <c r="M1731" s="3227" t="s">
        <v>1338</v>
      </c>
      <c r="N1731" s="505"/>
      <c r="O1731" s="505"/>
      <c r="P1731" s="505"/>
      <c r="Q1731" s="505"/>
    </row>
    <row r="1732" spans="1:17">
      <c r="A1732" s="3033"/>
      <c r="B1732" s="3033"/>
      <c r="C1732" s="3220">
        <v>20000</v>
      </c>
      <c r="D1732" s="3229">
        <v>15000</v>
      </c>
      <c r="E1732" s="3229"/>
      <c r="F1732" s="3229"/>
      <c r="G1732" s="3229"/>
      <c r="H1732" s="3229"/>
      <c r="I1732" s="3229"/>
      <c r="J1732" s="3229"/>
      <c r="K1732" s="3229"/>
      <c r="L1732" s="3220">
        <v>6000</v>
      </c>
      <c r="M1732" s="3220">
        <v>3000</v>
      </c>
      <c r="N1732" s="505"/>
      <c r="O1732" s="505"/>
      <c r="P1732" s="505"/>
      <c r="Q1732" s="505"/>
    </row>
    <row r="1733" spans="1:17" ht="15">
      <c r="A1733" s="521"/>
      <c r="B1733" s="2994" t="s">
        <v>267</v>
      </c>
      <c r="C1733" s="521"/>
      <c r="D1733" s="525"/>
      <c r="E1733" s="525"/>
      <c r="F1733" s="525"/>
      <c r="G1733" s="525"/>
      <c r="H1733" s="522"/>
      <c r="I1733" s="522"/>
      <c r="J1733" s="522"/>
      <c r="K1733" s="522"/>
      <c r="L1733" s="3117"/>
      <c r="M1733" s="2915"/>
      <c r="N1733" s="2909"/>
      <c r="O1733" s="3113"/>
      <c r="P1733" s="2911"/>
      <c r="Q1733" s="3117"/>
    </row>
    <row r="1734" spans="1:17" ht="15.75">
      <c r="A1734" s="2969" t="str">
        <f>'Part IX A-Scoring Criteria'!A361</f>
        <v>Project does not qualify for workforce housing points.</v>
      </c>
      <c r="B1734" s="2969"/>
      <c r="C1734" s="2969"/>
      <c r="D1734" s="2969"/>
      <c r="E1734" s="2969"/>
      <c r="F1734" s="2969"/>
      <c r="G1734" s="2969"/>
      <c r="H1734" s="2969"/>
      <c r="I1734" s="2969"/>
      <c r="J1734" s="2969"/>
      <c r="K1734" s="2969"/>
      <c r="L1734" s="2969"/>
      <c r="M1734" s="2969"/>
      <c r="N1734" s="2969"/>
      <c r="O1734" s="2969"/>
      <c r="P1734" s="2969"/>
      <c r="Q1734" s="3118" t="s">
        <v>1313</v>
      </c>
    </row>
    <row r="1735" spans="1:17" ht="15">
      <c r="A1735" s="521"/>
      <c r="B1735" s="2994" t="s">
        <v>1959</v>
      </c>
      <c r="C1735" s="521"/>
      <c r="D1735" s="3034"/>
      <c r="E1735" s="3036"/>
      <c r="F1735" s="3036"/>
      <c r="G1735" s="3036"/>
      <c r="H1735" s="3036"/>
      <c r="I1735" s="3036"/>
      <c r="J1735" s="3036"/>
      <c r="K1735" s="3036"/>
      <c r="L1735" s="3036"/>
      <c r="M1735" s="3036"/>
      <c r="N1735" s="3136"/>
      <c r="O1735" s="3137"/>
      <c r="P1735" s="2924"/>
      <c r="Q1735" s="3125"/>
    </row>
    <row r="1736" spans="1:17" ht="15.75">
      <c r="A1736" s="2969">
        <f>'Part IX A-Scoring Criteria'!A363</f>
        <v>0</v>
      </c>
      <c r="B1736" s="2969"/>
      <c r="C1736" s="2969"/>
      <c r="D1736" s="2969"/>
      <c r="E1736" s="2969"/>
      <c r="F1736" s="2969"/>
      <c r="G1736" s="2969"/>
      <c r="H1736" s="2969"/>
      <c r="I1736" s="2969"/>
      <c r="J1736" s="2969"/>
      <c r="K1736" s="2969"/>
      <c r="L1736" s="2969"/>
      <c r="M1736" s="2969"/>
      <c r="N1736" s="2969"/>
      <c r="O1736" s="2969"/>
      <c r="P1736" s="2969"/>
      <c r="Q1736" s="3118" t="s">
        <v>1313</v>
      </c>
    </row>
    <row r="1737" spans="1:17" ht="15">
      <c r="A1737" s="521"/>
      <c r="B1737" s="3117"/>
      <c r="C1737" s="3036"/>
      <c r="D1737" s="3036"/>
      <c r="E1737" s="3036"/>
      <c r="F1737" s="3036"/>
      <c r="G1737" s="3036"/>
      <c r="H1737" s="3036"/>
      <c r="I1737" s="3036"/>
      <c r="J1737" s="3036"/>
      <c r="K1737" s="3036"/>
      <c r="L1737" s="3036"/>
      <c r="M1737" s="3036"/>
      <c r="N1737" s="3136"/>
      <c r="O1737" s="3137"/>
      <c r="P1737" s="2924"/>
      <c r="Q1737" s="3117"/>
    </row>
    <row r="1738" spans="1:17" ht="15">
      <c r="A1738" s="3186" t="s">
        <v>3161</v>
      </c>
      <c r="B1738" s="3115" t="s">
        <v>1757</v>
      </c>
      <c r="C1738" s="3151"/>
      <c r="D1738" s="3121"/>
      <c r="E1738" s="3121"/>
      <c r="F1738" s="522"/>
      <c r="G1738" s="522"/>
      <c r="H1738" s="3151"/>
      <c r="I1738" s="522"/>
      <c r="J1738" s="522"/>
      <c r="K1738" s="522"/>
      <c r="L1738" s="3150" t="str">
        <f>IF(OR($O1738=$M1738,$O1738&lt;=0,$O1738=""),"","* * Check Score! * *")</f>
        <v/>
      </c>
      <c r="M1738" s="2924">
        <v>10</v>
      </c>
      <c r="N1738" s="2915"/>
      <c r="O1738" s="3113">
        <f>'Part IX A-Scoring Criteria'!O365</f>
        <v>10</v>
      </c>
      <c r="P1738" s="3113">
        <f>'Part IX A-Scoring Criteria'!P365</f>
        <v>0</v>
      </c>
      <c r="Q1738" s="2924" t="s">
        <v>458</v>
      </c>
    </row>
    <row r="1739" spans="1:17">
      <c r="B1739" s="505" t="s">
        <v>2665</v>
      </c>
      <c r="M1739" s="521"/>
      <c r="N1739" s="521"/>
      <c r="O1739" s="2924" t="str">
        <f>'Part IX A-Scoring Criteria'!O366</f>
        <v>No</v>
      </c>
      <c r="P1739" s="2924">
        <f>'Part IX A-Scoring Criteria'!P366</f>
        <v>0</v>
      </c>
    </row>
    <row r="1740" spans="1:17">
      <c r="A1740" s="3081" t="s">
        <v>2080</v>
      </c>
      <c r="B1740" s="2934" t="s">
        <v>1509</v>
      </c>
      <c r="D1740" s="521"/>
      <c r="E1740" s="521"/>
      <c r="F1740" s="521"/>
      <c r="G1740" s="521"/>
      <c r="H1740" s="521"/>
      <c r="I1740" s="521"/>
      <c r="J1740" s="521"/>
      <c r="K1740" s="521"/>
      <c r="L1740" s="521"/>
      <c r="M1740" s="2915"/>
      <c r="N1740" s="3003" t="s">
        <v>2080</v>
      </c>
      <c r="O1740" s="2924">
        <f>'Part IX A-Scoring Criteria'!O367</f>
        <v>10</v>
      </c>
      <c r="P1740" s="2924">
        <f>'Part IX A-Scoring Criteria'!P367</f>
        <v>0</v>
      </c>
      <c r="Q1740" s="2718" t="s">
        <v>2875</v>
      </c>
    </row>
    <row r="1741" spans="1:17" ht="15">
      <c r="A1741" s="521"/>
      <c r="B1741" s="2994" t="s">
        <v>267</v>
      </c>
      <c r="C1741" s="521"/>
      <c r="D1741" s="525"/>
      <c r="E1741" s="525"/>
      <c r="F1741" s="525"/>
      <c r="G1741" s="525"/>
      <c r="H1741" s="522"/>
      <c r="I1741" s="522"/>
      <c r="J1741" s="522"/>
      <c r="K1741" s="522"/>
      <c r="L1741" s="3117"/>
      <c r="M1741" s="2915"/>
      <c r="N1741" s="2909"/>
      <c r="O1741" s="3113"/>
      <c r="P1741" s="2911"/>
      <c r="Q1741" s="3117"/>
    </row>
    <row r="1742" spans="1:17" ht="15.75">
      <c r="A1742" s="2969" t="str">
        <f>'Part IX A-Scoring Criteria'!A369</f>
        <v>This project team has scored a 10 in previous years determinations.    We have no outstanding non-compliance issues.    Complete performance workbook is included in application.</v>
      </c>
      <c r="B1742" s="2969"/>
      <c r="C1742" s="2969"/>
      <c r="D1742" s="2969"/>
      <c r="E1742" s="2969"/>
      <c r="F1742" s="2969"/>
      <c r="G1742" s="2969"/>
      <c r="H1742" s="2969"/>
      <c r="I1742" s="2969"/>
      <c r="J1742" s="2969"/>
      <c r="K1742" s="2969"/>
      <c r="L1742" s="2969"/>
      <c r="M1742" s="2969"/>
      <c r="N1742" s="2969"/>
      <c r="O1742" s="2969"/>
      <c r="P1742" s="2969"/>
      <c r="Q1742" s="3118" t="s">
        <v>1313</v>
      </c>
    </row>
    <row r="1743" spans="1:17" ht="15">
      <c r="A1743" s="521"/>
      <c r="B1743" s="2994" t="s">
        <v>1959</v>
      </c>
      <c r="C1743" s="521"/>
      <c r="D1743" s="3034"/>
      <c r="E1743" s="3036"/>
      <c r="F1743" s="3036"/>
      <c r="G1743" s="3036"/>
      <c r="H1743" s="3036"/>
      <c r="I1743" s="3036"/>
      <c r="J1743" s="3036"/>
      <c r="K1743" s="3036"/>
      <c r="L1743" s="3036"/>
      <c r="M1743" s="3036"/>
      <c r="N1743" s="3136"/>
      <c r="O1743" s="3137"/>
      <c r="P1743" s="2924"/>
      <c r="Q1743" s="3151"/>
    </row>
    <row r="1744" spans="1:17" ht="15.75">
      <c r="A1744" s="2969">
        <f>'Part IX A-Scoring Criteria'!A371</f>
        <v>0</v>
      </c>
      <c r="B1744" s="2969"/>
      <c r="C1744" s="2969"/>
      <c r="D1744" s="2969"/>
      <c r="E1744" s="2969"/>
      <c r="F1744" s="2969"/>
      <c r="G1744" s="2969"/>
      <c r="H1744" s="2969"/>
      <c r="I1744" s="2969"/>
      <c r="J1744" s="2969"/>
      <c r="K1744" s="2969"/>
      <c r="L1744" s="2969"/>
      <c r="M1744" s="2969"/>
      <c r="N1744" s="2969"/>
      <c r="O1744" s="2969"/>
      <c r="P1744" s="2969"/>
      <c r="Q1744" s="3118" t="s">
        <v>1313</v>
      </c>
    </row>
    <row r="1745" spans="1:17" ht="15">
      <c r="A1745" s="521"/>
      <c r="B1745" s="521"/>
      <c r="C1745" s="3036"/>
      <c r="D1745" s="3036"/>
      <c r="E1745" s="3036"/>
      <c r="F1745" s="3036"/>
      <c r="G1745" s="3036"/>
      <c r="H1745" s="3036"/>
      <c r="I1745" s="3036"/>
      <c r="J1745" s="3036"/>
      <c r="K1745" s="3036"/>
      <c r="L1745" s="3036"/>
      <c r="M1745" s="3036"/>
      <c r="N1745" s="3136"/>
      <c r="O1745" s="3137"/>
      <c r="P1745" s="2924"/>
      <c r="Q1745" s="3117"/>
    </row>
    <row r="1746" spans="1:17" ht="15">
      <c r="A1746" s="2759"/>
      <c r="B1746" s="3230"/>
      <c r="C1746" s="521"/>
      <c r="F1746" s="3117"/>
      <c r="G1746" s="3117"/>
      <c r="H1746" s="3231" t="s">
        <v>441</v>
      </c>
      <c r="I1746" s="3111"/>
      <c r="J1746" s="3111"/>
      <c r="K1746" s="3111"/>
      <c r="L1746" s="3151"/>
      <c r="M1746" s="3232">
        <f>M1381+M1403+M1414+M1427+M1442+M1451+M1475+M1488+M1528+M1554+M1564+M1574+M1584+M1595+M1605+M1640+M1660+M1673+M1687+M1708+M1724+M1738</f>
        <v>92</v>
      </c>
      <c r="N1746" s="3233"/>
      <c r="O1746" s="3232">
        <f>O1381+O1403+O1414+O1427+O1442+O1451+O1475+O1488+O1528+O1554+O1564+O1584+O1595+O1605+O1660+O1673+O1708+O1724+O1738</f>
        <v>50</v>
      </c>
      <c r="P1746" s="3232">
        <f>P1381+P1403+P1414+P1427+P1442+P1451+P1475+P1488+P1528+P1554+P1564+P1574+P1584+P1595+P1605+P1640+P1660+P1673+P1687+P1708+P1724+P1738</f>
        <v>12</v>
      </c>
      <c r="Q1746" s="521"/>
    </row>
    <row r="1747" spans="1:17" ht="15.75">
      <c r="A1747" s="3117"/>
      <c r="B1747" s="3230"/>
      <c r="C1747" s="3117"/>
      <c r="F1747" s="3112"/>
      <c r="G1747" s="3112"/>
      <c r="H1747" s="2934"/>
      <c r="I1747" s="2934" t="s">
        <v>3311</v>
      </c>
      <c r="J1747" s="2979"/>
      <c r="K1747" s="2979"/>
      <c r="L1747" s="3117"/>
      <c r="N1747" s="2924"/>
      <c r="O1747" s="3234"/>
      <c r="P1747" s="3234">
        <f>P1574</f>
        <v>0</v>
      </c>
      <c r="Q1747" s="521"/>
    </row>
    <row r="1748" spans="1:17" ht="15.75">
      <c r="A1748" s="3117"/>
      <c r="B1748" s="3230"/>
      <c r="C1748" s="3117"/>
      <c r="F1748" s="3112"/>
      <c r="G1748" s="3112"/>
      <c r="H1748" s="521"/>
      <c r="I1748" s="2934" t="s">
        <v>3312</v>
      </c>
      <c r="J1748" s="2979"/>
      <c r="K1748" s="2979"/>
      <c r="L1748" s="3117"/>
      <c r="N1748" s="2924"/>
      <c r="O1748" s="2924"/>
      <c r="P1748" s="3234">
        <f>P1640</f>
        <v>0</v>
      </c>
      <c r="Q1748" s="521"/>
    </row>
    <row r="1749" spans="1:17" ht="15">
      <c r="A1749" s="521"/>
      <c r="B1749" s="521"/>
      <c r="C1749" s="3036"/>
      <c r="D1749" s="3036"/>
      <c r="E1749" s="3036"/>
      <c r="F1749" s="3036"/>
      <c r="G1749" s="3036"/>
      <c r="H1749" s="3117"/>
      <c r="I1749" s="2934" t="s">
        <v>3313</v>
      </c>
      <c r="J1749" s="3036"/>
      <c r="K1749" s="3036"/>
      <c r="L1749" s="3036"/>
      <c r="M1749" s="3036"/>
      <c r="N1749" s="3136"/>
      <c r="O1749" s="3137"/>
      <c r="P1749" s="3234">
        <f>P1687</f>
        <v>0</v>
      </c>
      <c r="Q1749" s="3117"/>
    </row>
    <row r="1750" spans="1:17" ht="15">
      <c r="A1750" s="521"/>
      <c r="B1750" s="3117"/>
      <c r="C1750" s="3117"/>
      <c r="D1750" s="522"/>
      <c r="E1750" s="522"/>
      <c r="F1750" s="2924"/>
      <c r="G1750" s="2924"/>
      <c r="H1750" s="524" t="s">
        <v>3314</v>
      </c>
      <c r="I1750" s="2924"/>
      <c r="J1750" s="3031"/>
      <c r="K1750" s="3031"/>
      <c r="L1750" s="3031"/>
      <c r="M1750" s="3028"/>
      <c r="N1750" s="2924"/>
      <c r="O1750" s="2911"/>
      <c r="P1750" s="3234">
        <f>P1746-P1747-P1748-P1749</f>
        <v>12</v>
      </c>
      <c r="Q1750" s="3117"/>
    </row>
    <row r="1751" spans="1:17" ht="15.75">
      <c r="A1751" s="3117"/>
      <c r="B1751" s="3230"/>
      <c r="C1751" s="3117"/>
      <c r="F1751" s="3031"/>
      <c r="G1751" s="3031"/>
      <c r="H1751" s="3112"/>
      <c r="I1751" s="3112"/>
      <c r="J1751" s="2979"/>
      <c r="K1751" s="2979"/>
      <c r="L1751" s="3117"/>
      <c r="N1751" s="2924"/>
      <c r="O1751" s="2924"/>
      <c r="P1751" s="3113"/>
    </row>
    <row r="1753" spans="1:17" ht="15.75">
      <c r="A1753" s="3235" t="s">
        <v>4244</v>
      </c>
    </row>
    <row r="1754" spans="1:17" ht="16.5">
      <c r="A1754" s="3236" t="str">
        <f>'Pt IX B-Innovative Project Narr'!$A$2</f>
        <v>Arbor Trace Apartments Phase II</v>
      </c>
    </row>
    <row r="1755" spans="1:17" ht="16.5">
      <c r="A1755" s="3236" t="str">
        <f>'Pt IX B-Innovative Project Narr'!$A$3</f>
        <v>Lake Park, Lowndes County</v>
      </c>
    </row>
    <row r="1756" spans="1:17" ht="16.5">
      <c r="A1756" s="3237" t="str">
        <f>'Pt IX B-Innovative Project Narr'!A4</f>
        <v/>
      </c>
    </row>
    <row r="1758" spans="1:17">
      <c r="A1758" s="3238" t="str">
        <f>'Pt IX B-Innovative Project Narr'!A6</f>
        <v>&lt;&lt; Enter paragraph(s) here. Press and hold Alt-Enter to start new paragraphs. &gt;&gt;</v>
      </c>
    </row>
    <row r="1759" spans="1:17">
      <c r="A1759" s="3238"/>
    </row>
    <row r="1760" spans="1:17">
      <c r="A1760" s="3238"/>
    </row>
    <row r="1761" spans="1:1">
      <c r="A1761" s="3238"/>
    </row>
    <row r="1762" spans="1:1">
      <c r="A1762" s="3238"/>
    </row>
    <row r="1763" spans="1:1">
      <c r="A1763" s="3238"/>
    </row>
    <row r="1764" spans="1:1">
      <c r="A1764" s="3238"/>
    </row>
    <row r="1765" spans="1:1">
      <c r="A1765" s="3238"/>
    </row>
    <row r="1766" spans="1:1">
      <c r="A1766" s="3238"/>
    </row>
    <row r="1767" spans="1:1">
      <c r="A1767" s="3238"/>
    </row>
    <row r="1768" spans="1:1">
      <c r="A1768" s="3238"/>
    </row>
    <row r="1769" spans="1:1">
      <c r="A1769" s="3238"/>
    </row>
    <row r="1770" spans="1:1">
      <c r="A1770" s="3238"/>
    </row>
    <row r="1771" spans="1:1">
      <c r="A1771" s="3238"/>
    </row>
    <row r="1772" spans="1:1">
      <c r="A1772" s="3238"/>
    </row>
    <row r="1773" spans="1:1">
      <c r="A1773" s="3238"/>
    </row>
    <row r="1774" spans="1:1">
      <c r="A1774" s="3238"/>
    </row>
    <row r="1775" spans="1:1">
      <c r="A1775" s="3238"/>
    </row>
    <row r="1776" spans="1:1">
      <c r="A1776" s="3238"/>
    </row>
  </sheetData>
  <sheetProtection algorithmName="SHA-512" hashValue="PxyPsJX87RcHu1g7phjC8BHiY3LqIP2GsWpgTcLalSvbiEtyfz4QSHfMgNU/EiCXuC3ztWeqynTel3dPy2PGHQ==" saltValue="K7Vxezqqk63zmhjGe9CQGA=="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61" t="str">
        <f>CONCATENATE("PART ONE - PROJECT INFORMATION"," - ",$O$4," ",$F$24,", ",'Part I-Project Information'!F28,", ",'Part I-Project Information'!J29," County")</f>
        <v>PART ONE - PROJECT INFORMATION - 2015-026 Arbor Trace Apartments Phase II, Lake Park, Lowndes County</v>
      </c>
      <c r="B1" s="1362"/>
      <c r="C1" s="1362"/>
      <c r="D1" s="1362"/>
      <c r="E1" s="1362"/>
      <c r="F1" s="1362"/>
      <c r="G1" s="1362"/>
      <c r="H1" s="1362"/>
      <c r="I1" s="1362"/>
      <c r="J1" s="1362"/>
      <c r="K1" s="1362"/>
      <c r="L1" s="1362"/>
      <c r="M1" s="1362"/>
      <c r="N1" s="1362"/>
      <c r="O1" s="1362"/>
      <c r="P1" s="1363"/>
    </row>
    <row r="2" spans="1:16" s="332" customFormat="1" ht="9" customHeight="1">
      <c r="A2" s="1263"/>
      <c r="B2" s="1263"/>
      <c r="C2" s="1263"/>
      <c r="D2" s="1263"/>
      <c r="E2" s="1263"/>
      <c r="F2" s="1263"/>
      <c r="G2" s="1263"/>
      <c r="H2" s="1724" t="s">
        <v>4383</v>
      </c>
      <c r="I2" s="1725"/>
      <c r="J2" s="1726"/>
      <c r="K2" s="1263"/>
      <c r="L2" s="1263"/>
      <c r="M2" s="1263"/>
      <c r="N2" s="1263"/>
      <c r="O2" s="1263"/>
      <c r="P2" s="1263"/>
    </row>
    <row r="3" spans="1:16" s="332" customFormat="1" ht="12" customHeight="1" thickBot="1">
      <c r="B3" s="300" t="s">
        <v>2475</v>
      </c>
      <c r="F3" s="333"/>
      <c r="G3" s="1267" t="s">
        <v>460</v>
      </c>
      <c r="L3" s="1263"/>
      <c r="O3" s="1372" t="s">
        <v>2826</v>
      </c>
      <c r="P3" s="1372"/>
    </row>
    <row r="4" spans="1:16" s="332" customFormat="1" ht="12" customHeight="1" thickBot="1">
      <c r="A4" s="548"/>
      <c r="B4" s="334"/>
      <c r="F4" s="335"/>
      <c r="G4" s="1267" t="s">
        <v>461</v>
      </c>
      <c r="H4" s="1222"/>
      <c r="I4" s="1222"/>
      <c r="J4" s="1222"/>
      <c r="O4" s="2197" t="s">
        <v>4566</v>
      </c>
      <c r="P4" s="2198"/>
    </row>
    <row r="5" spans="1:16" s="332" customFormat="1" ht="12" customHeight="1">
      <c r="A5" s="548"/>
      <c r="B5" s="334"/>
      <c r="C5" s="334"/>
      <c r="D5" s="192"/>
      <c r="F5" s="618"/>
      <c r="G5" s="192" t="s">
        <v>3770</v>
      </c>
      <c r="H5" s="1222"/>
      <c r="I5" s="1222"/>
      <c r="J5" s="1222"/>
    </row>
    <row r="6" spans="1:16" s="332" customFormat="1" ht="9" customHeight="1">
      <c r="A6" s="548"/>
      <c r="B6" s="334"/>
      <c r="C6" s="334"/>
      <c r="D6" s="334"/>
      <c r="E6" s="1222"/>
      <c r="H6" s="1222"/>
      <c r="I6" s="1222"/>
      <c r="J6" s="1222"/>
      <c r="K6" s="300"/>
      <c r="M6" s="1222"/>
    </row>
    <row r="7" spans="1:16" s="332" customFormat="1" ht="13.15" customHeight="1">
      <c r="A7" s="334" t="s">
        <v>646</v>
      </c>
      <c r="B7" s="334" t="s">
        <v>2488</v>
      </c>
      <c r="D7" s="302"/>
      <c r="E7" s="336"/>
      <c r="F7" s="337" t="s">
        <v>1801</v>
      </c>
      <c r="J7" s="1366">
        <f>'Part IV-Uses of Funds'!J173</f>
        <v>359705.74626865669</v>
      </c>
      <c r="K7" s="1367"/>
      <c r="M7" s="1222"/>
    </row>
    <row r="8" spans="1:16" s="1" customFormat="1" ht="13.15" customHeight="1">
      <c r="A8" s="4"/>
      <c r="B8" s="4"/>
      <c r="D8" s="28"/>
      <c r="E8" s="410"/>
      <c r="F8" s="332" t="s">
        <v>1347</v>
      </c>
      <c r="J8" s="1368">
        <f>'Part III-Sources of Funds'!H10</f>
        <v>0</v>
      </c>
      <c r="K8" s="1369"/>
      <c r="L8" s="332"/>
      <c r="M8" s="1222"/>
      <c r="N8" s="332"/>
      <c r="O8" s="332"/>
      <c r="P8" s="332"/>
    </row>
    <row r="9" spans="1:16" s="332" customFormat="1" ht="4.5" customHeight="1">
      <c r="A9" s="334"/>
      <c r="B9" s="334"/>
      <c r="D9" s="302"/>
      <c r="E9" s="336"/>
      <c r="F9" s="336"/>
      <c r="I9" s="338"/>
      <c r="N9" s="339"/>
    </row>
    <row r="10" spans="1:16" s="332" customFormat="1" ht="13.15" customHeight="1">
      <c r="A10" s="338" t="s">
        <v>779</v>
      </c>
      <c r="B10" s="334" t="s">
        <v>2140</v>
      </c>
      <c r="F10" s="2199" t="s">
        <v>4384</v>
      </c>
      <c r="G10" s="2200"/>
      <c r="H10" s="2201"/>
      <c r="I10" s="367"/>
      <c r="J10" s="585" t="s">
        <v>4016</v>
      </c>
      <c r="K10" s="342"/>
      <c r="L10" s="1222"/>
      <c r="O10" s="2202" t="s">
        <v>1016</v>
      </c>
      <c r="P10" s="2203"/>
    </row>
    <row r="11" spans="1:16" s="332" customFormat="1" ht="12.75" customHeight="1">
      <c r="A11" s="548"/>
      <c r="H11" s="1222"/>
      <c r="J11" s="586" t="s">
        <v>2916</v>
      </c>
      <c r="K11" s="300"/>
      <c r="M11" s="1222"/>
      <c r="O11" s="1791" t="s">
        <v>4529</v>
      </c>
      <c r="P11" s="1793"/>
    </row>
    <row r="12" spans="1:16" s="332" customFormat="1" ht="1.5" customHeight="1">
      <c r="I12" s="302"/>
      <c r="J12" s="302"/>
      <c r="K12" s="302"/>
      <c r="L12" s="302"/>
      <c r="M12" s="302"/>
      <c r="N12" s="302"/>
      <c r="O12" s="302"/>
      <c r="P12" s="302"/>
    </row>
    <row r="13" spans="1:16" s="332" customFormat="1" ht="13.15" customHeight="1">
      <c r="A13" s="338" t="s">
        <v>781</v>
      </c>
      <c r="B13" s="334" t="s">
        <v>1547</v>
      </c>
      <c r="D13" s="337"/>
      <c r="E13" s="336"/>
      <c r="G13" s="340"/>
      <c r="H13" s="340"/>
      <c r="I13" s="340"/>
      <c r="K13" s="339"/>
      <c r="L13" s="339"/>
    </row>
    <row r="14" spans="1:16" s="332" customFormat="1" ht="1.5" customHeight="1">
      <c r="A14" s="338"/>
      <c r="B14" s="336"/>
      <c r="C14" s="334"/>
      <c r="D14" s="337"/>
      <c r="E14" s="336"/>
      <c r="G14" s="340"/>
      <c r="H14" s="340"/>
      <c r="I14" s="340"/>
      <c r="K14" s="339"/>
      <c r="L14" s="339"/>
      <c r="O14" s="1263"/>
    </row>
    <row r="15" spans="1:16" s="332" customFormat="1" ht="13.15" customHeight="1">
      <c r="B15" s="332" t="s">
        <v>2409</v>
      </c>
      <c r="F15" s="2204" t="s">
        <v>4385</v>
      </c>
      <c r="G15" s="2205"/>
      <c r="H15" s="2205"/>
      <c r="I15" s="2205"/>
      <c r="J15" s="2205"/>
      <c r="K15" s="2205"/>
      <c r="L15" s="2206"/>
      <c r="M15" s="1215" t="s">
        <v>2077</v>
      </c>
      <c r="N15" s="2204" t="s">
        <v>4386</v>
      </c>
      <c r="O15" s="2205"/>
      <c r="P15" s="2206"/>
    </row>
    <row r="16" spans="1:16" s="332" customFormat="1" ht="13.15" customHeight="1">
      <c r="B16" s="337" t="s">
        <v>2078</v>
      </c>
      <c r="F16" s="2204" t="s">
        <v>4387</v>
      </c>
      <c r="G16" s="2205"/>
      <c r="H16" s="2205"/>
      <c r="I16" s="2205"/>
      <c r="J16" s="2205"/>
      <c r="K16" s="2205"/>
      <c r="L16" s="2206"/>
      <c r="M16" s="1215" t="s">
        <v>1807</v>
      </c>
      <c r="O16" s="2207"/>
      <c r="P16" s="2208"/>
    </row>
    <row r="17" spans="1:16" s="332" customFormat="1" ht="13.15" customHeight="1">
      <c r="B17" s="337" t="s">
        <v>648</v>
      </c>
      <c r="F17" s="2209" t="s">
        <v>1780</v>
      </c>
      <c r="G17" s="2210"/>
      <c r="H17" s="2211"/>
      <c r="M17" s="1215" t="s">
        <v>1889</v>
      </c>
      <c r="O17" s="2212">
        <v>2292451173</v>
      </c>
      <c r="P17" s="2213"/>
    </row>
    <row r="18" spans="1:16" s="332" customFormat="1" ht="13.15" customHeight="1">
      <c r="B18" s="337" t="s">
        <v>1886</v>
      </c>
      <c r="F18" s="2214" t="s">
        <v>889</v>
      </c>
      <c r="I18" s="1222" t="s">
        <v>2335</v>
      </c>
      <c r="J18" s="2215">
        <v>316026408</v>
      </c>
      <c r="K18" s="2216"/>
      <c r="M18" s="1215" t="s">
        <v>2076</v>
      </c>
      <c r="O18" s="2212">
        <v>2295610898</v>
      </c>
      <c r="P18" s="2213"/>
    </row>
    <row r="19" spans="1:16" s="332" customFormat="1" ht="13.15" customHeight="1">
      <c r="B19" s="337" t="s">
        <v>1806</v>
      </c>
      <c r="F19" s="2212">
        <v>2292479956</v>
      </c>
      <c r="G19" s="2217"/>
      <c r="H19" s="2213"/>
      <c r="I19" s="1212" t="s">
        <v>1805</v>
      </c>
      <c r="J19" s="2218">
        <v>214</v>
      </c>
      <c r="K19" s="1222" t="s">
        <v>2081</v>
      </c>
      <c r="L19" s="2204" t="s">
        <v>4388</v>
      </c>
      <c r="M19" s="2205"/>
      <c r="N19" s="2205"/>
      <c r="O19" s="2205"/>
      <c r="P19" s="2206"/>
    </row>
    <row r="20" spans="1:16" s="332" customFormat="1" ht="13.15" customHeight="1">
      <c r="A20" s="334"/>
      <c r="B20" s="325" t="s">
        <v>688</v>
      </c>
      <c r="D20" s="336"/>
      <c r="G20" s="336"/>
      <c r="H20" s="336"/>
      <c r="I20" s="340"/>
    </row>
    <row r="21" spans="1:16" s="332" customFormat="1" ht="4.5" customHeight="1">
      <c r="A21" s="548"/>
      <c r="B21" s="548"/>
      <c r="C21" s="1265"/>
      <c r="D21" s="1220"/>
      <c r="E21" s="1220"/>
      <c r="F21" s="1220"/>
      <c r="H21" s="1222"/>
      <c r="I21" s="1220"/>
      <c r="J21" s="1265"/>
      <c r="K21" s="1220"/>
      <c r="P21" s="341"/>
    </row>
    <row r="22" spans="1:16" s="332" customFormat="1" ht="13.15" customHeight="1">
      <c r="A22" s="338" t="s">
        <v>1879</v>
      </c>
      <c r="B22" s="334" t="s">
        <v>1548</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647</v>
      </c>
      <c r="D24" s="342"/>
      <c r="F24" s="2219" t="s">
        <v>4389</v>
      </c>
      <c r="G24" s="2220"/>
      <c r="H24" s="2220"/>
      <c r="I24" s="2220"/>
      <c r="J24" s="2220"/>
      <c r="K24" s="2220"/>
      <c r="L24" s="2221"/>
      <c r="M24" s="1215" t="s">
        <v>2294</v>
      </c>
      <c r="O24" s="2204" t="s">
        <v>3424</v>
      </c>
      <c r="P24" s="2206"/>
    </row>
    <row r="25" spans="1:16" s="332" customFormat="1" ht="13.15" customHeight="1">
      <c r="A25" s="343"/>
      <c r="B25" s="332" t="s">
        <v>2860</v>
      </c>
      <c r="D25" s="344"/>
      <c r="F25" s="2204" t="s">
        <v>4553</v>
      </c>
      <c r="G25" s="2205"/>
      <c r="H25" s="2205"/>
      <c r="I25" s="2205"/>
      <c r="J25" s="2205"/>
      <c r="K25" s="2205"/>
      <c r="L25" s="2206"/>
      <c r="M25" s="1215" t="s">
        <v>2150</v>
      </c>
      <c r="O25" s="2204" t="s">
        <v>3424</v>
      </c>
      <c r="P25" s="2206"/>
    </row>
    <row r="26" spans="1:16" s="332" customFormat="1" ht="13.15" customHeight="1">
      <c r="A26" s="343"/>
      <c r="B26" s="332" t="s">
        <v>2919</v>
      </c>
      <c r="D26" s="344"/>
      <c r="F26" s="2204"/>
      <c r="G26" s="2205"/>
      <c r="H26" s="2205"/>
      <c r="I26" s="2205"/>
      <c r="J26" s="2205"/>
      <c r="K26" s="2205"/>
      <c r="L26" s="2206"/>
      <c r="M26" s="1215" t="s">
        <v>2920</v>
      </c>
      <c r="O26" s="2222"/>
      <c r="P26" s="2223"/>
    </row>
    <row r="27" spans="1:16" s="332" customFormat="1" ht="13.15" customHeight="1">
      <c r="A27" s="343"/>
      <c r="B27" s="332" t="s">
        <v>3086</v>
      </c>
      <c r="D27" s="344"/>
      <c r="F27" s="2204" t="s">
        <v>4530</v>
      </c>
      <c r="G27" s="2205"/>
      <c r="H27" s="2205"/>
      <c r="I27" s="2205"/>
      <c r="J27" s="2205"/>
      <c r="K27" s="2205"/>
      <c r="L27" s="2206"/>
      <c r="M27" s="1215" t="s">
        <v>2391</v>
      </c>
      <c r="O27" s="2224">
        <v>4</v>
      </c>
      <c r="P27" s="2225"/>
    </row>
    <row r="28" spans="1:16" s="332" customFormat="1" ht="13.15" customHeight="1">
      <c r="A28" s="548"/>
      <c r="B28" s="332" t="s">
        <v>648</v>
      </c>
      <c r="F28" s="2204" t="s">
        <v>80</v>
      </c>
      <c r="G28" s="2205"/>
      <c r="H28" s="2206"/>
      <c r="I28" s="1264" t="s">
        <v>2861</v>
      </c>
      <c r="J28" s="2215">
        <v>316364952</v>
      </c>
      <c r="K28" s="2216"/>
      <c r="L28" s="402" t="str">
        <f>IF(AND(NOT(F24=""),NOT(F28="Select from list"),J28=""),"Enter Zip!","")</f>
        <v/>
      </c>
      <c r="M28" s="1266" t="s">
        <v>3327</v>
      </c>
      <c r="O28" s="2226" t="s">
        <v>4391</v>
      </c>
      <c r="P28" s="2227"/>
    </row>
    <row r="29" spans="1:16" s="332" customFormat="1" ht="13.15" customHeight="1">
      <c r="A29" s="548"/>
      <c r="B29" s="1220" t="s">
        <v>4379</v>
      </c>
      <c r="D29" s="1220"/>
      <c r="F29" s="2228" t="s">
        <v>4390</v>
      </c>
      <c r="G29" s="2229"/>
      <c r="H29" s="2230"/>
      <c r="I29" s="345" t="s">
        <v>649</v>
      </c>
      <c r="J29" s="2231" t="str">
        <f>IF($F$28="","",VLOOKUP($F$28,'DCA Underwriting Assumptions'!$R$127:$S$757,2,FALSE))</f>
        <v>Lowndes</v>
      </c>
      <c r="K29" s="2232"/>
      <c r="M29" s="1215" t="s">
        <v>470</v>
      </c>
      <c r="N29" s="2233" t="s">
        <v>3424</v>
      </c>
      <c r="O29" s="339" t="s">
        <v>471</v>
      </c>
      <c r="P29" s="2233" t="s">
        <v>3424</v>
      </c>
    </row>
    <row r="30" spans="1:16" s="332" customFormat="1" ht="13.15" customHeight="1">
      <c r="A30" s="548"/>
      <c r="B30" s="334"/>
      <c r="C30" s="332" t="s">
        <v>1634</v>
      </c>
      <c r="F30" s="2234" t="s">
        <v>3421</v>
      </c>
      <c r="G30" s="1370" t="s">
        <v>3087</v>
      </c>
      <c r="H30" s="1371"/>
      <c r="I30" s="593" t="str">
        <f>IF($J$29="","",IF(VLOOKUP($J$29,'DCA Underwriting Assumptions'!G127:M286,7,FALSE)="Rural","Yes",IF(VLOOKUP($J$29,'DCA Underwriting Assumptions'!G127:M286,7,FALSE)="Urban","No","")))</f>
        <v>No</v>
      </c>
      <c r="J30" s="1212" t="s">
        <v>3108</v>
      </c>
      <c r="K30" s="1212" t="str">
        <f>IF(OR(F30="Yes",I30="Yes"),"Rural","Urban")</f>
        <v>Rural</v>
      </c>
      <c r="M30" s="1215" t="s">
        <v>2738</v>
      </c>
      <c r="N30" s="472" t="str">
        <f>VLOOKUP($J$29,'DCA Underwriting Assumptions'!$G$127:$J$286,4)</f>
        <v>MSA</v>
      </c>
      <c r="O30" s="2235" t="str">
        <f>IF($F$28="","",VLOOKUP($J$29,'DCA Underwriting Assumptions'!$G$127:$L$286,3,FALSE))</f>
        <v>Valdosta</v>
      </c>
      <c r="P30" s="2236"/>
    </row>
    <row r="31" spans="1:16" s="332" customFormat="1" ht="3" customHeight="1">
      <c r="A31" s="548"/>
      <c r="B31" s="334"/>
      <c r="C31" s="334"/>
      <c r="I31" s="337"/>
      <c r="J31" s="1220"/>
      <c r="L31" s="1229"/>
      <c r="M31" s="1229"/>
      <c r="N31" s="1229"/>
      <c r="O31" s="1229"/>
      <c r="P31" s="1229"/>
    </row>
    <row r="32" spans="1:16" s="332" customFormat="1" ht="13.15" customHeight="1">
      <c r="A32" s="548"/>
      <c r="C32" s="332" t="s">
        <v>2930</v>
      </c>
      <c r="F32" s="1365" t="s">
        <v>3032</v>
      </c>
      <c r="G32" s="1365"/>
      <c r="H32" s="1364" t="s">
        <v>775</v>
      </c>
      <c r="I32" s="1364"/>
      <c r="J32" s="1364" t="s">
        <v>776</v>
      </c>
      <c r="K32" s="1364"/>
      <c r="L32" s="579" t="s">
        <v>2862</v>
      </c>
    </row>
    <row r="33" spans="1:17" s="332" customFormat="1" ht="13.15" customHeight="1">
      <c r="A33" s="548"/>
      <c r="B33" s="332" t="s">
        <v>3031</v>
      </c>
      <c r="D33" s="334"/>
      <c r="F33" s="2237">
        <v>8</v>
      </c>
      <c r="G33" s="2238"/>
      <c r="H33" s="2237">
        <v>8</v>
      </c>
      <c r="I33" s="2238"/>
      <c r="J33" s="2237">
        <v>174</v>
      </c>
      <c r="K33" s="2238"/>
      <c r="L33" s="575" t="s">
        <v>1343</v>
      </c>
      <c r="N33" s="1357" t="s">
        <v>1344</v>
      </c>
      <c r="O33" s="1357"/>
      <c r="P33" s="1357"/>
    </row>
    <row r="34" spans="1:17" s="332" customFormat="1" ht="12.75" customHeight="1">
      <c r="A34" s="548"/>
      <c r="B34" s="337" t="s">
        <v>777</v>
      </c>
      <c r="F34" s="2237"/>
      <c r="G34" s="2238"/>
      <c r="H34" s="2237"/>
      <c r="I34" s="2238"/>
      <c r="J34" s="2237"/>
      <c r="K34" s="2238"/>
      <c r="L34" s="575" t="s">
        <v>3030</v>
      </c>
      <c r="N34" s="1358" t="s">
        <v>3029</v>
      </c>
      <c r="O34" s="1358"/>
    </row>
    <row r="35" spans="1:17" s="332" customFormat="1" ht="3" customHeight="1">
      <c r="A35" s="548"/>
      <c r="I35" s="1229"/>
      <c r="J35" s="1229"/>
      <c r="K35" s="1229"/>
      <c r="L35" s="1220"/>
      <c r="M35" s="1220"/>
      <c r="N35" s="1220"/>
      <c r="O35" s="1220"/>
      <c r="P35" s="1220"/>
    </row>
    <row r="36" spans="1:17" s="332" customFormat="1" ht="13.15" customHeight="1">
      <c r="A36" s="548"/>
      <c r="B36" s="334" t="s">
        <v>667</v>
      </c>
      <c r="F36" s="2239" t="s">
        <v>4392</v>
      </c>
      <c r="G36" s="2240"/>
      <c r="H36" s="2240"/>
      <c r="I36" s="2240"/>
      <c r="J36" s="2241"/>
      <c r="K36" s="2242"/>
      <c r="M36" s="1269" t="s">
        <v>2873</v>
      </c>
      <c r="N36" s="2228" t="s">
        <v>4396</v>
      </c>
      <c r="O36" s="2229"/>
      <c r="P36" s="2230"/>
    </row>
    <row r="37" spans="1:17" s="332" customFormat="1" ht="13.15" customHeight="1">
      <c r="A37" s="548"/>
      <c r="B37" s="332" t="s">
        <v>668</v>
      </c>
      <c r="F37" s="2243" t="s">
        <v>4393</v>
      </c>
      <c r="G37" s="2244"/>
      <c r="H37" s="2245"/>
      <c r="I37" s="1213" t="s">
        <v>2077</v>
      </c>
      <c r="J37" s="2228" t="s">
        <v>4394</v>
      </c>
      <c r="K37" s="2229"/>
      <c r="L37" s="2230"/>
      <c r="M37" s="337" t="s">
        <v>1887</v>
      </c>
      <c r="N37" s="2243" t="s">
        <v>4395</v>
      </c>
      <c r="O37" s="2244"/>
      <c r="P37" s="2245"/>
    </row>
    <row r="38" spans="1:17" s="332" customFormat="1" ht="13.15" customHeight="1">
      <c r="A38" s="548"/>
      <c r="B38" s="332" t="s">
        <v>2078</v>
      </c>
      <c r="F38" s="2243" t="s">
        <v>4397</v>
      </c>
      <c r="G38" s="2244"/>
      <c r="H38" s="2244"/>
      <c r="I38" s="2244"/>
      <c r="J38" s="2246"/>
      <c r="K38" s="2247"/>
      <c r="M38" s="366" t="s">
        <v>648</v>
      </c>
      <c r="N38" s="2228" t="s">
        <v>1780</v>
      </c>
      <c r="O38" s="2229"/>
      <c r="P38" s="2230"/>
    </row>
    <row r="39" spans="1:17" s="332" customFormat="1" ht="13.15" customHeight="1">
      <c r="A39" s="548"/>
      <c r="B39" s="1215" t="s">
        <v>2335</v>
      </c>
      <c r="F39" s="2248">
        <v>316031349</v>
      </c>
      <c r="G39" s="2249"/>
      <c r="H39" s="1212" t="s">
        <v>2079</v>
      </c>
      <c r="I39" s="2250">
        <v>2296712442</v>
      </c>
      <c r="J39" s="2251"/>
      <c r="K39" s="2252"/>
      <c r="M39" s="337" t="s">
        <v>1889</v>
      </c>
      <c r="N39" s="2253">
        <v>2292455222</v>
      </c>
      <c r="O39" s="2254"/>
    </row>
    <row r="40" spans="1:17" s="332" customFormat="1" ht="4.5" customHeight="1">
      <c r="A40" s="548"/>
      <c r="B40" s="548"/>
      <c r="C40" s="346"/>
      <c r="D40" s="1264"/>
      <c r="E40" s="1264"/>
      <c r="F40" s="1222"/>
      <c r="G40" s="1222"/>
      <c r="H40" s="1222"/>
      <c r="I40" s="1222"/>
      <c r="J40" s="1264"/>
      <c r="K40" s="1222"/>
      <c r="L40" s="1222"/>
      <c r="N40" s="1220"/>
      <c r="O40" s="1220"/>
      <c r="P40" s="341"/>
    </row>
    <row r="41" spans="1:17" s="332" customFormat="1" ht="12" customHeight="1">
      <c r="A41" s="338" t="s">
        <v>1881</v>
      </c>
      <c r="B41" s="334" t="s">
        <v>1549</v>
      </c>
      <c r="F41" s="347"/>
      <c r="I41" s="1215"/>
      <c r="J41" s="1220"/>
      <c r="K41" s="1220"/>
      <c r="L41" s="1220"/>
      <c r="M41" s="1220"/>
      <c r="N41" s="1220"/>
      <c r="O41" s="1220"/>
      <c r="P41" s="1220"/>
    </row>
    <row r="42" spans="1:17" s="332" customFormat="1" ht="1.5" customHeight="1">
      <c r="A42" s="548"/>
      <c r="B42" s="334"/>
      <c r="C42" s="334"/>
      <c r="I42" s="1215"/>
      <c r="J42" s="1220"/>
      <c r="K42" s="1220"/>
      <c r="L42" s="1220"/>
      <c r="M42" s="1220"/>
      <c r="N42" s="1220"/>
      <c r="O42" s="1220"/>
      <c r="P42" s="1220"/>
      <c r="Q42" s="1220"/>
    </row>
    <row r="43" spans="1:17" s="332" customFormat="1" ht="12.75">
      <c r="A43" s="548"/>
      <c r="B43" s="548" t="s">
        <v>2080</v>
      </c>
      <c r="C43" s="334" t="s">
        <v>756</v>
      </c>
      <c r="I43" s="1220"/>
      <c r="J43" s="1220"/>
      <c r="K43" s="576"/>
      <c r="L43" s="1220"/>
      <c r="M43" s="578"/>
      <c r="N43" s="578"/>
      <c r="O43" s="578"/>
      <c r="P43" s="578"/>
      <c r="Q43" s="1222"/>
    </row>
    <row r="44" spans="1:17" ht="13.15" customHeight="1">
      <c r="B44" s="548"/>
      <c r="C44" s="332" t="s">
        <v>2403</v>
      </c>
      <c r="D44" s="332"/>
      <c r="E44" s="332"/>
      <c r="H44" s="349">
        <f>'Part VI-Revenues &amp; Expenses'!$M$74</f>
        <v>0</v>
      </c>
      <c r="K44" s="337" t="s">
        <v>379</v>
      </c>
      <c r="L44" s="332"/>
      <c r="P44" s="349">
        <f>'Part VI-Revenues &amp; Expenses'!$M$81</f>
        <v>0</v>
      </c>
      <c r="Q44" s="1222"/>
    </row>
    <row r="45" spans="1:17" s="332" customFormat="1" ht="12.75">
      <c r="A45" s="548"/>
      <c r="B45" s="548"/>
      <c r="C45" s="350" t="s">
        <v>360</v>
      </c>
      <c r="H45" s="349">
        <f>'Part VI-Revenues &amp; Expenses'!$M$80</f>
        <v>0</v>
      </c>
      <c r="K45" s="350" t="s">
        <v>380</v>
      </c>
      <c r="P45" s="349">
        <f>'Part VI-Revenues &amp; Expenses'!$M$84</f>
        <v>0</v>
      </c>
    </row>
    <row r="46" spans="1:17" s="332" customFormat="1" ht="13.15" customHeight="1">
      <c r="B46" s="548"/>
      <c r="C46" s="337" t="s">
        <v>359</v>
      </c>
      <c r="D46" s="1220"/>
      <c r="H46" s="349">
        <f>'Part VI-Revenues &amp; Expenses'!$M$77</f>
        <v>42</v>
      </c>
      <c r="I46" s="550" t="s">
        <v>3335</v>
      </c>
      <c r="K46" s="332" t="s">
        <v>361</v>
      </c>
      <c r="P46" s="2255">
        <v>34831</v>
      </c>
      <c r="Q46" s="1222"/>
    </row>
    <row r="47" spans="1:17" s="332" customFormat="1" ht="3.6" customHeight="1">
      <c r="A47" s="548"/>
      <c r="P47" s="1220"/>
    </row>
    <row r="48" spans="1:17" s="332" customFormat="1" ht="12.75">
      <c r="A48" s="548"/>
      <c r="B48" s="548" t="s">
        <v>2083</v>
      </c>
      <c r="C48" s="334" t="s">
        <v>2404</v>
      </c>
      <c r="H48" s="2218" t="s">
        <v>3424</v>
      </c>
      <c r="K48" s="1220"/>
      <c r="L48" s="1220"/>
      <c r="M48" s="1220"/>
      <c r="N48" s="1220"/>
      <c r="O48" s="578"/>
      <c r="P48" s="576"/>
      <c r="Q48" s="1220"/>
    </row>
    <row r="49" spans="1:19" s="332" customFormat="1" ht="3" customHeight="1">
      <c r="A49" s="548"/>
      <c r="I49" s="1220"/>
      <c r="J49" s="576"/>
      <c r="K49" s="577"/>
      <c r="L49" s="576"/>
      <c r="M49" s="577"/>
      <c r="N49" s="577"/>
      <c r="O49" s="577"/>
      <c r="P49" s="577"/>
      <c r="Q49" s="1220"/>
    </row>
    <row r="50" spans="1:19" s="332" customFormat="1" ht="13.15" customHeight="1">
      <c r="A50" s="548"/>
      <c r="B50" s="343" t="s">
        <v>788</v>
      </c>
      <c r="C50" s="342" t="s">
        <v>2384</v>
      </c>
      <c r="D50" s="1220"/>
      <c r="I50" s="1227" t="s">
        <v>4359</v>
      </c>
      <c r="J50" s="343" t="s">
        <v>2215</v>
      </c>
      <c r="K50" s="351" t="s">
        <v>2410</v>
      </c>
      <c r="M50" s="1220"/>
      <c r="N50" s="1220"/>
      <c r="O50" s="1220"/>
      <c r="P50" s="1222"/>
      <c r="Q50" s="1222"/>
      <c r="R50" s="1222"/>
      <c r="S50" s="1220"/>
    </row>
    <row r="51" spans="1:19" s="332" customFormat="1" ht="13.15" customHeight="1">
      <c r="A51" s="548"/>
      <c r="B51" s="1214"/>
      <c r="C51" s="1265" t="s">
        <v>2385</v>
      </c>
      <c r="D51" s="1220"/>
      <c r="E51" s="1220"/>
      <c r="H51" s="922">
        <f>SUM(H52:H53)</f>
        <v>42</v>
      </c>
      <c r="I51" s="922">
        <f>SUM(I52:I53)</f>
        <v>7</v>
      </c>
      <c r="J51" s="548"/>
      <c r="K51" s="1265" t="s">
        <v>3078</v>
      </c>
      <c r="M51" s="1220"/>
      <c r="N51" s="1220"/>
      <c r="O51" s="1220"/>
      <c r="P51" s="1181">
        <f>'Part VI-Revenues &amp; Expenses'!$M$116</f>
        <v>36371</v>
      </c>
    </row>
    <row r="52" spans="1:19" s="332" customFormat="1" ht="13.15" customHeight="1">
      <c r="A52" s="548"/>
      <c r="B52" s="348"/>
      <c r="D52" s="353" t="s">
        <v>399</v>
      </c>
      <c r="E52" s="1220"/>
      <c r="H52" s="1181">
        <f>'Part VI-Revenues &amp; Expenses'!$M$57</f>
        <v>9</v>
      </c>
      <c r="I52" s="1181">
        <f>'Part VI-Revenues &amp; Expenses'!$M$65</f>
        <v>7</v>
      </c>
      <c r="K52" s="1265" t="s">
        <v>3079</v>
      </c>
      <c r="M52" s="1220"/>
      <c r="N52" s="1220"/>
      <c r="O52" s="1220"/>
      <c r="P52" s="1182">
        <f>'Part VI-Revenues &amp; Expenses'!$M$117</f>
        <v>0</v>
      </c>
    </row>
    <row r="53" spans="1:19" s="332" customFormat="1" ht="13.15" customHeight="1">
      <c r="A53" s="548"/>
      <c r="D53" s="353" t="s">
        <v>1912</v>
      </c>
      <c r="E53" s="353"/>
      <c r="H53" s="1182">
        <f>'Part VI-Revenues &amp; Expenses'!$M$56</f>
        <v>33</v>
      </c>
      <c r="I53" s="1182">
        <f>'Part VI-Revenues &amp; Expenses'!$M$64</f>
        <v>0</v>
      </c>
      <c r="K53" s="1265" t="s">
        <v>3080</v>
      </c>
      <c r="M53" s="1220"/>
      <c r="N53" s="1220"/>
      <c r="O53" s="1220"/>
      <c r="P53" s="352">
        <f>P51+P52</f>
        <v>36371</v>
      </c>
    </row>
    <row r="54" spans="1:19" s="332" customFormat="1" ht="13.15" customHeight="1">
      <c r="A54" s="548"/>
      <c r="C54" s="1265" t="s">
        <v>264</v>
      </c>
      <c r="D54" s="1220"/>
      <c r="E54" s="1220"/>
      <c r="H54" s="352">
        <f>'Part VI-Revenues &amp; Expenses'!$M$59</f>
        <v>0</v>
      </c>
      <c r="J54" s="548"/>
      <c r="K54" s="1265" t="s">
        <v>3081</v>
      </c>
      <c r="M54" s="1220"/>
      <c r="N54" s="1220"/>
      <c r="O54" s="1220"/>
      <c r="P54" s="352">
        <f>'Part VI-Revenues &amp; Expenses'!$M$119</f>
        <v>0</v>
      </c>
    </row>
    <row r="55" spans="1:19" s="332" customFormat="1" ht="13.15" customHeight="1">
      <c r="A55" s="548"/>
      <c r="C55" s="1265" t="s">
        <v>2526</v>
      </c>
      <c r="D55" s="1220"/>
      <c r="E55" s="1220"/>
      <c r="H55" s="352">
        <f>H51+H54</f>
        <v>42</v>
      </c>
      <c r="J55" s="548"/>
      <c r="K55" s="1265" t="s">
        <v>1490</v>
      </c>
      <c r="M55" s="1220"/>
      <c r="N55" s="1220"/>
      <c r="O55" s="1220"/>
      <c r="P55" s="352">
        <f>+P53+P54</f>
        <v>36371</v>
      </c>
    </row>
    <row r="56" spans="1:19" s="332" customFormat="1" ht="13.15" customHeight="1">
      <c r="A56" s="548"/>
      <c r="C56" s="1265" t="s">
        <v>2527</v>
      </c>
      <c r="D56" s="1220"/>
      <c r="E56" s="1220"/>
      <c r="H56" s="352">
        <f>'Part VI-Revenues &amp; Expenses'!$M$61</f>
        <v>0</v>
      </c>
      <c r="J56" s="548"/>
    </row>
    <row r="57" spans="1:19" s="332" customFormat="1" ht="13.15" customHeight="1">
      <c r="A57" s="548"/>
      <c r="C57" s="1265" t="s">
        <v>1880</v>
      </c>
      <c r="D57" s="1220"/>
      <c r="E57" s="1220"/>
      <c r="H57" s="352">
        <f>+H55+H56</f>
        <v>42</v>
      </c>
      <c r="J57" s="1220"/>
    </row>
    <row r="58" spans="1:19" s="332" customFormat="1" ht="3" customHeight="1">
      <c r="A58" s="548"/>
      <c r="I58" s="1222"/>
      <c r="L58" s="1222"/>
      <c r="M58" s="1222"/>
      <c r="N58" s="1220"/>
      <c r="P58" s="341"/>
    </row>
    <row r="59" spans="1:19" s="332" customFormat="1" ht="13.15" customHeight="1">
      <c r="A59" s="548"/>
      <c r="B59" s="548" t="s">
        <v>1822</v>
      </c>
      <c r="C59" s="342" t="s">
        <v>2405</v>
      </c>
      <c r="D59" s="353" t="s">
        <v>2094</v>
      </c>
      <c r="G59" s="1220"/>
      <c r="H59" s="2256">
        <v>6</v>
      </c>
      <c r="K59" s="1265" t="s">
        <v>1177</v>
      </c>
      <c r="O59" s="1220"/>
      <c r="P59" s="2256">
        <v>1350</v>
      </c>
    </row>
    <row r="60" spans="1:19" s="332" customFormat="1" ht="13.15" customHeight="1">
      <c r="A60" s="548"/>
      <c r="B60" s="548"/>
      <c r="D60" s="1214" t="s">
        <v>2095</v>
      </c>
      <c r="H60" s="2256">
        <v>1</v>
      </c>
      <c r="I60" s="1220"/>
      <c r="K60" s="1265" t="s">
        <v>263</v>
      </c>
      <c r="O60" s="1220"/>
      <c r="P60" s="352">
        <f>+P55+P59</f>
        <v>37721</v>
      </c>
    </row>
    <row r="61" spans="1:19" s="332" customFormat="1" ht="13.15" customHeight="1">
      <c r="A61" s="548"/>
      <c r="B61" s="548"/>
      <c r="D61" s="1214" t="s">
        <v>2096</v>
      </c>
      <c r="H61" s="352">
        <f>+H59+H60</f>
        <v>7</v>
      </c>
      <c r="I61" s="1220"/>
    </row>
    <row r="62" spans="1:19" s="332" customFormat="1" ht="3" customHeight="1">
      <c r="A62" s="548"/>
      <c r="B62" s="548"/>
      <c r="C62" s="1220"/>
      <c r="D62" s="1220"/>
      <c r="E62" s="1220"/>
      <c r="F62" s="1220"/>
      <c r="G62" s="1222"/>
      <c r="I62" s="1265"/>
      <c r="J62" s="1220"/>
      <c r="P62" s="341"/>
    </row>
    <row r="63" spans="1:19" s="332" customFormat="1" ht="13.15" customHeight="1">
      <c r="A63" s="548"/>
      <c r="B63" s="548" t="s">
        <v>1823</v>
      </c>
      <c r="C63" s="342" t="s">
        <v>3182</v>
      </c>
      <c r="D63" s="1220"/>
      <c r="E63" s="1220"/>
      <c r="F63" s="1220"/>
      <c r="G63" s="1220"/>
      <c r="H63" s="2256">
        <v>86</v>
      </c>
      <c r="K63" s="332" t="s">
        <v>3185</v>
      </c>
    </row>
    <row r="64" spans="1:19" s="332" customFormat="1" ht="6.75" customHeight="1">
      <c r="A64" s="548"/>
      <c r="B64" s="548"/>
      <c r="C64" s="1265"/>
      <c r="D64" s="1220"/>
      <c r="E64" s="1220"/>
      <c r="F64" s="1220"/>
      <c r="G64" s="1222"/>
      <c r="H64" s="1220"/>
      <c r="I64" s="1265"/>
      <c r="J64" s="1265"/>
      <c r="K64" s="1220"/>
      <c r="P64" s="341"/>
    </row>
    <row r="65" spans="1:16" s="332" customFormat="1" ht="13.15" customHeight="1">
      <c r="A65" s="548" t="s">
        <v>553</v>
      </c>
      <c r="B65" s="354" t="s">
        <v>1246</v>
      </c>
      <c r="D65" s="354"/>
      <c r="E65" s="354"/>
      <c r="F65" s="1220"/>
      <c r="G65" s="1222"/>
      <c r="H65" s="591"/>
      <c r="K65" s="1220"/>
    </row>
    <row r="66" spans="1:16" s="332" customFormat="1" ht="3" customHeight="1">
      <c r="A66" s="548"/>
      <c r="C66" s="1217"/>
      <c r="D66" s="1217"/>
      <c r="E66" s="1217"/>
      <c r="F66" s="1220"/>
      <c r="G66" s="1222"/>
      <c r="K66" s="1220"/>
      <c r="P66" s="341"/>
    </row>
    <row r="67" spans="1:16" s="332" customFormat="1" ht="13.15" customHeight="1">
      <c r="A67" s="548"/>
      <c r="B67" s="548" t="s">
        <v>2080</v>
      </c>
      <c r="C67" s="300" t="s">
        <v>2852</v>
      </c>
      <c r="D67" s="1217"/>
      <c r="E67" s="1217"/>
      <c r="F67" s="1220"/>
      <c r="G67" s="1222"/>
      <c r="H67" s="2257" t="s">
        <v>3336</v>
      </c>
      <c r="I67" s="2258"/>
      <c r="K67" s="1356" t="s">
        <v>1859</v>
      </c>
      <c r="L67" s="1356"/>
      <c r="N67" s="2204"/>
      <c r="O67" s="2205"/>
      <c r="P67" s="2206"/>
    </row>
    <row r="68" spans="1:16" s="332" customFormat="1" ht="3" customHeight="1">
      <c r="A68" s="548"/>
      <c r="B68" s="548"/>
      <c r="D68" s="1214"/>
      <c r="E68" s="1214"/>
      <c r="F68" s="1214"/>
      <c r="G68" s="1214"/>
      <c r="I68" s="1222"/>
      <c r="K68" s="1215"/>
      <c r="L68" s="1215"/>
      <c r="M68" s="1222"/>
      <c r="N68" s="1220"/>
      <c r="P68" s="341"/>
    </row>
    <row r="69" spans="1:16" s="332" customFormat="1" ht="13.15" customHeight="1">
      <c r="A69" s="548"/>
      <c r="B69" s="548"/>
      <c r="E69" s="1217"/>
      <c r="K69" s="1378" t="s">
        <v>3771</v>
      </c>
      <c r="L69" s="1378"/>
      <c r="M69" s="355" t="s">
        <v>3336</v>
      </c>
      <c r="N69" s="2256"/>
      <c r="O69" s="355" t="s">
        <v>3337</v>
      </c>
      <c r="P69" s="2256"/>
    </row>
    <row r="70" spans="1:16" s="332" customFormat="1" ht="3" customHeight="1">
      <c r="A70" s="548"/>
      <c r="B70" s="548"/>
      <c r="D70" s="1214"/>
      <c r="E70" s="1214"/>
      <c r="F70" s="1214"/>
      <c r="G70" s="1214"/>
      <c r="K70" s="1378"/>
      <c r="L70" s="1378"/>
      <c r="M70" s="1222"/>
      <c r="N70" s="1220"/>
      <c r="P70" s="341"/>
    </row>
    <row r="71" spans="1:16" s="332" customFormat="1" ht="13.15" customHeight="1">
      <c r="A71" s="548"/>
      <c r="B71" s="548"/>
      <c r="D71" s="1215"/>
      <c r="E71" s="1217"/>
      <c r="K71" s="1378"/>
      <c r="L71" s="1378"/>
      <c r="M71" s="344" t="s">
        <v>3338</v>
      </c>
      <c r="N71" s="2256"/>
      <c r="O71" s="344" t="s">
        <v>1678</v>
      </c>
      <c r="P71" s="2256"/>
    </row>
    <row r="72" spans="1:16" s="332" customFormat="1" ht="3" customHeight="1">
      <c r="A72" s="548"/>
      <c r="B72" s="548"/>
      <c r="D72" s="1214"/>
      <c r="E72" s="1214"/>
      <c r="F72" s="1214"/>
      <c r="G72" s="1214"/>
      <c r="I72" s="1222"/>
      <c r="K72" s="1215"/>
      <c r="L72" s="1215"/>
      <c r="M72" s="1222"/>
      <c r="N72" s="1220"/>
      <c r="P72" s="341"/>
    </row>
    <row r="73" spans="1:16" s="332" customFormat="1" ht="13.15" customHeight="1">
      <c r="A73" s="548"/>
      <c r="B73" s="548" t="s">
        <v>2083</v>
      </c>
      <c r="C73" s="342" t="s">
        <v>1481</v>
      </c>
      <c r="D73" s="1220"/>
      <c r="E73" s="353"/>
      <c r="F73" s="1214" t="s">
        <v>837</v>
      </c>
      <c r="H73" s="2256">
        <v>3</v>
      </c>
      <c r="K73" s="1356" t="s">
        <v>543</v>
      </c>
      <c r="L73" s="1356"/>
      <c r="P73" s="356">
        <f>IF('Part VI-Revenues &amp; Expenses'!$M$62=0,0,H73/'Part VI-Revenues &amp; Expenses'!$M$62)</f>
        <v>7.1428571428571425E-2</v>
      </c>
    </row>
    <row r="74" spans="1:16" s="332" customFormat="1" ht="12.75" customHeight="1">
      <c r="A74" s="548"/>
      <c r="B74" s="548"/>
      <c r="D74" s="1214" t="s">
        <v>3180</v>
      </c>
      <c r="E74" s="1214"/>
      <c r="F74" s="1214" t="s">
        <v>837</v>
      </c>
      <c r="H74" s="2256">
        <v>2</v>
      </c>
      <c r="K74" s="1220" t="s">
        <v>3181</v>
      </c>
      <c r="L74" s="1220"/>
      <c r="P74" s="356">
        <f>IF(H73=0,0,H74/H73)</f>
        <v>0.66666666666666663</v>
      </c>
    </row>
    <row r="75" spans="1:16" s="332" customFormat="1" ht="3" customHeight="1">
      <c r="A75" s="548"/>
      <c r="B75" s="548"/>
      <c r="D75" s="1214"/>
      <c r="E75" s="1214"/>
      <c r="F75" s="1214"/>
      <c r="I75" s="1222"/>
      <c r="K75" s="1215"/>
      <c r="L75" s="1215"/>
      <c r="M75" s="1222"/>
      <c r="P75" s="1222"/>
    </row>
    <row r="76" spans="1:16" s="332" customFormat="1" ht="13.15" customHeight="1">
      <c r="A76" s="548"/>
      <c r="B76" s="548" t="s">
        <v>788</v>
      </c>
      <c r="C76" s="342" t="s">
        <v>1935</v>
      </c>
      <c r="D76" s="353"/>
      <c r="E76" s="353"/>
      <c r="F76" s="1214" t="s">
        <v>837</v>
      </c>
      <c r="H76" s="2256">
        <v>1</v>
      </c>
      <c r="K76" s="1356" t="s">
        <v>543</v>
      </c>
      <c r="L76" s="1356"/>
      <c r="P76" s="356">
        <f>IF('Part VI-Revenues &amp; Expenses'!$M$62=0,0,H76/'Part VI-Revenues &amp; Expenses'!$M$62)</f>
        <v>2.3809523809523808E-2</v>
      </c>
    </row>
    <row r="77" spans="1:16" s="332" customFormat="1" ht="6.75" customHeight="1">
      <c r="A77" s="548"/>
      <c r="B77" s="548"/>
      <c r="D77" s="1214"/>
      <c r="E77" s="1214"/>
      <c r="F77" s="1214"/>
      <c r="G77" s="1214"/>
      <c r="I77" s="1222"/>
      <c r="J77" s="1222"/>
      <c r="K77" s="1222"/>
      <c r="L77" s="1222"/>
      <c r="M77" s="1222"/>
      <c r="N77" s="1220"/>
      <c r="P77" s="341"/>
    </row>
    <row r="78" spans="1:16" s="332" customFormat="1" ht="13.15" customHeight="1">
      <c r="A78" s="357" t="s">
        <v>812</v>
      </c>
      <c r="B78" s="1217" t="s">
        <v>2490</v>
      </c>
      <c r="D78" s="1214"/>
      <c r="E78" s="1214"/>
      <c r="F78" s="1214"/>
      <c r="G78" s="1214"/>
      <c r="H78" s="1214"/>
      <c r="I78" s="1222"/>
      <c r="M78" s="1222"/>
      <c r="N78" s="1220"/>
      <c r="P78" s="341"/>
    </row>
    <row r="79" spans="1:16" s="332" customFormat="1" ht="3" customHeight="1">
      <c r="A79" s="548"/>
      <c r="B79" s="548"/>
      <c r="C79" s="1217"/>
      <c r="D79" s="1214"/>
      <c r="E79" s="1214"/>
      <c r="F79" s="1214"/>
      <c r="L79" s="1222"/>
      <c r="M79" s="1222"/>
      <c r="N79" s="1220"/>
      <c r="P79" s="341"/>
    </row>
    <row r="80" spans="1:16" s="332" customFormat="1" ht="13.15" customHeight="1">
      <c r="A80" s="548"/>
      <c r="B80" s="548" t="s">
        <v>2080</v>
      </c>
      <c r="C80" s="300" t="s">
        <v>2489</v>
      </c>
      <c r="D80" s="1214"/>
      <c r="E80" s="1214"/>
      <c r="F80" s="1214"/>
      <c r="H80" s="2259" t="s">
        <v>911</v>
      </c>
      <c r="I80" s="2260"/>
      <c r="J80" s="2261"/>
      <c r="M80" s="1222"/>
      <c r="N80" s="1220"/>
      <c r="P80" s="341"/>
    </row>
    <row r="81" spans="1:16" s="332" customFormat="1" ht="3" customHeight="1">
      <c r="A81" s="548"/>
      <c r="B81" s="548"/>
      <c r="D81" s="1214"/>
      <c r="E81" s="1214"/>
      <c r="F81" s="1214"/>
      <c r="G81" s="1214"/>
      <c r="I81" s="1222"/>
      <c r="J81" s="1222"/>
      <c r="K81" s="1222"/>
      <c r="L81" s="1222"/>
      <c r="M81" s="1222"/>
      <c r="N81" s="1220"/>
      <c r="P81" s="341"/>
    </row>
    <row r="82" spans="1:16" s="332" customFormat="1" ht="13.15" customHeight="1">
      <c r="B82" s="548" t="s">
        <v>2083</v>
      </c>
      <c r="C82" s="334" t="s">
        <v>1609</v>
      </c>
      <c r="K82" s="337" t="s">
        <v>910</v>
      </c>
      <c r="N82" s="358"/>
      <c r="P82" s="2218"/>
    </row>
    <row r="83" spans="1:16" s="332" customFormat="1" ht="6.75" customHeight="1">
      <c r="A83" s="548"/>
      <c r="B83" s="548"/>
      <c r="C83" s="334"/>
      <c r="D83" s="1214"/>
      <c r="E83" s="1214"/>
      <c r="F83" s="1214"/>
      <c r="G83" s="1214"/>
      <c r="I83" s="1222"/>
      <c r="J83" s="1222"/>
      <c r="K83" s="1222"/>
      <c r="L83" s="1222"/>
      <c r="M83" s="1222"/>
      <c r="N83" s="1220"/>
      <c r="P83" s="341"/>
    </row>
    <row r="84" spans="1:16" s="332" customFormat="1" ht="13.15" customHeight="1">
      <c r="A84" s="357" t="s">
        <v>305</v>
      </c>
      <c r="B84" s="1217" t="s">
        <v>2141</v>
      </c>
      <c r="D84" s="1214"/>
    </row>
    <row r="85" spans="1:16" s="332" customFormat="1" ht="3" customHeight="1">
      <c r="A85" s="548"/>
      <c r="B85" s="548"/>
      <c r="D85" s="1214"/>
      <c r="N85" s="1220"/>
      <c r="P85" s="341"/>
    </row>
    <row r="86" spans="1:16" s="332" customFormat="1" ht="13.15" customHeight="1">
      <c r="A86" s="357"/>
      <c r="B86" s="548" t="s">
        <v>2080</v>
      </c>
      <c r="C86" s="334" t="s">
        <v>2878</v>
      </c>
      <c r="F86" s="353" t="s">
        <v>2727</v>
      </c>
      <c r="H86" s="2218"/>
      <c r="K86" s="353" t="s">
        <v>3990</v>
      </c>
      <c r="M86" s="2218" t="s">
        <v>3421</v>
      </c>
    </row>
    <row r="87" spans="1:16" s="332" customFormat="1" ht="3" customHeight="1">
      <c r="A87" s="548"/>
      <c r="B87" s="548"/>
      <c r="C87" s="1217"/>
      <c r="F87" s="1214"/>
      <c r="H87" s="1214"/>
      <c r="J87" s="1222"/>
      <c r="K87" s="1222"/>
      <c r="L87" s="1222"/>
      <c r="M87" s="1222"/>
      <c r="N87" s="1222"/>
      <c r="P87" s="341"/>
    </row>
    <row r="88" spans="1:16" s="332" customFormat="1" ht="13.15" customHeight="1">
      <c r="A88" s="357"/>
      <c r="B88" s="548" t="s">
        <v>2083</v>
      </c>
      <c r="C88" s="334" t="s">
        <v>2879</v>
      </c>
      <c r="F88" s="1215" t="s">
        <v>2819</v>
      </c>
      <c r="H88" s="2218"/>
      <c r="J88" s="1222"/>
      <c r="K88" s="1262" t="s">
        <v>2880</v>
      </c>
      <c r="L88" s="1222"/>
      <c r="M88" s="1222"/>
      <c r="N88" s="1222"/>
      <c r="O88" s="1222"/>
    </row>
    <row r="89" spans="1:16" s="332" customFormat="1" ht="6.75" customHeight="1">
      <c r="A89" s="548"/>
      <c r="B89" s="548"/>
      <c r="C89" s="334"/>
      <c r="D89" s="1214"/>
      <c r="E89" s="1214"/>
      <c r="F89" s="1214"/>
      <c r="G89" s="1214"/>
      <c r="I89" s="1222"/>
      <c r="J89" s="1222"/>
      <c r="K89" s="1222"/>
      <c r="L89" s="1222"/>
      <c r="M89" s="1222"/>
      <c r="N89" s="1220"/>
      <c r="P89" s="341"/>
    </row>
    <row r="90" spans="1:16" s="332" customFormat="1" ht="13.15" customHeight="1">
      <c r="A90" s="357" t="s">
        <v>440</v>
      </c>
      <c r="B90" s="1217" t="s">
        <v>3089</v>
      </c>
      <c r="D90" s="1214"/>
      <c r="H90" s="2228" t="s">
        <v>2726</v>
      </c>
      <c r="I90" s="2230"/>
      <c r="J90" s="1222"/>
    </row>
    <row r="91" spans="1:16" s="332" customFormat="1" ht="6.75" customHeight="1">
      <c r="A91" s="548"/>
      <c r="D91" s="1264"/>
      <c r="E91" s="1220"/>
      <c r="I91" s="1264"/>
      <c r="J91" s="1265"/>
      <c r="K91" s="1220"/>
      <c r="P91" s="341"/>
    </row>
    <row r="92" spans="1:16" s="332" customFormat="1" ht="13.15" customHeight="1">
      <c r="A92" s="357" t="s">
        <v>376</v>
      </c>
      <c r="B92" s="351" t="s">
        <v>1244</v>
      </c>
      <c r="D92" s="1220"/>
      <c r="E92" s="1220"/>
      <c r="F92" s="1220"/>
      <c r="G92" s="1220"/>
      <c r="H92" s="1220"/>
      <c r="I92" s="1264"/>
      <c r="J92" s="1265"/>
      <c r="K92" s="1220"/>
      <c r="P92" s="341"/>
    </row>
    <row r="93" spans="1:16" s="332" customFormat="1" ht="3" customHeight="1">
      <c r="A93" s="357"/>
      <c r="B93" s="548"/>
      <c r="C93" s="351"/>
      <c r="D93" s="1220"/>
      <c r="E93" s="1220"/>
      <c r="F93" s="1220"/>
      <c r="G93" s="1220"/>
      <c r="H93" s="1220"/>
      <c r="I93" s="1264"/>
      <c r="J93" s="1265"/>
      <c r="K93" s="1220"/>
    </row>
    <row r="94" spans="1:16" s="332" customFormat="1" ht="13.15" customHeight="1">
      <c r="A94" s="548"/>
      <c r="B94" s="548"/>
      <c r="C94" s="1265" t="s">
        <v>575</v>
      </c>
      <c r="D94" s="1220"/>
      <c r="E94" s="2204"/>
      <c r="F94" s="2205"/>
      <c r="G94" s="2205"/>
      <c r="H94" s="2205"/>
      <c r="I94" s="2205"/>
      <c r="J94" s="2205"/>
      <c r="K94" s="2205"/>
      <c r="L94" s="2206"/>
      <c r="M94" s="1355" t="s">
        <v>576</v>
      </c>
      <c r="N94" s="1355"/>
      <c r="O94" s="2262"/>
      <c r="P94" s="2263"/>
    </row>
    <row r="95" spans="1:16" s="332" customFormat="1" ht="13.15" customHeight="1">
      <c r="C95" s="337" t="s">
        <v>1070</v>
      </c>
      <c r="D95" s="344"/>
      <c r="E95" s="2204"/>
      <c r="F95" s="2205"/>
      <c r="G95" s="2205"/>
      <c r="H95" s="2205"/>
      <c r="I95" s="2205"/>
      <c r="J95" s="2205"/>
      <c r="K95" s="2205"/>
      <c r="L95" s="2206"/>
      <c r="M95" s="1355" t="s">
        <v>849</v>
      </c>
      <c r="N95" s="1355"/>
      <c r="O95" s="2219"/>
      <c r="P95" s="2221"/>
    </row>
    <row r="96" spans="1:16" s="332" customFormat="1" ht="13.15" customHeight="1">
      <c r="C96" s="337" t="s">
        <v>648</v>
      </c>
      <c r="E96" s="2204"/>
      <c r="F96" s="2264"/>
      <c r="G96" s="2265"/>
      <c r="H96" s="1212" t="s">
        <v>1886</v>
      </c>
      <c r="I96" s="2218"/>
      <c r="J96" s="359" t="s">
        <v>2335</v>
      </c>
      <c r="K96" s="2215"/>
      <c r="L96" s="2265"/>
      <c r="M96" s="302"/>
      <c r="N96" s="302"/>
      <c r="O96" s="302"/>
      <c r="P96" s="302"/>
    </row>
    <row r="97" spans="1:16" s="332" customFormat="1" ht="13.15" customHeight="1">
      <c r="C97" s="332" t="s">
        <v>2296</v>
      </c>
      <c r="E97" s="2204"/>
      <c r="F97" s="2264"/>
      <c r="G97" s="2265"/>
      <c r="H97" s="1222" t="s">
        <v>2077</v>
      </c>
      <c r="I97" s="2204"/>
      <c r="J97" s="2264"/>
      <c r="K97" s="2265"/>
      <c r="L97" s="1231" t="s">
        <v>2081</v>
      </c>
      <c r="M97" s="2204"/>
      <c r="N97" s="2264"/>
      <c r="O97" s="2264"/>
      <c r="P97" s="2265"/>
    </row>
    <row r="98" spans="1:16" s="332" customFormat="1" ht="13.15" customHeight="1">
      <c r="C98" s="337" t="s">
        <v>2295</v>
      </c>
      <c r="E98" s="2212"/>
      <c r="F98" s="2217"/>
      <c r="G98" s="2213"/>
      <c r="H98" s="1222" t="s">
        <v>1889</v>
      </c>
      <c r="I98" s="2250"/>
      <c r="J98" s="2265"/>
      <c r="K98" s="359" t="s">
        <v>1890</v>
      </c>
      <c r="L98" s="2250"/>
      <c r="M98" s="2265"/>
      <c r="N98" s="359" t="s">
        <v>2076</v>
      </c>
      <c r="O98" s="2250"/>
      <c r="P98" s="2265"/>
    </row>
    <row r="99" spans="1:16" s="332" customFormat="1" ht="3" customHeight="1">
      <c r="A99" s="548"/>
      <c r="B99" s="548"/>
      <c r="G99" s="1264"/>
      <c r="H99" s="1222"/>
      <c r="I99" s="1222"/>
      <c r="M99" s="341"/>
    </row>
    <row r="100" spans="1:16" s="332" customFormat="1" ht="13.15" customHeight="1">
      <c r="A100" s="357" t="s">
        <v>377</v>
      </c>
      <c r="B100" s="1217" t="s">
        <v>1748</v>
      </c>
      <c r="D100" s="1264"/>
      <c r="E100" s="1264"/>
      <c r="F100" s="1222"/>
      <c r="G100" s="1222"/>
      <c r="H100" s="1222"/>
      <c r="I100" s="1222"/>
      <c r="J100" s="1264"/>
      <c r="K100" s="1222"/>
      <c r="L100" s="1222"/>
      <c r="N100" s="1220"/>
      <c r="O100" s="1220"/>
      <c r="P100" s="341"/>
    </row>
    <row r="101" spans="1:16" s="332" customFormat="1" ht="3.6" customHeight="1">
      <c r="A101" s="357"/>
      <c r="B101" s="1217"/>
      <c r="D101" s="1264"/>
      <c r="E101" s="1264"/>
      <c r="F101" s="1222"/>
      <c r="G101" s="1222"/>
      <c r="H101" s="1222"/>
      <c r="I101" s="1222"/>
      <c r="J101" s="1264"/>
      <c r="K101" s="1222"/>
      <c r="L101" s="1222"/>
      <c r="N101" s="1220"/>
      <c r="O101" s="1220"/>
      <c r="P101" s="341"/>
    </row>
    <row r="102" spans="1:16" s="332" customFormat="1" ht="13.15" customHeight="1">
      <c r="B102" s="353" t="s">
        <v>2253</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2080</v>
      </c>
      <c r="C104" s="1217" t="s">
        <v>1482</v>
      </c>
      <c r="D104" s="1214"/>
      <c r="E104" s="1214"/>
      <c r="F104" s="1222"/>
      <c r="G104" s="1222"/>
      <c r="H104" s="2266">
        <v>2</v>
      </c>
      <c r="N104" s="1220"/>
      <c r="O104" s="1220"/>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2083</v>
      </c>
      <c r="C106" s="1217" t="s">
        <v>430</v>
      </c>
      <c r="D106" s="1214"/>
      <c r="E106" s="1214"/>
      <c r="F106" s="1222"/>
      <c r="G106" s="1222"/>
      <c r="H106" s="2267">
        <v>1140462</v>
      </c>
      <c r="J106" s="1264"/>
      <c r="K106" s="1215"/>
      <c r="N106" s="1220"/>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788</v>
      </c>
      <c r="C108" s="1217" t="s">
        <v>315</v>
      </c>
      <c r="D108" s="1214"/>
      <c r="E108" s="1214"/>
      <c r="F108" s="1222"/>
      <c r="G108" s="1222"/>
      <c r="H108" s="1222"/>
      <c r="I108" s="1222"/>
      <c r="J108" s="1264"/>
      <c r="K108" s="1222"/>
      <c r="L108" s="1222"/>
      <c r="N108" s="1220"/>
      <c r="O108" s="1220"/>
    </row>
    <row r="109" spans="1:16" s="332" customFormat="1" ht="13.15" customHeight="1">
      <c r="B109" s="548"/>
      <c r="C109" s="1214" t="s">
        <v>2235</v>
      </c>
      <c r="D109" s="1214"/>
      <c r="F109" s="1214" t="s">
        <v>1187</v>
      </c>
      <c r="G109" s="1222"/>
      <c r="H109" s="1222"/>
      <c r="I109" s="1222"/>
      <c r="J109" s="1214" t="s">
        <v>2235</v>
      </c>
      <c r="K109" s="1214"/>
      <c r="M109" s="1214" t="s">
        <v>1187</v>
      </c>
      <c r="N109" s="1222"/>
      <c r="O109" s="1222"/>
      <c r="P109" s="1222"/>
    </row>
    <row r="110" spans="1:16" s="332" customFormat="1" ht="13.15" customHeight="1">
      <c r="A110" s="548"/>
      <c r="B110" s="548"/>
      <c r="C110" s="2268" t="s">
        <v>4405</v>
      </c>
      <c r="D110" s="2269"/>
      <c r="E110" s="2269"/>
      <c r="F110" s="2269" t="s">
        <v>4500</v>
      </c>
      <c r="G110" s="2269"/>
      <c r="H110" s="2269"/>
      <c r="I110" s="2270"/>
      <c r="J110" s="2268" t="s">
        <v>4499</v>
      </c>
      <c r="K110" s="2269"/>
      <c r="L110" s="2269"/>
      <c r="M110" s="2269" t="s">
        <v>4531</v>
      </c>
      <c r="N110" s="2269"/>
      <c r="O110" s="2269"/>
      <c r="P110" s="2270"/>
    </row>
    <row r="111" spans="1:16" s="332" customFormat="1" ht="13.15" customHeight="1">
      <c r="A111" s="548"/>
      <c r="B111" s="548"/>
      <c r="C111" s="2271" t="s">
        <v>4385</v>
      </c>
      <c r="D111" s="2272"/>
      <c r="E111" s="2272"/>
      <c r="F111" s="2272" t="s">
        <v>4500</v>
      </c>
      <c r="G111" s="2272"/>
      <c r="H111" s="2272"/>
      <c r="I111" s="2273"/>
      <c r="J111" s="2271">
        <v>7</v>
      </c>
      <c r="K111" s="2272"/>
      <c r="L111" s="2272"/>
      <c r="M111" s="2272"/>
      <c r="N111" s="2272"/>
      <c r="O111" s="2272"/>
      <c r="P111" s="2273"/>
    </row>
    <row r="112" spans="1:16" s="332" customFormat="1" ht="13.15" customHeight="1">
      <c r="A112" s="548"/>
      <c r="B112" s="548"/>
      <c r="C112" s="2271" t="s">
        <v>4499</v>
      </c>
      <c r="D112" s="2272"/>
      <c r="E112" s="2272"/>
      <c r="F112" s="2272" t="s">
        <v>4500</v>
      </c>
      <c r="G112" s="2272"/>
      <c r="H112" s="2272"/>
      <c r="I112" s="2273"/>
      <c r="J112" s="2271">
        <v>8</v>
      </c>
      <c r="K112" s="2272"/>
      <c r="L112" s="2272"/>
      <c r="M112" s="2272"/>
      <c r="N112" s="2272"/>
      <c r="O112" s="2272"/>
      <c r="P112" s="2273"/>
    </row>
    <row r="113" spans="1:16" s="332" customFormat="1" ht="13.15" customHeight="1">
      <c r="A113" s="548"/>
      <c r="B113" s="548"/>
      <c r="C113" s="2271" t="s">
        <v>4405</v>
      </c>
      <c r="D113" s="2272"/>
      <c r="E113" s="2272"/>
      <c r="F113" s="2272" t="s">
        <v>4531</v>
      </c>
      <c r="G113" s="2272"/>
      <c r="H113" s="2272"/>
      <c r="I113" s="2273"/>
      <c r="J113" s="2271">
        <v>9</v>
      </c>
      <c r="K113" s="2272"/>
      <c r="L113" s="2272"/>
      <c r="M113" s="2272"/>
      <c r="N113" s="2272"/>
      <c r="O113" s="2272"/>
      <c r="P113" s="2273"/>
    </row>
    <row r="114" spans="1:16" s="332" customFormat="1" ht="13.15" customHeight="1">
      <c r="A114" s="548"/>
      <c r="B114" s="548"/>
      <c r="C114" s="2274" t="s">
        <v>4385</v>
      </c>
      <c r="D114" s="2275"/>
      <c r="E114" s="2275"/>
      <c r="F114" s="2275" t="s">
        <v>4531</v>
      </c>
      <c r="G114" s="2275"/>
      <c r="H114" s="2275"/>
      <c r="I114" s="2276"/>
      <c r="J114" s="2274">
        <v>10</v>
      </c>
      <c r="K114" s="2275"/>
      <c r="L114" s="2275"/>
      <c r="M114" s="2275"/>
      <c r="N114" s="2275"/>
      <c r="O114" s="2275"/>
      <c r="P114" s="2276"/>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2215</v>
      </c>
      <c r="C116" s="1354" t="s">
        <v>1939</v>
      </c>
      <c r="D116" s="1354"/>
      <c r="E116" s="1354"/>
      <c r="F116" s="1354"/>
      <c r="G116" s="1354"/>
      <c r="H116" s="1354"/>
      <c r="I116" s="1354"/>
      <c r="J116" s="1354"/>
      <c r="K116" s="1354"/>
      <c r="L116" s="1354"/>
      <c r="M116" s="1354"/>
      <c r="N116" s="1354"/>
      <c r="O116" s="1354"/>
      <c r="P116" s="1354"/>
    </row>
    <row r="117" spans="1:16" s="332" customFormat="1" ht="13.15" customHeight="1">
      <c r="A117" s="548"/>
      <c r="B117" s="548"/>
      <c r="C117" s="1354"/>
      <c r="D117" s="1354"/>
      <c r="E117" s="1354"/>
      <c r="F117" s="1354"/>
      <c r="G117" s="1354"/>
      <c r="H117" s="1354"/>
      <c r="I117" s="1354"/>
      <c r="J117" s="1354"/>
      <c r="K117" s="1354"/>
      <c r="L117" s="1354"/>
      <c r="M117" s="1354"/>
      <c r="N117" s="1354"/>
      <c r="O117" s="1354"/>
      <c r="P117" s="1354"/>
    </row>
    <row r="118" spans="1:16" s="332" customFormat="1" ht="13.15" customHeight="1">
      <c r="B118" s="548"/>
      <c r="C118" s="1214" t="s">
        <v>2235</v>
      </c>
      <c r="D118" s="1214"/>
      <c r="F118" s="1214" t="s">
        <v>1187</v>
      </c>
      <c r="G118" s="1222"/>
      <c r="H118" s="1222"/>
      <c r="I118" s="1222"/>
      <c r="J118" s="1214" t="s">
        <v>2235</v>
      </c>
      <c r="K118" s="1214"/>
      <c r="M118" s="1214" t="s">
        <v>1187</v>
      </c>
      <c r="N118" s="1222"/>
      <c r="O118" s="1222"/>
      <c r="P118" s="1222"/>
    </row>
    <row r="119" spans="1:16" s="332" customFormat="1" ht="13.15" customHeight="1">
      <c r="A119" s="548"/>
      <c r="B119" s="548"/>
      <c r="C119" s="2268" t="s">
        <v>1820</v>
      </c>
      <c r="D119" s="2269"/>
      <c r="E119" s="2269"/>
      <c r="F119" s="2269"/>
      <c r="G119" s="2269"/>
      <c r="H119" s="2269"/>
      <c r="I119" s="2270"/>
      <c r="J119" s="2268">
        <v>6</v>
      </c>
      <c r="K119" s="2269"/>
      <c r="L119" s="2269"/>
      <c r="M119" s="2269"/>
      <c r="N119" s="2269"/>
      <c r="O119" s="2269"/>
      <c r="P119" s="2270"/>
    </row>
    <row r="120" spans="1:16" s="332" customFormat="1" ht="13.15" customHeight="1">
      <c r="A120" s="548"/>
      <c r="B120" s="548"/>
      <c r="C120" s="2271">
        <v>2</v>
      </c>
      <c r="D120" s="2272"/>
      <c r="E120" s="2272"/>
      <c r="F120" s="2272"/>
      <c r="G120" s="2272"/>
      <c r="H120" s="2272"/>
      <c r="I120" s="2273"/>
      <c r="J120" s="2271">
        <v>7</v>
      </c>
      <c r="K120" s="2272"/>
      <c r="L120" s="2272"/>
      <c r="M120" s="2272"/>
      <c r="N120" s="2272"/>
      <c r="O120" s="2272"/>
      <c r="P120" s="2273"/>
    </row>
    <row r="121" spans="1:16" s="332" customFormat="1" ht="13.15" customHeight="1">
      <c r="A121" s="548"/>
      <c r="B121" s="548"/>
      <c r="C121" s="2271">
        <v>3</v>
      </c>
      <c r="D121" s="2272"/>
      <c r="E121" s="2272"/>
      <c r="F121" s="2272"/>
      <c r="G121" s="2272"/>
      <c r="H121" s="2272"/>
      <c r="I121" s="2273"/>
      <c r="J121" s="2271">
        <v>8</v>
      </c>
      <c r="K121" s="2272"/>
      <c r="L121" s="2272"/>
      <c r="M121" s="2272"/>
      <c r="N121" s="2272"/>
      <c r="O121" s="2272"/>
      <c r="P121" s="2273"/>
    </row>
    <row r="122" spans="1:16" s="332" customFormat="1" ht="13.15" customHeight="1">
      <c r="A122" s="548"/>
      <c r="B122" s="548"/>
      <c r="C122" s="2271">
        <v>4</v>
      </c>
      <c r="D122" s="2272"/>
      <c r="E122" s="2272"/>
      <c r="F122" s="2272"/>
      <c r="G122" s="2272"/>
      <c r="H122" s="2272"/>
      <c r="I122" s="2273"/>
      <c r="J122" s="2271">
        <v>9</v>
      </c>
      <c r="K122" s="2272"/>
      <c r="L122" s="2272"/>
      <c r="M122" s="2272"/>
      <c r="N122" s="2272"/>
      <c r="O122" s="2272"/>
      <c r="P122" s="2273"/>
    </row>
    <row r="123" spans="1:16" s="332" customFormat="1" ht="13.15" customHeight="1">
      <c r="A123" s="548"/>
      <c r="B123" s="548"/>
      <c r="C123" s="2274">
        <v>5</v>
      </c>
      <c r="D123" s="2275"/>
      <c r="E123" s="2275"/>
      <c r="F123" s="2275"/>
      <c r="G123" s="2275"/>
      <c r="H123" s="2275"/>
      <c r="I123" s="2276"/>
      <c r="J123" s="2274">
        <v>10</v>
      </c>
      <c r="K123" s="2275"/>
      <c r="L123" s="2275"/>
      <c r="M123" s="2275"/>
      <c r="N123" s="2275"/>
      <c r="O123" s="2275"/>
      <c r="P123" s="2276"/>
    </row>
    <row r="124" spans="1:16" s="332" customFormat="1" ht="6.6" customHeight="1">
      <c r="A124" s="548"/>
      <c r="B124" s="548"/>
      <c r="C124" s="1214"/>
      <c r="D124" s="1214"/>
      <c r="E124" s="1214"/>
      <c r="F124" s="1222"/>
      <c r="G124" s="1222"/>
      <c r="H124" s="1222"/>
      <c r="I124" s="1222"/>
      <c r="J124" s="1264"/>
      <c r="K124" s="1222"/>
      <c r="L124" s="1222"/>
      <c r="N124" s="1220"/>
      <c r="O124" s="1220"/>
      <c r="P124" s="341"/>
    </row>
    <row r="125" spans="1:16" s="332" customFormat="1" ht="13.15" customHeight="1">
      <c r="A125" s="357" t="s">
        <v>378</v>
      </c>
      <c r="B125" s="354" t="s">
        <v>2538</v>
      </c>
      <c r="D125" s="354"/>
      <c r="E125" s="354"/>
      <c r="F125" s="354"/>
      <c r="H125" s="2218" t="s">
        <v>3421</v>
      </c>
      <c r="M125" s="1222"/>
      <c r="N125" s="1220"/>
      <c r="O125" s="1220"/>
      <c r="P125" s="341"/>
    </row>
    <row r="126" spans="1:16" s="332" customFormat="1" ht="3" customHeight="1">
      <c r="A126" s="357"/>
      <c r="B126" s="548"/>
      <c r="C126" s="1217"/>
      <c r="D126" s="1217"/>
      <c r="E126" s="1217"/>
      <c r="F126" s="1217"/>
      <c r="G126" s="1222"/>
      <c r="M126" s="1222"/>
      <c r="N126" s="1220"/>
      <c r="O126" s="1220"/>
    </row>
    <row r="127" spans="1:16" s="332" customFormat="1" ht="13.15" customHeight="1">
      <c r="A127" s="548"/>
      <c r="B127" s="548" t="s">
        <v>2080</v>
      </c>
      <c r="C127" s="338" t="s">
        <v>1797</v>
      </c>
      <c r="H127" s="2218" t="s">
        <v>3421</v>
      </c>
      <c r="M127" s="1222"/>
      <c r="N127" s="1220"/>
      <c r="O127" s="1220"/>
      <c r="P127" s="341"/>
    </row>
    <row r="128" spans="1:16" s="332" customFormat="1" ht="13.15" customHeight="1">
      <c r="A128" s="548"/>
      <c r="B128" s="548"/>
      <c r="C128" s="1214" t="s">
        <v>2540</v>
      </c>
      <c r="D128" s="1214"/>
      <c r="E128" s="1214"/>
      <c r="F128" s="1222"/>
      <c r="H128" s="2277">
        <v>1993</v>
      </c>
      <c r="N128" s="1220"/>
      <c r="O128" s="1220"/>
      <c r="P128" s="341"/>
    </row>
    <row r="129" spans="1:16" s="332" customFormat="1" ht="13.15" customHeight="1">
      <c r="A129" s="548"/>
      <c r="B129" s="548"/>
      <c r="C129" s="362" t="s">
        <v>1796</v>
      </c>
      <c r="D129" s="337"/>
      <c r="H129" s="2204" t="s">
        <v>4501</v>
      </c>
      <c r="I129" s="2206"/>
      <c r="P129" s="341"/>
    </row>
    <row r="130" spans="1:16" s="332" customFormat="1" ht="13.15" customHeight="1">
      <c r="A130" s="548"/>
      <c r="B130" s="548"/>
      <c r="C130" s="1214" t="s">
        <v>2541</v>
      </c>
      <c r="D130" s="1214"/>
      <c r="E130" s="1214"/>
      <c r="F130" s="1222"/>
      <c r="H130" s="2277">
        <v>1995</v>
      </c>
      <c r="K130" s="302" t="s">
        <v>2353</v>
      </c>
      <c r="O130" s="2204" t="s">
        <v>4502</v>
      </c>
      <c r="P130" s="2206"/>
    </row>
    <row r="131" spans="1:16" s="332" customFormat="1" ht="13.15" customHeight="1">
      <c r="A131" s="548"/>
      <c r="B131" s="548"/>
      <c r="C131" s="1214" t="s">
        <v>2539</v>
      </c>
      <c r="F131" s="1222"/>
      <c r="H131" s="2266" t="s">
        <v>3421</v>
      </c>
      <c r="K131" s="302" t="s">
        <v>2354</v>
      </c>
      <c r="O131" s="2204" t="s">
        <v>4557</v>
      </c>
      <c r="P131" s="2206"/>
    </row>
    <row r="132" spans="1:16" s="332" customFormat="1" ht="13.15" customHeight="1">
      <c r="A132" s="548"/>
      <c r="B132" s="548"/>
      <c r="C132" s="1214" t="s">
        <v>2267</v>
      </c>
      <c r="D132" s="1214"/>
      <c r="E132" s="1214"/>
      <c r="F132" s="1222"/>
      <c r="H132" s="2262">
        <v>40310</v>
      </c>
      <c r="I132" s="2263"/>
      <c r="N132" s="1220"/>
      <c r="O132" s="1220"/>
      <c r="P132" s="341"/>
    </row>
    <row r="133" spans="1:16" s="332" customFormat="1" ht="3" customHeight="1">
      <c r="A133" s="548"/>
      <c r="B133" s="548"/>
      <c r="C133" s="1214"/>
      <c r="D133" s="1214"/>
      <c r="E133" s="1214"/>
      <c r="F133" s="1222"/>
      <c r="N133" s="1220"/>
      <c r="O133" s="1220"/>
      <c r="P133" s="341"/>
    </row>
    <row r="134" spans="1:16" s="332" customFormat="1" ht="13.15" customHeight="1">
      <c r="A134" s="548"/>
      <c r="B134" s="548" t="s">
        <v>2083</v>
      </c>
      <c r="C134" s="1217" t="s">
        <v>2612</v>
      </c>
      <c r="D134" s="1214"/>
      <c r="E134" s="1214"/>
      <c r="F134" s="1222"/>
      <c r="H134" s="2266" t="s">
        <v>3424</v>
      </c>
      <c r="N134" s="1220"/>
      <c r="O134" s="1220"/>
      <c r="P134" s="341"/>
    </row>
    <row r="135" spans="1:16" s="332" customFormat="1" ht="3" customHeight="1">
      <c r="A135" s="548"/>
      <c r="B135" s="548"/>
      <c r="C135" s="1214"/>
      <c r="D135" s="1214"/>
      <c r="E135" s="1214"/>
      <c r="F135" s="1222"/>
      <c r="G135" s="1222"/>
      <c r="M135" s="1222"/>
      <c r="N135" s="1220"/>
      <c r="O135" s="1220"/>
      <c r="P135" s="341"/>
    </row>
    <row r="136" spans="1:16" s="332" customFormat="1" ht="13.15" customHeight="1">
      <c r="A136" s="548"/>
      <c r="B136" s="548" t="s">
        <v>788</v>
      </c>
      <c r="C136" s="1217" t="s">
        <v>2863</v>
      </c>
      <c r="D136" s="1214"/>
      <c r="E136" s="1214"/>
      <c r="F136" s="1222"/>
      <c r="G136" s="1222"/>
      <c r="N136" s="1220"/>
      <c r="O136" s="1220"/>
      <c r="P136" s="341"/>
    </row>
    <row r="137" spans="1:16" s="332" customFormat="1" ht="13.15" customHeight="1">
      <c r="A137" s="548"/>
      <c r="B137" s="548"/>
      <c r="C137" s="1214" t="s">
        <v>757</v>
      </c>
      <c r="D137" s="1214"/>
      <c r="E137" s="1214"/>
      <c r="F137" s="1222"/>
      <c r="G137" s="1222"/>
      <c r="H137" s="2266" t="s">
        <v>3424</v>
      </c>
      <c r="K137" s="1214" t="s">
        <v>1610</v>
      </c>
      <c r="L137" s="1214"/>
      <c r="M137" s="1222"/>
      <c r="N137" s="1222"/>
      <c r="O137" s="2266" t="s">
        <v>3424</v>
      </c>
      <c r="P137" s="341"/>
    </row>
    <row r="138" spans="1:16" s="332" customFormat="1" ht="6" customHeight="1">
      <c r="A138" s="548"/>
      <c r="B138" s="548"/>
      <c r="C138" s="1214"/>
      <c r="D138" s="1214"/>
      <c r="E138" s="1214"/>
      <c r="F138" s="1222"/>
      <c r="G138" s="1222"/>
      <c r="H138" s="1222"/>
      <c r="I138" s="1222"/>
      <c r="J138" s="1264"/>
      <c r="K138" s="1222"/>
      <c r="L138" s="1222"/>
      <c r="N138" s="1220"/>
      <c r="O138" s="1220"/>
      <c r="P138" s="341"/>
    </row>
    <row r="139" spans="1:16" s="332" customFormat="1" ht="13.15" customHeight="1">
      <c r="A139" s="357" t="s">
        <v>1812</v>
      </c>
      <c r="B139" s="354" t="s">
        <v>1245</v>
      </c>
      <c r="D139" s="354"/>
      <c r="E139" s="354"/>
      <c r="F139" s="354"/>
      <c r="G139" s="1222"/>
      <c r="H139" s="1222"/>
      <c r="I139" s="1222"/>
      <c r="J139" s="1264"/>
      <c r="K139" s="1222"/>
      <c r="L139" s="1222"/>
      <c r="N139" s="1220"/>
      <c r="O139" s="1220"/>
      <c r="P139" s="341"/>
    </row>
    <row r="140" spans="1:16" s="332" customFormat="1" ht="1.9" customHeight="1">
      <c r="A140" s="357"/>
      <c r="B140" s="548"/>
      <c r="C140" s="1217"/>
      <c r="D140" s="1217"/>
      <c r="E140" s="1217"/>
      <c r="F140" s="1217"/>
      <c r="G140" s="1222"/>
      <c r="H140" s="1222"/>
      <c r="I140" s="1222"/>
      <c r="J140" s="1264"/>
      <c r="K140" s="1222"/>
      <c r="L140" s="1222"/>
      <c r="N140" s="1220"/>
      <c r="O140" s="1220"/>
    </row>
    <row r="141" spans="1:16" s="332" customFormat="1" ht="13.15" customHeight="1">
      <c r="A141" s="548"/>
      <c r="B141" s="548" t="s">
        <v>2080</v>
      </c>
      <c r="C141" s="346" t="s">
        <v>1913</v>
      </c>
      <c r="F141" s="1222"/>
      <c r="G141" s="1222"/>
      <c r="H141" s="1222"/>
      <c r="I141" s="1222"/>
      <c r="J141" s="1264"/>
      <c r="K141" s="1222"/>
      <c r="L141" s="1222"/>
      <c r="N141" s="1220"/>
      <c r="O141" s="1220"/>
      <c r="P141" s="341"/>
    </row>
    <row r="142" spans="1:16" s="332" customFormat="1" ht="12.6" customHeight="1">
      <c r="A142" s="548"/>
      <c r="B142" s="548"/>
      <c r="C142" s="353" t="s">
        <v>1602</v>
      </c>
      <c r="D142" s="1264"/>
      <c r="E142" s="1264"/>
      <c r="F142" s="1222"/>
      <c r="G142" s="1222"/>
      <c r="H142" s="1222"/>
      <c r="I142" s="1222"/>
      <c r="K142" s="2266" t="s">
        <v>3424</v>
      </c>
      <c r="N142" s="1220"/>
      <c r="O142" s="1220"/>
      <c r="P142" s="341"/>
    </row>
    <row r="143" spans="1:16" s="332" customFormat="1" ht="12.6" customHeight="1">
      <c r="A143" s="548"/>
      <c r="B143" s="548"/>
      <c r="C143" s="332" t="s">
        <v>645</v>
      </c>
      <c r="K143" s="2256"/>
      <c r="L143" s="337" t="s">
        <v>1882</v>
      </c>
      <c r="P143" s="363">
        <f>IF('Part VI-Revenues &amp; Expenses'!$M$60=0,0,K143/'Part VI-Revenues &amp; Expenses'!$M$60)</f>
        <v>0</v>
      </c>
    </row>
    <row r="144" spans="1:16" s="332" customFormat="1" ht="12.6" customHeight="1">
      <c r="A144" s="548"/>
      <c r="B144" s="548"/>
      <c r="C144" s="332" t="s">
        <v>2268</v>
      </c>
      <c r="K144" s="2256"/>
      <c r="L144" s="337" t="s">
        <v>1882</v>
      </c>
      <c r="P144" s="363">
        <f>IF('Part VI-Revenues &amp; Expenses'!$M$60=0,0,K144/'Part VI-Revenues &amp; Expenses'!$M$60)</f>
        <v>0</v>
      </c>
    </row>
    <row r="145" spans="1:16" s="332" customFormat="1" ht="12.6" customHeight="1">
      <c r="A145" s="548"/>
      <c r="B145" s="548"/>
      <c r="C145" s="332" t="s">
        <v>1883</v>
      </c>
      <c r="E145" s="2204"/>
      <c r="F145" s="2205"/>
      <c r="G145" s="2205"/>
      <c r="H145" s="2205"/>
      <c r="I145" s="2205"/>
      <c r="J145" s="2205"/>
      <c r="K145" s="2206"/>
      <c r="L145" s="364" t="s">
        <v>1884</v>
      </c>
      <c r="M145" s="2204"/>
      <c r="N145" s="2205"/>
      <c r="O145" s="2205"/>
      <c r="P145" s="2206"/>
    </row>
    <row r="146" spans="1:16" s="332" customFormat="1" ht="12.6" customHeight="1">
      <c r="A146" s="548"/>
      <c r="B146" s="548"/>
      <c r="C146" s="337" t="s">
        <v>1885</v>
      </c>
      <c r="D146" s="344"/>
      <c r="E146" s="2204"/>
      <c r="F146" s="2205"/>
      <c r="G146" s="2205"/>
      <c r="H146" s="2205"/>
      <c r="I146" s="2205"/>
      <c r="J146" s="2205"/>
      <c r="K146" s="2278"/>
      <c r="L146" s="1215" t="s">
        <v>1887</v>
      </c>
      <c r="M146" s="2219"/>
      <c r="N146" s="2220"/>
      <c r="O146" s="2220"/>
      <c r="P146" s="2221"/>
    </row>
    <row r="147" spans="1:16" s="332" customFormat="1" ht="12.6" customHeight="1">
      <c r="A147" s="548"/>
      <c r="B147" s="548"/>
      <c r="C147" s="337" t="s">
        <v>648</v>
      </c>
      <c r="E147" s="2204"/>
      <c r="F147" s="2205"/>
      <c r="G147" s="2205"/>
      <c r="H147" s="2206"/>
      <c r="I147" s="359" t="s">
        <v>2335</v>
      </c>
      <c r="J147" s="2215"/>
      <c r="K147" s="2216"/>
      <c r="L147" s="364" t="s">
        <v>1890</v>
      </c>
      <c r="M147" s="2212"/>
      <c r="N147" s="2217"/>
      <c r="O147" s="2213"/>
    </row>
    <row r="148" spans="1:16" s="332" customFormat="1" ht="12.6" customHeight="1">
      <c r="A148" s="548"/>
      <c r="B148" s="548"/>
      <c r="C148" s="337" t="s">
        <v>1888</v>
      </c>
      <c r="E148" s="2212"/>
      <c r="F148" s="2217"/>
      <c r="G148" s="2213"/>
      <c r="H148" s="365" t="s">
        <v>1889</v>
      </c>
      <c r="I148" s="2212"/>
      <c r="J148" s="2217"/>
      <c r="K148" s="2213"/>
      <c r="L148" s="366" t="s">
        <v>2076</v>
      </c>
      <c r="M148" s="2212"/>
      <c r="N148" s="2217"/>
      <c r="O148" s="2213"/>
    </row>
    <row r="149" spans="1:16" s="332" customFormat="1" ht="6" customHeight="1">
      <c r="A149" s="548"/>
      <c r="B149" s="548"/>
      <c r="C149" s="337"/>
      <c r="E149" s="1268"/>
      <c r="F149" s="1268"/>
      <c r="G149" s="1268"/>
      <c r="H149" s="1222"/>
      <c r="I149" s="1268"/>
      <c r="J149" s="1268"/>
      <c r="K149" s="1222"/>
      <c r="L149" s="1268"/>
      <c r="M149" s="1268"/>
      <c r="N149" s="1222"/>
      <c r="O149" s="1268"/>
      <c r="P149" s="1268"/>
    </row>
    <row r="150" spans="1:16" s="332" customFormat="1" ht="12.6" customHeight="1">
      <c r="A150" s="548"/>
      <c r="B150" s="548" t="s">
        <v>2083</v>
      </c>
      <c r="C150" s="1217" t="s">
        <v>2871</v>
      </c>
      <c r="D150" s="1217"/>
      <c r="E150" s="1217"/>
      <c r="F150" s="1217"/>
      <c r="G150" s="1217"/>
      <c r="I150" s="2266" t="s">
        <v>3421</v>
      </c>
      <c r="J150" s="1376" t="s">
        <v>801</v>
      </c>
      <c r="K150" s="1377"/>
      <c r="L150" s="2266">
        <v>2045</v>
      </c>
      <c r="M150" s="1373" t="s">
        <v>2434</v>
      </c>
      <c r="N150" s="1374"/>
      <c r="O150" s="1375"/>
      <c r="P150" s="2277">
        <v>5</v>
      </c>
    </row>
    <row r="151" spans="1:16" s="332" customFormat="1" ht="6" customHeight="1">
      <c r="A151" s="548"/>
      <c r="B151" s="548"/>
      <c r="C151" s="1217"/>
      <c r="D151" s="1217"/>
      <c r="E151" s="334"/>
      <c r="F151" s="1217"/>
      <c r="G151" s="1217"/>
      <c r="J151" s="1265"/>
      <c r="K151" s="367"/>
      <c r="M151" s="1220"/>
      <c r="O151" s="1222"/>
      <c r="P151" s="341"/>
    </row>
    <row r="152" spans="1:16" s="332" customFormat="1" ht="12.6" customHeight="1">
      <c r="A152" s="548"/>
      <c r="B152" s="548"/>
      <c r="C152" s="1217" t="s">
        <v>2872</v>
      </c>
      <c r="D152" s="1217"/>
      <c r="E152" s="1217"/>
      <c r="F152" s="1217"/>
      <c r="G152" s="1217"/>
      <c r="I152" s="2266"/>
      <c r="J152" s="1376" t="s">
        <v>801</v>
      </c>
      <c r="K152" s="1377"/>
      <c r="L152" s="2266"/>
      <c r="M152" s="1373" t="s">
        <v>2434</v>
      </c>
      <c r="N152" s="1374"/>
      <c r="O152" s="1375"/>
      <c r="P152" s="2277">
        <v>5</v>
      </c>
    </row>
    <row r="153" spans="1:16" s="332" customFormat="1" ht="6" customHeight="1">
      <c r="A153" s="548"/>
      <c r="B153" s="548"/>
      <c r="C153" s="1217"/>
      <c r="D153" s="1217"/>
      <c r="E153" s="334"/>
      <c r="F153" s="1217"/>
      <c r="G153" s="1217"/>
      <c r="J153" s="1265"/>
      <c r="K153" s="367"/>
      <c r="M153" s="1220"/>
      <c r="O153" s="1222"/>
      <c r="P153" s="341"/>
    </row>
    <row r="154" spans="1:16" s="332" customFormat="1" ht="12.6" customHeight="1">
      <c r="A154" s="548"/>
      <c r="B154" s="548" t="s">
        <v>788</v>
      </c>
      <c r="C154" s="1217" t="s">
        <v>1844</v>
      </c>
      <c r="D154" s="1217"/>
      <c r="E154" s="1217"/>
      <c r="F154" s="1217"/>
      <c r="G154" s="1217"/>
      <c r="I154" s="2266" t="s">
        <v>3424</v>
      </c>
      <c r="L154" s="302"/>
      <c r="M154" s="302"/>
      <c r="P154" s="341"/>
    </row>
    <row r="155" spans="1:16" s="332" customFormat="1" ht="6" customHeight="1">
      <c r="A155" s="548"/>
      <c r="B155" s="548"/>
      <c r="C155" s="337"/>
      <c r="E155" s="1268"/>
      <c r="F155" s="1268"/>
      <c r="G155" s="1268"/>
      <c r="I155" s="1268"/>
      <c r="J155" s="1268"/>
      <c r="K155" s="1222"/>
      <c r="L155" s="1268"/>
      <c r="M155" s="1268"/>
      <c r="N155" s="1222"/>
      <c r="O155" s="1268"/>
      <c r="P155" s="1268"/>
    </row>
    <row r="156" spans="1:16" s="332" customFormat="1" ht="12.6" customHeight="1">
      <c r="A156" s="548"/>
      <c r="B156" s="548" t="s">
        <v>2215</v>
      </c>
      <c r="C156" s="1360" t="s">
        <v>2075</v>
      </c>
      <c r="D156" s="1360"/>
      <c r="E156" s="1360"/>
      <c r="F156" s="1360"/>
      <c r="G156" s="1217"/>
      <c r="I156" s="2266" t="s">
        <v>3421</v>
      </c>
      <c r="J156" s="369" t="s">
        <v>3017</v>
      </c>
      <c r="L156" s="1359" t="s">
        <v>1550</v>
      </c>
      <c r="M156" s="1359"/>
      <c r="N156" s="1217"/>
      <c r="O156" s="1217"/>
      <c r="P156" s="2279">
        <v>42</v>
      </c>
    </row>
    <row r="157" spans="1:16" s="332" customFormat="1" ht="12.6" customHeight="1">
      <c r="B157" s="548"/>
      <c r="L157" s="1356" t="s">
        <v>838</v>
      </c>
      <c r="M157" s="1356"/>
      <c r="N157" s="1217"/>
      <c r="O157" s="1217"/>
      <c r="P157" s="2279">
        <v>41</v>
      </c>
    </row>
    <row r="158" spans="1:16" s="332" customFormat="1" ht="12.6" customHeight="1">
      <c r="A158" s="548"/>
      <c r="B158" s="548"/>
      <c r="L158" s="1356" t="s">
        <v>1878</v>
      </c>
      <c r="M158" s="1356"/>
      <c r="N158" s="1217"/>
      <c r="O158" s="1217"/>
      <c r="P158" s="368">
        <f>IF(P156="","",P157/P156)</f>
        <v>0.97619047619047616</v>
      </c>
    </row>
    <row r="159" spans="1:16" s="332" customFormat="1" ht="13.15" customHeight="1">
      <c r="A159" s="548"/>
      <c r="B159" s="548" t="s">
        <v>1822</v>
      </c>
      <c r="C159" s="300" t="s">
        <v>1686</v>
      </c>
      <c r="D159" s="1214"/>
      <c r="E159" s="1214"/>
      <c r="F159" s="1214"/>
      <c r="G159" s="1214"/>
      <c r="H159" s="1222"/>
      <c r="J159" s="1265"/>
      <c r="K159" s="1264"/>
      <c r="M159" s="1220"/>
      <c r="O159" s="1222"/>
      <c r="P159" s="341"/>
    </row>
    <row r="160" spans="1:16" s="332" customFormat="1" ht="12.6" customHeight="1">
      <c r="A160" s="548"/>
      <c r="B160" s="548"/>
      <c r="C160" s="1220" t="s">
        <v>2316</v>
      </c>
      <c r="D160" s="342"/>
      <c r="E160" s="1220"/>
      <c r="F160" s="1220"/>
      <c r="I160" s="2266" t="s">
        <v>3424</v>
      </c>
      <c r="L160" s="1220" t="s">
        <v>1687</v>
      </c>
      <c r="M160" s="1220"/>
      <c r="N160" s="1220"/>
      <c r="P160" s="2266" t="s">
        <v>3424</v>
      </c>
    </row>
    <row r="161" spans="1:21" s="332" customFormat="1" ht="12.6" customHeight="1">
      <c r="A161" s="548"/>
      <c r="B161" s="548"/>
      <c r="C161" s="1220" t="s">
        <v>2318</v>
      </c>
      <c r="I161" s="2266" t="s">
        <v>3424</v>
      </c>
      <c r="L161" s="1220" t="s">
        <v>3186</v>
      </c>
      <c r="M161" s="1220"/>
      <c r="N161" s="1220"/>
      <c r="P161" s="2266" t="s">
        <v>3424</v>
      </c>
    </row>
    <row r="162" spans="1:21" s="332" customFormat="1" ht="12.6" customHeight="1">
      <c r="A162" s="548"/>
      <c r="C162" s="1220" t="s">
        <v>2895</v>
      </c>
      <c r="I162" s="2266" t="s">
        <v>3424</v>
      </c>
      <c r="L162" s="1220" t="s">
        <v>2848</v>
      </c>
      <c r="N162" s="2280"/>
      <c r="O162" s="2281"/>
      <c r="P162" s="2266" t="s">
        <v>3424</v>
      </c>
    </row>
    <row r="163" spans="1:21" s="332" customFormat="1" ht="12.6" customHeight="1">
      <c r="A163" s="548"/>
      <c r="B163" s="548"/>
      <c r="C163" s="1220" t="s">
        <v>1346</v>
      </c>
      <c r="D163" s="370"/>
      <c r="I163" s="2266" t="s">
        <v>3424</v>
      </c>
      <c r="K163" s="342"/>
      <c r="L163" s="1220" t="s">
        <v>4224</v>
      </c>
      <c r="M163" s="1220"/>
      <c r="N163" s="1220"/>
      <c r="P163" s="2266" t="s">
        <v>3424</v>
      </c>
    </row>
    <row r="164" spans="1:21" s="332" customFormat="1" ht="12.6" customHeight="1">
      <c r="A164" s="548"/>
      <c r="B164" s="334"/>
      <c r="C164" s="1220" t="s">
        <v>1897</v>
      </c>
      <c r="I164" s="2266" t="s">
        <v>3424</v>
      </c>
      <c r="J164" s="369" t="s">
        <v>3018</v>
      </c>
      <c r="O164" s="2282"/>
      <c r="P164" s="2283"/>
    </row>
    <row r="165" spans="1:21" s="332" customFormat="1" ht="12.6" customHeight="1">
      <c r="A165" s="548"/>
      <c r="B165" s="548"/>
      <c r="C165" s="1220" t="s">
        <v>3297</v>
      </c>
      <c r="I165" s="2266" t="s">
        <v>3424</v>
      </c>
      <c r="J165" s="369" t="s">
        <v>3018</v>
      </c>
      <c r="O165" s="2282"/>
      <c r="P165" s="2283"/>
    </row>
    <row r="166" spans="1:21" s="332" customFormat="1" ht="12.6" customHeight="1">
      <c r="A166" s="548"/>
      <c r="B166" s="548"/>
      <c r="C166" s="1220" t="s">
        <v>3298</v>
      </c>
      <c r="I166" s="2266" t="s">
        <v>3424</v>
      </c>
      <c r="J166" s="369" t="s">
        <v>3018</v>
      </c>
      <c r="O166" s="2282"/>
      <c r="P166" s="2283"/>
    </row>
    <row r="167" spans="1:21" s="332" customFormat="1" ht="3" customHeight="1">
      <c r="A167" s="548"/>
      <c r="B167" s="548"/>
      <c r="P167" s="1265"/>
    </row>
    <row r="168" spans="1:21" s="332" customFormat="1" ht="13.15" customHeight="1">
      <c r="B168" s="548" t="s">
        <v>1823</v>
      </c>
      <c r="C168" s="338" t="s">
        <v>778</v>
      </c>
    </row>
    <row r="169" spans="1:21" s="332" customFormat="1" ht="12.6" customHeight="1">
      <c r="A169" s="548"/>
      <c r="B169" s="548"/>
      <c r="C169" s="337" t="s">
        <v>669</v>
      </c>
      <c r="D169" s="1214"/>
      <c r="E169" s="1214"/>
      <c r="F169" s="1222"/>
      <c r="G169" s="1222"/>
      <c r="H169" s="2262">
        <v>42444</v>
      </c>
      <c r="I169" s="2263"/>
      <c r="N169" s="1220"/>
      <c r="O169" s="1220"/>
      <c r="P169" s="341"/>
    </row>
    <row r="170" spans="1:21" s="332" customFormat="1" ht="12.6" customHeight="1">
      <c r="A170" s="548"/>
      <c r="B170" s="548"/>
      <c r="C170" s="337" t="s">
        <v>288</v>
      </c>
      <c r="D170" s="1214"/>
      <c r="E170" s="1214"/>
      <c r="F170" s="1222"/>
      <c r="G170" s="1222"/>
      <c r="H170" s="2262">
        <v>42766</v>
      </c>
      <c r="I170" s="2263"/>
      <c r="N170" s="1220"/>
      <c r="O170" s="1220"/>
      <c r="P170" s="341"/>
    </row>
    <row r="171" spans="1:21" s="332" customFormat="1" ht="12.6" customHeight="1">
      <c r="A171" s="548"/>
      <c r="B171" s="548"/>
      <c r="C171" s="337" t="s">
        <v>2403</v>
      </c>
      <c r="D171" s="1214"/>
      <c r="E171" s="1214"/>
      <c r="F171" s="1222"/>
      <c r="G171" s="1222"/>
      <c r="H171" s="2262"/>
      <c r="I171" s="2263"/>
      <c r="N171" s="1220"/>
      <c r="O171" s="1220"/>
      <c r="P171" s="341"/>
    </row>
    <row r="172" spans="1:21" s="332" customFormat="1" ht="6" customHeight="1">
      <c r="B172" s="334"/>
      <c r="C172" s="1220"/>
      <c r="H172" s="1220"/>
      <c r="L172" s="348"/>
      <c r="M172" s="348"/>
      <c r="N172" s="348"/>
      <c r="O172" s="348"/>
      <c r="P172" s="339"/>
    </row>
    <row r="173" spans="1:21" ht="12" customHeight="1">
      <c r="A173" s="357" t="s">
        <v>3088</v>
      </c>
      <c r="C173" s="357" t="s">
        <v>598</v>
      </c>
      <c r="K173" s="357" t="s">
        <v>2359</v>
      </c>
      <c r="L173" s="357" t="s">
        <v>81</v>
      </c>
    </row>
    <row r="174" spans="1:21" ht="106.5" customHeight="1">
      <c r="A174" s="2284"/>
      <c r="B174" s="2285"/>
      <c r="C174" s="2285"/>
      <c r="D174" s="2285"/>
      <c r="E174" s="2285"/>
      <c r="F174" s="2285"/>
      <c r="G174" s="2285"/>
      <c r="H174" s="2285"/>
      <c r="I174" s="2285"/>
      <c r="J174" s="2286"/>
      <c r="K174" s="2287"/>
      <c r="L174" s="2288"/>
      <c r="M174" s="2288"/>
      <c r="N174" s="2288"/>
      <c r="O174" s="2288"/>
      <c r="P174" s="2289"/>
      <c r="Q174" s="1353" t="s">
        <v>2853</v>
      </c>
      <c r="R174" s="1353"/>
      <c r="S174" s="1353"/>
      <c r="T174" s="1353"/>
      <c r="U174" s="1353"/>
    </row>
    <row r="175" spans="1:21" ht="12" customHeight="1">
      <c r="Q175" s="1353"/>
      <c r="R175" s="1353"/>
      <c r="S175" s="1353"/>
      <c r="T175" s="1353"/>
      <c r="U175" s="1353"/>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90"/>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90"/>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90"/>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90"/>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90"/>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90"/>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90"/>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90"/>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90"/>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90"/>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90"/>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90"/>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90"/>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90"/>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90"/>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90"/>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90"/>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90"/>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90"/>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91"/>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90"/>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90"/>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90"/>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91"/>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90"/>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90"/>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90"/>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90"/>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90"/>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90"/>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90"/>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90"/>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90"/>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90"/>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90"/>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90"/>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90"/>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92"/>
      <c r="Q228" s="2290"/>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90"/>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90"/>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90"/>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91"/>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90"/>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90"/>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92"/>
      <c r="Q236" s="2290"/>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90"/>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90"/>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90"/>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90"/>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90"/>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90"/>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90"/>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92"/>
      <c r="Q244" s="2290"/>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90"/>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90"/>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90"/>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90"/>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90"/>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90"/>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90"/>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90"/>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90"/>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90"/>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90"/>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90"/>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90"/>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90"/>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90"/>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90"/>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90"/>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90"/>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90"/>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90"/>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90"/>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90"/>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90"/>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90"/>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90"/>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90"/>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90"/>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90"/>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90"/>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90"/>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90"/>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90"/>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90"/>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90"/>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90"/>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90"/>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90"/>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90"/>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90"/>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90"/>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90"/>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92"/>
      <c r="Q286" s="2290"/>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90"/>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90"/>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90"/>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90"/>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90"/>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90"/>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90"/>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90"/>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90"/>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90"/>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90"/>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90"/>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90"/>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91"/>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90"/>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90"/>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90"/>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91"/>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90"/>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90"/>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92"/>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90"/>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90"/>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90"/>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91"/>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90"/>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92"/>
      <c r="Q315" s="2290"/>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90"/>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90"/>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90"/>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91"/>
      <c r="Q321" s="2290"/>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90"/>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90"/>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90"/>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90"/>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90"/>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90"/>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90"/>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90"/>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90"/>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90"/>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90"/>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90"/>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90"/>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90"/>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90"/>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90"/>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90"/>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92"/>
      <c r="Q339" s="2290"/>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90"/>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90"/>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90"/>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90"/>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92"/>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92"/>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92"/>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92"/>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92"/>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92"/>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92"/>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92"/>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92"/>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91"/>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92"/>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92"/>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92"/>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92"/>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92"/>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92"/>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92"/>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92"/>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92"/>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92"/>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92"/>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91"/>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91"/>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92"/>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92"/>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91"/>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92"/>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92"/>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92"/>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91"/>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92"/>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92"/>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92"/>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91"/>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92"/>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2688</v>
      </c>
      <c r="S602" s="816" t="s">
        <v>658</v>
      </c>
      <c r="T602" s="2293" t="s">
        <v>2241</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92"/>
      <c r="R603" s="816" t="s">
        <v>2689</v>
      </c>
      <c r="S603" s="816" t="s">
        <v>332</v>
      </c>
      <c r="T603" s="2293" t="s">
        <v>2241</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2690</v>
      </c>
      <c r="S604" s="816" t="s">
        <v>2605</v>
      </c>
      <c r="T604" s="2293" t="s">
        <v>2241</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2691</v>
      </c>
      <c r="S605" s="816"/>
      <c r="T605" s="2293" t="s">
        <v>2241</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2692</v>
      </c>
      <c r="S606" s="816" t="s">
        <v>2105</v>
      </c>
      <c r="T606" s="2293" t="s">
        <v>2241</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2693</v>
      </c>
      <c r="S607" s="816" t="s">
        <v>2605</v>
      </c>
      <c r="T607" s="2293" t="s">
        <v>2241</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2694</v>
      </c>
      <c r="S608" s="816" t="s">
        <v>1391</v>
      </c>
      <c r="T608" s="2293" t="s">
        <v>2241</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2695</v>
      </c>
      <c r="S609" s="816" t="s">
        <v>2107</v>
      </c>
      <c r="T609" s="2293" t="s">
        <v>2241</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2696</v>
      </c>
      <c r="S610" s="816" t="s">
        <v>701</v>
      </c>
      <c r="T610" s="2293" t="s">
        <v>2241</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2697</v>
      </c>
      <c r="S611" s="816" t="s">
        <v>658</v>
      </c>
      <c r="T611" s="2293" t="s">
        <v>2241</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2698</v>
      </c>
      <c r="S612" s="816" t="s">
        <v>2274</v>
      </c>
      <c r="T612" s="2293" t="s">
        <v>2241</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2699</v>
      </c>
      <c r="S613" s="816" t="s">
        <v>2657</v>
      </c>
      <c r="T613" s="2293" t="s">
        <v>2241</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2352</v>
      </c>
      <c r="S614" s="816" t="s">
        <v>2654</v>
      </c>
      <c r="T614" s="2293" t="s">
        <v>2241</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2700</v>
      </c>
      <c r="S615" s="816" t="s">
        <v>2274</v>
      </c>
      <c r="T615" s="2293" t="s">
        <v>2241</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2701</v>
      </c>
      <c r="S616" s="816" t="s">
        <v>2608</v>
      </c>
      <c r="T616" s="2293" t="s">
        <v>2241</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91"/>
      <c r="R617" s="816" t="s">
        <v>2702</v>
      </c>
      <c r="S617" s="816" t="s">
        <v>2105</v>
      </c>
      <c r="T617" s="2293" t="s">
        <v>2241</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1095</v>
      </c>
      <c r="S618" s="816" t="s">
        <v>1529</v>
      </c>
      <c r="T618" s="2293" t="s">
        <v>2241</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92"/>
      <c r="R619" s="816" t="s">
        <v>947</v>
      </c>
      <c r="S619" s="816" t="s">
        <v>1153</v>
      </c>
      <c r="T619" s="2293" t="s">
        <v>2241</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1096</v>
      </c>
      <c r="S620" s="816" t="s">
        <v>658</v>
      </c>
      <c r="T620" s="2293" t="s">
        <v>2241</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1097</v>
      </c>
      <c r="S621" s="816" t="s">
        <v>2007</v>
      </c>
      <c r="T621" s="2293" t="s">
        <v>2241</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92"/>
      <c r="R622" s="816" t="s">
        <v>1098</v>
      </c>
      <c r="S622" s="816" t="s">
        <v>2103</v>
      </c>
      <c r="T622" s="2293" t="s">
        <v>2241</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1099</v>
      </c>
      <c r="S623" s="816" t="s">
        <v>1146</v>
      </c>
      <c r="T623" s="2293" t="s">
        <v>2241</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4"/>
      <c r="R624" s="816" t="s">
        <v>1100</v>
      </c>
      <c r="S624" s="816" t="s">
        <v>1595</v>
      </c>
      <c r="T624" s="2293" t="s">
        <v>2241</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1101</v>
      </c>
      <c r="S625" s="816" t="s">
        <v>2605</v>
      </c>
      <c r="T625" s="2293" t="s">
        <v>2241</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92"/>
      <c r="R626" s="816" t="s">
        <v>1102</v>
      </c>
      <c r="S626" s="816" t="s">
        <v>164</v>
      </c>
      <c r="T626" s="2293" t="s">
        <v>2241</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92"/>
      <c r="R627" s="816" t="s">
        <v>1103</v>
      </c>
      <c r="S627" s="816" t="s">
        <v>1398</v>
      </c>
      <c r="T627" s="2293" t="s">
        <v>2241</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1104</v>
      </c>
      <c r="S628" s="816" t="s">
        <v>1595</v>
      </c>
      <c r="T628" s="2293" t="s">
        <v>2241</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1105</v>
      </c>
      <c r="S629" s="816" t="s">
        <v>1160</v>
      </c>
      <c r="T629" s="2293" t="s">
        <v>2241</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1106</v>
      </c>
      <c r="S630" s="816" t="s">
        <v>2103</v>
      </c>
      <c r="T630" s="2293" t="s">
        <v>2241</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869</v>
      </c>
      <c r="S631" s="566" t="s">
        <v>915</v>
      </c>
      <c r="T631" s="2293" t="s">
        <v>2241</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1107</v>
      </c>
      <c r="S632" s="816" t="s">
        <v>2608</v>
      </c>
      <c r="T632" s="2293" t="s">
        <v>2241</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1684</v>
      </c>
      <c r="S633" s="816" t="s">
        <v>2654</v>
      </c>
      <c r="T633" s="2293" t="s">
        <v>2241</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1108</v>
      </c>
      <c r="S634" s="816"/>
      <c r="T634" s="2293" t="s">
        <v>2241</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3" t="s">
        <v>2241</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1109</v>
      </c>
      <c r="S636" s="816" t="s">
        <v>180</v>
      </c>
      <c r="T636" s="2293" t="s">
        <v>2241</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2393</v>
      </c>
      <c r="S637" s="816" t="s">
        <v>1264</v>
      </c>
      <c r="T637" s="2293" t="s">
        <v>2241</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1110</v>
      </c>
      <c r="S638" s="816" t="s">
        <v>658</v>
      </c>
      <c r="T638" s="2293" t="s">
        <v>2241</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1111</v>
      </c>
      <c r="S639" s="816" t="s">
        <v>658</v>
      </c>
      <c r="T639" s="2293" t="s">
        <v>2241</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1112</v>
      </c>
      <c r="S640" s="816" t="s">
        <v>658</v>
      </c>
      <c r="T640" s="2293" t="s">
        <v>2241</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1113</v>
      </c>
      <c r="S641" s="816" t="s">
        <v>658</v>
      </c>
      <c r="T641" s="2293" t="s">
        <v>2241</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1114</v>
      </c>
      <c r="S642" s="816" t="s">
        <v>1747</v>
      </c>
      <c r="T642" s="2293" t="s">
        <v>2241</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1115</v>
      </c>
      <c r="S643" s="816" t="s">
        <v>999</v>
      </c>
      <c r="T643" s="2293" t="s">
        <v>2241</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1116</v>
      </c>
      <c r="S644" s="816" t="s">
        <v>124</v>
      </c>
      <c r="T644" s="2293" t="s">
        <v>2241</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92"/>
      <c r="R645" s="816" t="s">
        <v>1117</v>
      </c>
      <c r="S645" s="816" t="s">
        <v>658</v>
      </c>
      <c r="T645" s="2293" t="s">
        <v>2241</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1118</v>
      </c>
      <c r="S646" s="816" t="s">
        <v>329</v>
      </c>
      <c r="T646" s="2293" t="s">
        <v>2241</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1119</v>
      </c>
      <c r="S647" s="816" t="s">
        <v>333</v>
      </c>
      <c r="T647" s="2293" t="s">
        <v>2241</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873</v>
      </c>
      <c r="S648" s="816" t="s">
        <v>1377</v>
      </c>
      <c r="T648" s="2293" t="s">
        <v>2241</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1120</v>
      </c>
      <c r="S649" s="816" t="s">
        <v>701</v>
      </c>
      <c r="T649" s="2293" t="s">
        <v>2241</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1121</v>
      </c>
      <c r="S650" s="816" t="s">
        <v>1595</v>
      </c>
      <c r="T650" s="2293" t="s">
        <v>2241</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1122</v>
      </c>
      <c r="S651" s="816" t="s">
        <v>658</v>
      </c>
      <c r="T651" s="2293" t="s">
        <v>2241</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1123</v>
      </c>
      <c r="S652" s="816" t="s">
        <v>693</v>
      </c>
      <c r="T652" s="2293" t="s">
        <v>2241</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1124</v>
      </c>
      <c r="S653" s="816" t="s">
        <v>164</v>
      </c>
      <c r="T653" s="2293" t="s">
        <v>2241</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91"/>
      <c r="R654" s="816" t="s">
        <v>1125</v>
      </c>
      <c r="S654" s="816" t="s">
        <v>2007</v>
      </c>
      <c r="T654" s="2293" t="s">
        <v>2241</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92"/>
      <c r="R655" s="816" t="s">
        <v>1126</v>
      </c>
      <c r="S655" s="816" t="s">
        <v>2103</v>
      </c>
      <c r="T655" s="2293" t="s">
        <v>2241</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1127</v>
      </c>
      <c r="S656" s="816" t="s">
        <v>658</v>
      </c>
      <c r="T656" s="2293" t="s">
        <v>2241</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1128</v>
      </c>
      <c r="S657" s="816" t="s">
        <v>1747</v>
      </c>
      <c r="T657" s="2293" t="s">
        <v>2241</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92"/>
      <c r="R658" s="816" t="s">
        <v>1129</v>
      </c>
      <c r="S658" s="816" t="s">
        <v>2608</v>
      </c>
      <c r="T658" s="2293" t="s">
        <v>2241</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1130</v>
      </c>
      <c r="S659" s="816" t="s">
        <v>164</v>
      </c>
      <c r="T659" s="2293" t="s">
        <v>2241</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1131</v>
      </c>
      <c r="S660" s="816" t="s">
        <v>164</v>
      </c>
      <c r="T660" s="2293" t="s">
        <v>2241</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92"/>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92"/>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92"/>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92"/>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92"/>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92"/>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4"/>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91"/>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92"/>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92"/>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91"/>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92"/>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91"/>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92"/>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92"/>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TTRrb0tHH8DWA8fXTvMd9gc4K93XZY0WdfXHSdgl6llgWBYQzMewdaefhg0nYbyXCw40UumbWWV+oMNzDvPrNg==" saltValue="RdvU357CMsJK6AWF0oMCMg=="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Normal="10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79" t="str">
        <f>CONCATENATE("PART TWO - DEVELOPMENT TEAM INFORMATION","  -  ",'Part I-Project Information'!$O$4," ",'Part I-Project Information'!$F$24,", ",'Part I-Project Information'!F28,", ",'Part I-Project Information'!J29," County")</f>
        <v>PART TWO - DEVELOPMENT TEAM INFORMATION  -  2015-026 Arbor Trace Apartments Phase II, Lake Park, Lowndes County</v>
      </c>
      <c r="B1" s="1380"/>
      <c r="C1" s="1380"/>
      <c r="D1" s="1380"/>
      <c r="E1" s="1380"/>
      <c r="F1" s="1380"/>
      <c r="G1" s="1380"/>
      <c r="H1" s="1380"/>
      <c r="I1" s="1380"/>
      <c r="J1" s="1380"/>
      <c r="K1" s="1380"/>
      <c r="L1" s="1380"/>
      <c r="M1" s="1380"/>
      <c r="N1" s="1380"/>
      <c r="O1" s="1380"/>
      <c r="P1" s="1380"/>
      <c r="Q1" s="1380"/>
      <c r="R1" s="1380"/>
      <c r="S1" s="1381"/>
    </row>
    <row r="2" spans="1:26" ht="12" customHeight="1">
      <c r="J2" s="1724" t="s">
        <v>4383</v>
      </c>
      <c r="K2" s="1725"/>
      <c r="L2" s="1726"/>
    </row>
    <row r="3" spans="1:26" s="332" customFormat="1" ht="13.15" customHeight="1">
      <c r="A3" s="334" t="s">
        <v>646</v>
      </c>
      <c r="B3" s="338" t="s">
        <v>1950</v>
      </c>
      <c r="C3" s="338"/>
      <c r="E3" s="338"/>
      <c r="F3" s="338"/>
      <c r="G3" s="338"/>
      <c r="H3" s="641" t="s">
        <v>4020</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2080</v>
      </c>
      <c r="C5" s="338" t="s">
        <v>1946</v>
      </c>
      <c r="H5" s="2228" t="s">
        <v>4409</v>
      </c>
      <c r="I5" s="2295"/>
      <c r="J5" s="2295"/>
      <c r="K5" s="2295"/>
      <c r="L5" s="2295"/>
      <c r="M5" s="2295"/>
      <c r="N5" s="2296"/>
      <c r="O5" s="1215" t="s">
        <v>2087</v>
      </c>
      <c r="P5" s="1215"/>
      <c r="Q5" s="2228" t="s">
        <v>4405</v>
      </c>
      <c r="R5" s="2295"/>
      <c r="S5" s="2296"/>
    </row>
    <row r="6" spans="1:26" s="332" customFormat="1" ht="11.25" customHeight="1">
      <c r="D6" s="372"/>
      <c r="E6" s="337" t="s">
        <v>1070</v>
      </c>
      <c r="F6" s="344"/>
      <c r="H6" s="2228" t="s">
        <v>4387</v>
      </c>
      <c r="I6" s="2295"/>
      <c r="J6" s="2295"/>
      <c r="K6" s="2295"/>
      <c r="L6" s="2295"/>
      <c r="M6" s="2295"/>
      <c r="N6" s="2296"/>
      <c r="O6" s="1215" t="s">
        <v>1834</v>
      </c>
      <c r="Q6" s="2228" t="s">
        <v>4406</v>
      </c>
      <c r="R6" s="2295"/>
      <c r="S6" s="2296"/>
    </row>
    <row r="7" spans="1:26" s="332" customFormat="1" ht="11.25" customHeight="1">
      <c r="D7" s="372"/>
      <c r="E7" s="337" t="s">
        <v>648</v>
      </c>
      <c r="H7" s="2228" t="s">
        <v>1780</v>
      </c>
      <c r="I7" s="2295"/>
      <c r="J7" s="2296"/>
      <c r="K7" s="2297" t="s">
        <v>802</v>
      </c>
      <c r="L7" s="2228"/>
      <c r="M7" s="2295"/>
      <c r="N7" s="2296"/>
      <c r="O7" s="1215" t="s">
        <v>1890</v>
      </c>
      <c r="Q7" s="2253"/>
      <c r="R7" s="2298"/>
      <c r="S7" s="2254"/>
    </row>
    <row r="8" spans="1:26" s="332" customFormat="1" ht="11.25" customHeight="1">
      <c r="D8" s="372"/>
      <c r="E8" s="337" t="s">
        <v>1886</v>
      </c>
      <c r="H8" s="2299" t="s">
        <v>889</v>
      </c>
      <c r="I8" s="1222" t="s">
        <v>1345</v>
      </c>
      <c r="J8" s="2300">
        <v>316026408</v>
      </c>
      <c r="K8" s="2296"/>
      <c r="L8" s="2301" t="s">
        <v>4407</v>
      </c>
      <c r="M8" s="2302">
        <v>103.02</v>
      </c>
      <c r="N8" s="2303"/>
      <c r="O8" s="1215" t="s">
        <v>2076</v>
      </c>
      <c r="Q8" s="2253">
        <v>2292921316</v>
      </c>
      <c r="R8" s="2298"/>
      <c r="S8" s="2254"/>
    </row>
    <row r="9" spans="1:26" s="332" customFormat="1" ht="11.25" customHeight="1">
      <c r="D9" s="372"/>
      <c r="E9" s="337" t="s">
        <v>2082</v>
      </c>
      <c r="H9" s="2253">
        <v>2292479956</v>
      </c>
      <c r="I9" s="2254"/>
      <c r="J9" s="2304">
        <v>212</v>
      </c>
      <c r="K9" s="1222" t="s">
        <v>1889</v>
      </c>
      <c r="L9" s="2305">
        <v>2292451173</v>
      </c>
      <c r="M9" s="2306"/>
      <c r="N9" s="339" t="s">
        <v>2081</v>
      </c>
      <c r="O9" s="2307" t="s">
        <v>4408</v>
      </c>
      <c r="P9" s="2308"/>
      <c r="Q9" s="2308"/>
      <c r="R9" s="2308"/>
      <c r="S9" s="2309"/>
    </row>
    <row r="10" spans="1:26" s="332" customFormat="1" ht="11.25" customHeight="1">
      <c r="D10" s="372"/>
      <c r="E10" s="325" t="s">
        <v>2918</v>
      </c>
      <c r="H10" s="1268"/>
      <c r="K10" s="301"/>
      <c r="N10" s="402" t="s">
        <v>4360</v>
      </c>
      <c r="Q10" s="1222"/>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2083</v>
      </c>
      <c r="C12" s="338" t="s">
        <v>1947</v>
      </c>
      <c r="F12" s="338"/>
      <c r="G12" s="338"/>
      <c r="H12" s="338"/>
      <c r="I12" s="338"/>
      <c r="J12" s="338"/>
      <c r="N12" s="2310" t="s">
        <v>1344</v>
      </c>
      <c r="W12" s="2310"/>
      <c r="X12" s="2310"/>
      <c r="Y12" s="2310"/>
      <c r="Z12" s="2310"/>
    </row>
    <row r="13" spans="1:26" s="332" customFormat="1" ht="11.25" customHeight="1">
      <c r="C13" s="374" t="s">
        <v>2084</v>
      </c>
      <c r="D13" s="371" t="s">
        <v>2085</v>
      </c>
      <c r="H13" s="1220"/>
      <c r="I13" s="1220"/>
      <c r="J13" s="1220"/>
      <c r="N13" s="1205"/>
      <c r="W13" s="2311"/>
      <c r="X13" s="2311"/>
      <c r="Y13" s="2311"/>
      <c r="Z13" s="2311"/>
    </row>
    <row r="14" spans="1:26" s="332" customFormat="1" ht="11.25" customHeight="1">
      <c r="D14" s="334" t="s">
        <v>2216</v>
      </c>
      <c r="E14" s="332" t="s">
        <v>1948</v>
      </c>
      <c r="H14" s="2228" t="s">
        <v>4411</v>
      </c>
      <c r="I14" s="2295"/>
      <c r="J14" s="2295"/>
      <c r="K14" s="2295"/>
      <c r="L14" s="2295"/>
      <c r="M14" s="2295"/>
      <c r="N14" s="2296"/>
      <c r="O14" s="1215" t="s">
        <v>2087</v>
      </c>
      <c r="P14" s="1215"/>
      <c r="Q14" s="2228" t="s">
        <v>4405</v>
      </c>
      <c r="R14" s="2295"/>
      <c r="S14" s="2296"/>
    </row>
    <row r="15" spans="1:26" s="332" customFormat="1" ht="11.25" customHeight="1">
      <c r="D15" s="372"/>
      <c r="E15" s="337" t="s">
        <v>1070</v>
      </c>
      <c r="F15" s="344"/>
      <c r="H15" s="2228" t="s">
        <v>4387</v>
      </c>
      <c r="I15" s="2295"/>
      <c r="J15" s="2295"/>
      <c r="K15" s="2295"/>
      <c r="L15" s="2295"/>
      <c r="M15" s="2295"/>
      <c r="N15" s="2296"/>
      <c r="O15" s="1215" t="s">
        <v>1834</v>
      </c>
      <c r="Q15" s="2228" t="s">
        <v>4410</v>
      </c>
      <c r="R15" s="2295"/>
      <c r="S15" s="2296"/>
    </row>
    <row r="16" spans="1:26" s="332" customFormat="1" ht="11.25" customHeight="1">
      <c r="D16" s="372"/>
      <c r="E16" s="337" t="s">
        <v>648</v>
      </c>
      <c r="H16" s="2228" t="s">
        <v>1780</v>
      </c>
      <c r="I16" s="2295"/>
      <c r="J16" s="2296"/>
      <c r="K16" s="1212" t="s">
        <v>2873</v>
      </c>
      <c r="L16" s="2228"/>
      <c r="M16" s="2295"/>
      <c r="N16" s="2296"/>
      <c r="O16" s="1215" t="s">
        <v>1890</v>
      </c>
      <c r="Q16" s="2253"/>
      <c r="R16" s="2298"/>
      <c r="S16" s="2254"/>
    </row>
    <row r="17" spans="3:19" s="332" customFormat="1" ht="11.25" customHeight="1">
      <c r="D17" s="334"/>
      <c r="E17" s="337" t="s">
        <v>1886</v>
      </c>
      <c r="H17" s="2299" t="s">
        <v>889</v>
      </c>
      <c r="I17" s="1222" t="s">
        <v>1345</v>
      </c>
      <c r="J17" s="2300">
        <v>316026408</v>
      </c>
      <c r="K17" s="2296"/>
      <c r="O17" s="1215" t="s">
        <v>2076</v>
      </c>
      <c r="Q17" s="2253">
        <v>2292921316</v>
      </c>
      <c r="R17" s="2298"/>
      <c r="S17" s="2254"/>
    </row>
    <row r="18" spans="3:19" s="332" customFormat="1" ht="11.25" customHeight="1">
      <c r="D18" s="372"/>
      <c r="E18" s="337" t="s">
        <v>2082</v>
      </c>
      <c r="H18" s="2253">
        <v>2292479956</v>
      </c>
      <c r="I18" s="2254"/>
      <c r="J18" s="2304">
        <v>212</v>
      </c>
      <c r="K18" s="1222" t="s">
        <v>1889</v>
      </c>
      <c r="L18" s="2305">
        <v>2292451173</v>
      </c>
      <c r="M18" s="2296"/>
      <c r="N18" s="339" t="s">
        <v>2081</v>
      </c>
      <c r="O18" s="2307" t="s">
        <v>4408</v>
      </c>
      <c r="P18" s="2308"/>
      <c r="Q18" s="2308"/>
      <c r="R18" s="2308"/>
      <c r="S18" s="2309"/>
    </row>
    <row r="19" spans="3:19" ht="4.1500000000000004" customHeight="1">
      <c r="D19" s="357"/>
      <c r="H19" s="2312"/>
      <c r="I19" s="2312"/>
      <c r="J19" s="2312"/>
      <c r="K19" s="1222"/>
      <c r="L19" s="2312"/>
      <c r="M19" s="2312"/>
      <c r="N19" s="1216"/>
      <c r="O19" s="1206"/>
      <c r="P19" s="1206"/>
      <c r="Q19" s="1222"/>
      <c r="R19" s="1206"/>
      <c r="S19" s="1206"/>
    </row>
    <row r="20" spans="3:19" s="332" customFormat="1" ht="11.25" customHeight="1">
      <c r="D20" s="334" t="s">
        <v>2217</v>
      </c>
      <c r="E20" s="332" t="s">
        <v>1949</v>
      </c>
      <c r="F20" s="1220"/>
      <c r="H20" s="2204"/>
      <c r="I20" s="2264"/>
      <c r="J20" s="2264"/>
      <c r="K20" s="2264"/>
      <c r="L20" s="2264"/>
      <c r="M20" s="2264"/>
      <c r="N20" s="2265"/>
      <c r="O20" s="1215" t="s">
        <v>2087</v>
      </c>
      <c r="P20" s="1215"/>
      <c r="Q20" s="2204"/>
      <c r="R20" s="2264"/>
      <c r="S20" s="2265"/>
    </row>
    <row r="21" spans="3:19" s="332" customFormat="1" ht="11.25" customHeight="1">
      <c r="D21" s="372"/>
      <c r="E21" s="337" t="s">
        <v>1070</v>
      </c>
      <c r="F21" s="344"/>
      <c r="H21" s="2204"/>
      <c r="I21" s="2264"/>
      <c r="J21" s="2264"/>
      <c r="K21" s="2264"/>
      <c r="L21" s="2264"/>
      <c r="M21" s="2264"/>
      <c r="N21" s="2265"/>
      <c r="O21" s="1215" t="s">
        <v>1834</v>
      </c>
      <c r="Q21" s="2204"/>
      <c r="R21" s="2264"/>
      <c r="S21" s="2265"/>
    </row>
    <row r="22" spans="3:19" s="332" customFormat="1" ht="11.25" customHeight="1">
      <c r="D22" s="372"/>
      <c r="E22" s="337" t="s">
        <v>648</v>
      </c>
      <c r="H22" s="2204"/>
      <c r="I22" s="2264"/>
      <c r="J22" s="2265"/>
      <c r="K22" s="1212" t="s">
        <v>2873</v>
      </c>
      <c r="L22" s="2204"/>
      <c r="M22" s="2264"/>
      <c r="N22" s="2265"/>
      <c r="O22" s="1215" t="s">
        <v>1890</v>
      </c>
      <c r="Q22" s="2212"/>
      <c r="R22" s="2217"/>
      <c r="S22" s="2213"/>
    </row>
    <row r="23" spans="3:19" s="332" customFormat="1" ht="11.25" customHeight="1">
      <c r="E23" s="337" t="s">
        <v>1886</v>
      </c>
      <c r="H23" s="2218"/>
      <c r="I23" s="359" t="s">
        <v>2335</v>
      </c>
      <c r="J23" s="2215"/>
      <c r="K23" s="2265"/>
      <c r="O23" s="1215" t="s">
        <v>2076</v>
      </c>
      <c r="Q23" s="2212"/>
      <c r="R23" s="2217"/>
      <c r="S23" s="2213"/>
    </row>
    <row r="24" spans="3:19" s="332" customFormat="1" ht="11.25" customHeight="1">
      <c r="D24" s="372"/>
      <c r="E24" s="337" t="s">
        <v>2082</v>
      </c>
      <c r="H24" s="2212"/>
      <c r="I24" s="2213"/>
      <c r="J24" s="2313"/>
      <c r="K24" s="1222" t="s">
        <v>1889</v>
      </c>
      <c r="L24" s="2250"/>
      <c r="M24" s="2265"/>
      <c r="N24" s="339" t="s">
        <v>2081</v>
      </c>
      <c r="O24" s="2219"/>
      <c r="P24" s="2220"/>
      <c r="Q24" s="2220"/>
      <c r="R24" s="2220"/>
      <c r="S24" s="2221"/>
    </row>
    <row r="25" spans="3:19" s="332" customFormat="1" ht="4.1500000000000004" customHeight="1">
      <c r="D25" s="372"/>
      <c r="E25" s="1220"/>
      <c r="F25" s="1220"/>
      <c r="G25" s="1215"/>
      <c r="H25" s="2312"/>
      <c r="I25" s="2312"/>
      <c r="J25" s="2312"/>
      <c r="K25" s="1222"/>
      <c r="L25" s="2312"/>
      <c r="M25" s="2312"/>
      <c r="N25" s="1216"/>
      <c r="O25" s="1206"/>
      <c r="P25" s="1206"/>
      <c r="Q25" s="1222"/>
      <c r="R25" s="1206"/>
      <c r="S25" s="1206"/>
    </row>
    <row r="26" spans="3:19" s="332" customFormat="1" ht="11.25" customHeight="1">
      <c r="D26" s="334" t="s">
        <v>1821</v>
      </c>
      <c r="E26" s="332" t="s">
        <v>1949</v>
      </c>
      <c r="F26" s="1220"/>
      <c r="H26" s="2204"/>
      <c r="I26" s="2264"/>
      <c r="J26" s="2264"/>
      <c r="K26" s="2264"/>
      <c r="L26" s="2264"/>
      <c r="M26" s="2264"/>
      <c r="N26" s="2265"/>
      <c r="O26" s="1215" t="s">
        <v>2087</v>
      </c>
      <c r="P26" s="1215"/>
      <c r="Q26" s="2204"/>
      <c r="R26" s="2264"/>
      <c r="S26" s="2265"/>
    </row>
    <row r="27" spans="3:19" s="332" customFormat="1" ht="11.25" customHeight="1">
      <c r="D27" s="372"/>
      <c r="E27" s="337" t="s">
        <v>1070</v>
      </c>
      <c r="F27" s="344"/>
      <c r="H27" s="2204"/>
      <c r="I27" s="2264"/>
      <c r="J27" s="2264"/>
      <c r="K27" s="2264"/>
      <c r="L27" s="2264"/>
      <c r="M27" s="2264"/>
      <c r="N27" s="2265"/>
      <c r="O27" s="1215" t="s">
        <v>1834</v>
      </c>
      <c r="Q27" s="2204"/>
      <c r="R27" s="2264"/>
      <c r="S27" s="2265"/>
    </row>
    <row r="28" spans="3:19" s="332" customFormat="1" ht="11.25" customHeight="1">
      <c r="D28" s="372"/>
      <c r="E28" s="337" t="s">
        <v>648</v>
      </c>
      <c r="H28" s="2204"/>
      <c r="I28" s="2264"/>
      <c r="J28" s="2265"/>
      <c r="K28" s="1212" t="s">
        <v>2873</v>
      </c>
      <c r="L28" s="2204"/>
      <c r="M28" s="2264"/>
      <c r="N28" s="2265"/>
      <c r="O28" s="1215" t="s">
        <v>1890</v>
      </c>
      <c r="Q28" s="2212"/>
      <c r="R28" s="2217"/>
      <c r="S28" s="2213"/>
    </row>
    <row r="29" spans="3:19" s="332" customFormat="1" ht="11.25" customHeight="1">
      <c r="E29" s="337" t="s">
        <v>1886</v>
      </c>
      <c r="H29" s="2218"/>
      <c r="I29" s="359" t="s">
        <v>2335</v>
      </c>
      <c r="J29" s="2215"/>
      <c r="K29" s="2265"/>
      <c r="O29" s="1215" t="s">
        <v>2076</v>
      </c>
      <c r="Q29" s="2212"/>
      <c r="R29" s="2217"/>
      <c r="S29" s="2213"/>
    </row>
    <row r="30" spans="3:19" s="332" customFormat="1" ht="11.25" customHeight="1">
      <c r="D30" s="372"/>
      <c r="E30" s="337" t="s">
        <v>2082</v>
      </c>
      <c r="H30" s="2212"/>
      <c r="I30" s="2213"/>
      <c r="J30" s="2313"/>
      <c r="K30" s="1222" t="s">
        <v>1889</v>
      </c>
      <c r="L30" s="2250"/>
      <c r="M30" s="2265"/>
      <c r="N30" s="339" t="s">
        <v>2081</v>
      </c>
      <c r="O30" s="2219"/>
      <c r="P30" s="2220"/>
      <c r="Q30" s="2220"/>
      <c r="R30" s="2220"/>
      <c r="S30" s="2221"/>
    </row>
    <row r="31" spans="3:19" ht="4.1500000000000004" customHeight="1"/>
    <row r="32" spans="3:19" s="332" customFormat="1" ht="11.25" customHeight="1">
      <c r="C32" s="374" t="s">
        <v>2086</v>
      </c>
      <c r="D32" s="371" t="s">
        <v>1951</v>
      </c>
      <c r="H32" s="1220"/>
      <c r="I32" s="1220"/>
      <c r="J32" s="1220"/>
      <c r="K32" s="1220"/>
      <c r="L32" s="1220"/>
      <c r="M32" s="1220"/>
    </row>
    <row r="33" spans="3:19" s="332" customFormat="1" ht="11.25" customHeight="1">
      <c r="D33" s="334" t="s">
        <v>2216</v>
      </c>
      <c r="E33" s="332" t="s">
        <v>789</v>
      </c>
      <c r="H33" s="2228" t="s">
        <v>4505</v>
      </c>
      <c r="I33" s="2295"/>
      <c r="J33" s="2295"/>
      <c r="K33" s="2295"/>
      <c r="L33" s="2295"/>
      <c r="M33" s="2295"/>
      <c r="N33" s="2296"/>
      <c r="O33" s="1215" t="s">
        <v>2087</v>
      </c>
      <c r="P33" s="1215"/>
      <c r="Q33" s="2228" t="s">
        <v>4507</v>
      </c>
      <c r="R33" s="2295"/>
      <c r="S33" s="2296"/>
    </row>
    <row r="34" spans="3:19" s="332" customFormat="1" ht="11.25" customHeight="1">
      <c r="D34" s="372"/>
      <c r="E34" s="337" t="s">
        <v>1070</v>
      </c>
      <c r="F34" s="344"/>
      <c r="H34" s="2228" t="s">
        <v>4506</v>
      </c>
      <c r="I34" s="2295"/>
      <c r="J34" s="2295"/>
      <c r="K34" s="2295"/>
      <c r="L34" s="2295"/>
      <c r="M34" s="2295"/>
      <c r="N34" s="2296"/>
      <c r="O34" s="1215" t="s">
        <v>1834</v>
      </c>
      <c r="Q34" s="2228" t="s">
        <v>4403</v>
      </c>
      <c r="R34" s="2295"/>
      <c r="S34" s="2296"/>
    </row>
    <row r="35" spans="3:19" s="332" customFormat="1" ht="11.25" customHeight="1">
      <c r="D35" s="372"/>
      <c r="E35" s="337" t="s">
        <v>648</v>
      </c>
      <c r="H35" s="2228" t="s">
        <v>4404</v>
      </c>
      <c r="I35" s="2295"/>
      <c r="J35" s="2296"/>
      <c r="K35" s="1212" t="s">
        <v>2873</v>
      </c>
      <c r="L35" s="2228" t="s">
        <v>4508</v>
      </c>
      <c r="M35" s="2295"/>
      <c r="N35" s="2296"/>
      <c r="O35" s="1215" t="s">
        <v>1890</v>
      </c>
      <c r="Q35" s="2253">
        <v>2058030331</v>
      </c>
      <c r="R35" s="2298"/>
      <c r="S35" s="2254"/>
    </row>
    <row r="36" spans="3:19" s="332" customFormat="1" ht="11.25" customHeight="1">
      <c r="E36" s="337" t="s">
        <v>1886</v>
      </c>
      <c r="H36" s="2299" t="s">
        <v>879</v>
      </c>
      <c r="I36" s="2314" t="s">
        <v>2335</v>
      </c>
      <c r="J36" s="2300">
        <v>352231723</v>
      </c>
      <c r="K36" s="2296"/>
      <c r="O36" s="1215" t="s">
        <v>2076</v>
      </c>
      <c r="Q36" s="2253">
        <v>2055163099</v>
      </c>
      <c r="R36" s="2298"/>
      <c r="S36" s="2254"/>
    </row>
    <row r="37" spans="3:19" s="332" customFormat="1" ht="11.25" customHeight="1">
      <c r="D37" s="372"/>
      <c r="E37" s="337" t="s">
        <v>2082</v>
      </c>
      <c r="H37" s="2253">
        <v>2058030331</v>
      </c>
      <c r="I37" s="2254"/>
      <c r="J37" s="2304"/>
      <c r="K37" s="1222" t="s">
        <v>1889</v>
      </c>
      <c r="L37" s="2305">
        <v>2058030321</v>
      </c>
      <c r="M37" s="2296"/>
      <c r="N37" s="339" t="s">
        <v>2081</v>
      </c>
      <c r="O37" s="2307" t="s">
        <v>4509</v>
      </c>
      <c r="P37" s="2308"/>
      <c r="Q37" s="2308"/>
      <c r="R37" s="2308"/>
      <c r="S37" s="2309"/>
    </row>
    <row r="38" spans="3:19" ht="4.1500000000000004" customHeight="1">
      <c r="H38" s="2315"/>
      <c r="I38" s="2315"/>
      <c r="J38" s="2315"/>
      <c r="K38" s="1222"/>
      <c r="L38" s="2315"/>
      <c r="M38" s="2315"/>
      <c r="N38" s="1216"/>
      <c r="O38" s="1206"/>
      <c r="P38" s="1206"/>
      <c r="Q38" s="1222"/>
      <c r="R38" s="1206"/>
      <c r="S38" s="1206"/>
    </row>
    <row r="39" spans="3:19" s="332" customFormat="1" ht="11.25" customHeight="1">
      <c r="D39" s="334" t="s">
        <v>2217</v>
      </c>
      <c r="E39" s="332" t="s">
        <v>790</v>
      </c>
      <c r="F39" s="334"/>
      <c r="H39" s="2228" t="s">
        <v>4505</v>
      </c>
      <c r="I39" s="2295"/>
      <c r="J39" s="2295"/>
      <c r="K39" s="2295"/>
      <c r="L39" s="2295"/>
      <c r="M39" s="2295"/>
      <c r="N39" s="2296"/>
      <c r="O39" s="1215" t="s">
        <v>2087</v>
      </c>
      <c r="P39" s="1215"/>
      <c r="Q39" s="2228" t="s">
        <v>4507</v>
      </c>
      <c r="R39" s="2295"/>
      <c r="S39" s="2296"/>
    </row>
    <row r="40" spans="3:19" s="332" customFormat="1" ht="11.25" customHeight="1">
      <c r="D40" s="372"/>
      <c r="E40" s="337" t="s">
        <v>1070</v>
      </c>
      <c r="F40" s="344"/>
      <c r="H40" s="2228" t="s">
        <v>4506</v>
      </c>
      <c r="I40" s="2295"/>
      <c r="J40" s="2295"/>
      <c r="K40" s="2295"/>
      <c r="L40" s="2295"/>
      <c r="M40" s="2295"/>
      <c r="N40" s="2296"/>
      <c r="O40" s="1215" t="s">
        <v>1834</v>
      </c>
      <c r="Q40" s="2228" t="s">
        <v>4403</v>
      </c>
      <c r="R40" s="2295"/>
      <c r="S40" s="2296"/>
    </row>
    <row r="41" spans="3:19" s="332" customFormat="1" ht="11.25" customHeight="1">
      <c r="D41" s="372"/>
      <c r="E41" s="337" t="s">
        <v>648</v>
      </c>
      <c r="H41" s="2228" t="s">
        <v>4404</v>
      </c>
      <c r="I41" s="2295"/>
      <c r="J41" s="2296"/>
      <c r="K41" s="1212" t="s">
        <v>2873</v>
      </c>
      <c r="L41" s="2228" t="s">
        <v>4508</v>
      </c>
      <c r="M41" s="2295"/>
      <c r="N41" s="2296"/>
      <c r="O41" s="1215" t="s">
        <v>1890</v>
      </c>
      <c r="Q41" s="2253">
        <v>2058030331</v>
      </c>
      <c r="R41" s="2298"/>
      <c r="S41" s="2254"/>
    </row>
    <row r="42" spans="3:19" s="332" customFormat="1" ht="11.25" customHeight="1">
      <c r="D42" s="334"/>
      <c r="E42" s="337" t="s">
        <v>1886</v>
      </c>
      <c r="H42" s="2299" t="s">
        <v>879</v>
      </c>
      <c r="I42" s="2314" t="s">
        <v>2335</v>
      </c>
      <c r="J42" s="2300">
        <v>352231723</v>
      </c>
      <c r="K42" s="2296"/>
      <c r="O42" s="1215" t="s">
        <v>2076</v>
      </c>
      <c r="Q42" s="2253">
        <v>2055163099</v>
      </c>
      <c r="R42" s="2298"/>
      <c r="S42" s="2254"/>
    </row>
    <row r="43" spans="3:19" s="332" customFormat="1" ht="11.25" customHeight="1">
      <c r="D43" s="372"/>
      <c r="E43" s="337" t="s">
        <v>2082</v>
      </c>
      <c r="H43" s="2253">
        <v>2058030331</v>
      </c>
      <c r="I43" s="2254"/>
      <c r="J43" s="2304"/>
      <c r="K43" s="1222" t="s">
        <v>1889</v>
      </c>
      <c r="L43" s="2305">
        <v>2058030321</v>
      </c>
      <c r="M43" s="2296"/>
      <c r="N43" s="339" t="s">
        <v>2081</v>
      </c>
      <c r="O43" s="2307" t="s">
        <v>4509</v>
      </c>
      <c r="P43" s="2308"/>
      <c r="Q43" s="2308"/>
      <c r="R43" s="2308"/>
      <c r="S43" s="2309"/>
    </row>
    <row r="44" spans="3:19" s="332" customFormat="1" ht="4.1500000000000004" customHeight="1">
      <c r="D44" s="372"/>
      <c r="E44" s="337"/>
      <c r="F44" s="334"/>
      <c r="H44" s="1268"/>
      <c r="I44" s="1268"/>
      <c r="J44" s="1204"/>
      <c r="K44" s="1222"/>
      <c r="L44" s="1268"/>
      <c r="M44" s="1268"/>
      <c r="N44" s="1222"/>
      <c r="O44" s="1268"/>
      <c r="P44" s="1268"/>
      <c r="Q44" s="1222"/>
      <c r="R44" s="1268"/>
      <c r="S44" s="1268"/>
    </row>
    <row r="45" spans="3:19" s="332" customFormat="1" ht="11.25" customHeight="1">
      <c r="C45" s="375" t="s">
        <v>2660</v>
      </c>
      <c r="D45" s="371" t="s">
        <v>685</v>
      </c>
      <c r="H45" s="1220"/>
      <c r="I45" s="1220"/>
      <c r="J45" s="1220"/>
      <c r="K45" s="1220"/>
      <c r="L45" s="1220"/>
      <c r="M45" s="1220"/>
    </row>
    <row r="46" spans="3:19" s="332" customFormat="1" ht="11.25" customHeight="1">
      <c r="E46" s="332" t="s">
        <v>94</v>
      </c>
      <c r="H46" s="2204"/>
      <c r="I46" s="2264"/>
      <c r="J46" s="2264"/>
      <c r="K46" s="2264"/>
      <c r="L46" s="2264"/>
      <c r="M46" s="2264"/>
      <c r="N46" s="2265"/>
      <c r="O46" s="1215" t="s">
        <v>2087</v>
      </c>
      <c r="P46" s="1215"/>
      <c r="Q46" s="2204"/>
      <c r="R46" s="2264"/>
      <c r="S46" s="2265"/>
    </row>
    <row r="47" spans="3:19" s="332" customFormat="1" ht="11.25" customHeight="1">
      <c r="D47" s="372"/>
      <c r="E47" s="337" t="s">
        <v>1070</v>
      </c>
      <c r="F47" s="344"/>
      <c r="H47" s="2204"/>
      <c r="I47" s="2264"/>
      <c r="J47" s="2264"/>
      <c r="K47" s="2264"/>
      <c r="L47" s="2264"/>
      <c r="M47" s="2264"/>
      <c r="N47" s="2265"/>
      <c r="O47" s="1215" t="s">
        <v>1834</v>
      </c>
      <c r="Q47" s="2204"/>
      <c r="R47" s="2264"/>
      <c r="S47" s="2265"/>
    </row>
    <row r="48" spans="3:19" s="332" customFormat="1" ht="11.25" customHeight="1">
      <c r="D48" s="372"/>
      <c r="E48" s="337" t="s">
        <v>648</v>
      </c>
      <c r="H48" s="2204"/>
      <c r="I48" s="2264"/>
      <c r="J48" s="2265"/>
      <c r="K48" s="1212" t="s">
        <v>2873</v>
      </c>
      <c r="L48" s="2204"/>
      <c r="M48" s="2264"/>
      <c r="N48" s="2265"/>
      <c r="O48" s="1215" t="s">
        <v>1890</v>
      </c>
      <c r="Q48" s="2212"/>
      <c r="R48" s="2217"/>
      <c r="S48" s="2213"/>
    </row>
    <row r="49" spans="1:19" s="332" customFormat="1" ht="11.25" customHeight="1">
      <c r="E49" s="337" t="s">
        <v>1886</v>
      </c>
      <c r="H49" s="2218"/>
      <c r="I49" s="359" t="s">
        <v>2335</v>
      </c>
      <c r="J49" s="2215"/>
      <c r="K49" s="2265"/>
      <c r="O49" s="1215" t="s">
        <v>2076</v>
      </c>
      <c r="Q49" s="2212"/>
      <c r="R49" s="2217"/>
      <c r="S49" s="2213"/>
    </row>
    <row r="50" spans="1:19" s="332" customFormat="1" ht="11.25" customHeight="1">
      <c r="D50" s="372"/>
      <c r="E50" s="337" t="s">
        <v>2082</v>
      </c>
      <c r="H50" s="2212"/>
      <c r="I50" s="2213"/>
      <c r="J50" s="2313"/>
      <c r="K50" s="1222" t="s">
        <v>1889</v>
      </c>
      <c r="L50" s="2250"/>
      <c r="M50" s="2265"/>
      <c r="N50" s="339" t="s">
        <v>2081</v>
      </c>
      <c r="O50" s="2219"/>
      <c r="P50" s="2220"/>
      <c r="Q50" s="2220"/>
      <c r="R50" s="2220"/>
      <c r="S50" s="2221"/>
    </row>
    <row r="51" spans="1:19" ht="6.75" customHeight="1"/>
    <row r="52" spans="1:19" s="332" customFormat="1" ht="13.15" customHeight="1">
      <c r="A52" s="334" t="s">
        <v>779</v>
      </c>
      <c r="B52" s="334" t="s">
        <v>686</v>
      </c>
      <c r="F52" s="334"/>
      <c r="G52" s="1222"/>
      <c r="H52" s="1222"/>
      <c r="I52" s="1222"/>
      <c r="J52" s="1220"/>
      <c r="K52" s="1220"/>
      <c r="L52" s="1220"/>
      <c r="M52" s="1220"/>
      <c r="N52" s="1220"/>
      <c r="O52" s="1220"/>
      <c r="P52" s="1220"/>
      <c r="Q52" s="1220"/>
      <c r="R52" s="1220"/>
      <c r="S52" s="1220"/>
    </row>
    <row r="53" spans="1:19" s="332" customFormat="1" ht="3" customHeight="1">
      <c r="A53" s="334"/>
      <c r="B53" s="334"/>
      <c r="F53" s="334"/>
      <c r="G53" s="1222"/>
      <c r="H53" s="2316"/>
      <c r="I53" s="2316"/>
      <c r="J53" s="2316"/>
      <c r="K53" s="1216"/>
      <c r="L53" s="2316"/>
      <c r="M53" s="2316"/>
      <c r="N53" s="1216"/>
      <c r="O53" s="1206"/>
      <c r="P53" s="1206"/>
      <c r="Q53" s="1222"/>
      <c r="R53" s="1206"/>
      <c r="S53" s="1206"/>
    </row>
    <row r="54" spans="1:19" s="332" customFormat="1" ht="11.25" customHeight="1">
      <c r="B54" s="334" t="s">
        <v>2080</v>
      </c>
      <c r="C54" s="334" t="s">
        <v>295</v>
      </c>
      <c r="H54" s="2228" t="s">
        <v>4414</v>
      </c>
      <c r="I54" s="2295"/>
      <c r="J54" s="2295"/>
      <c r="K54" s="2295"/>
      <c r="L54" s="2295"/>
      <c r="M54" s="2295"/>
      <c r="N54" s="2296"/>
      <c r="O54" s="1215" t="s">
        <v>2087</v>
      </c>
      <c r="P54" s="1215"/>
      <c r="Q54" s="2228" t="s">
        <v>4405</v>
      </c>
      <c r="R54" s="2295"/>
      <c r="S54" s="2296"/>
    </row>
    <row r="55" spans="1:19" s="332" customFormat="1" ht="11.25" customHeight="1">
      <c r="D55" s="372"/>
      <c r="E55" s="337" t="s">
        <v>1070</v>
      </c>
      <c r="F55" s="344"/>
      <c r="H55" s="2228" t="s">
        <v>4387</v>
      </c>
      <c r="I55" s="2295"/>
      <c r="J55" s="2295"/>
      <c r="K55" s="2295"/>
      <c r="L55" s="2295"/>
      <c r="M55" s="2295"/>
      <c r="N55" s="2296"/>
      <c r="O55" s="1215" t="s">
        <v>1834</v>
      </c>
      <c r="Q55" s="2228" t="s">
        <v>4412</v>
      </c>
      <c r="R55" s="2295"/>
      <c r="S55" s="2296"/>
    </row>
    <row r="56" spans="1:19" s="332" customFormat="1" ht="11.25" customHeight="1">
      <c r="D56" s="372"/>
      <c r="E56" s="337" t="s">
        <v>648</v>
      </c>
      <c r="H56" s="2228" t="s">
        <v>1780</v>
      </c>
      <c r="I56" s="2295"/>
      <c r="J56" s="2296"/>
      <c r="K56" s="1212" t="s">
        <v>2873</v>
      </c>
      <c r="L56" s="2228" t="s">
        <v>4413</v>
      </c>
      <c r="M56" s="2295"/>
      <c r="N56" s="2296"/>
      <c r="O56" s="1215" t="s">
        <v>1890</v>
      </c>
      <c r="Q56" s="2253"/>
      <c r="R56" s="2298"/>
      <c r="S56" s="2254"/>
    </row>
    <row r="57" spans="1:19" s="332" customFormat="1" ht="11.25" customHeight="1">
      <c r="E57" s="337" t="s">
        <v>1886</v>
      </c>
      <c r="H57" s="2299" t="s">
        <v>889</v>
      </c>
      <c r="I57" s="2314" t="s">
        <v>2335</v>
      </c>
      <c r="J57" s="2300">
        <v>316026408</v>
      </c>
      <c r="K57" s="2296"/>
      <c r="O57" s="1215" t="s">
        <v>2076</v>
      </c>
      <c r="Q57" s="2253">
        <v>2292921316</v>
      </c>
      <c r="R57" s="2298"/>
      <c r="S57" s="2254"/>
    </row>
    <row r="58" spans="1:19" s="332" customFormat="1" ht="11.25" customHeight="1">
      <c r="D58" s="372"/>
      <c r="E58" s="337" t="s">
        <v>2082</v>
      </c>
      <c r="H58" s="2253">
        <v>2292479956</v>
      </c>
      <c r="I58" s="2254"/>
      <c r="J58" s="2304">
        <v>212</v>
      </c>
      <c r="K58" s="1222" t="s">
        <v>1889</v>
      </c>
      <c r="L58" s="2305">
        <v>2292451173</v>
      </c>
      <c r="M58" s="2296"/>
      <c r="N58" s="339" t="s">
        <v>2081</v>
      </c>
      <c r="O58" s="2307" t="s">
        <v>4408</v>
      </c>
      <c r="P58" s="2308"/>
      <c r="Q58" s="2308"/>
      <c r="R58" s="2308"/>
      <c r="S58" s="2309"/>
    </row>
    <row r="59" spans="1:19" s="332" customFormat="1" ht="6.6" customHeight="1">
      <c r="D59" s="372"/>
      <c r="E59" s="1220"/>
      <c r="F59" s="1220"/>
      <c r="G59" s="1215"/>
      <c r="H59" s="2312"/>
      <c r="I59" s="2312"/>
      <c r="J59" s="2312"/>
      <c r="K59" s="1222"/>
      <c r="L59" s="2312"/>
      <c r="M59" s="2312"/>
      <c r="N59" s="1216"/>
      <c r="O59" s="1206"/>
      <c r="P59" s="1206"/>
      <c r="Q59" s="1222"/>
      <c r="R59" s="1206"/>
      <c r="S59" s="1206"/>
    </row>
    <row r="60" spans="1:19" s="332" customFormat="1" ht="11.25" customHeight="1">
      <c r="B60" s="334" t="s">
        <v>2083</v>
      </c>
      <c r="C60" s="334" t="s">
        <v>296</v>
      </c>
      <c r="H60" s="2204"/>
      <c r="I60" s="2264"/>
      <c r="J60" s="2264"/>
      <c r="K60" s="2264"/>
      <c r="L60" s="2264"/>
      <c r="M60" s="2264"/>
      <c r="N60" s="2265"/>
      <c r="O60" s="1215" t="s">
        <v>2087</v>
      </c>
      <c r="P60" s="1215"/>
      <c r="Q60" s="2204"/>
      <c r="R60" s="2264"/>
      <c r="S60" s="2265"/>
    </row>
    <row r="61" spans="1:19" s="332" customFormat="1" ht="11.25" customHeight="1">
      <c r="D61" s="372"/>
      <c r="E61" s="337" t="s">
        <v>1070</v>
      </c>
      <c r="F61" s="344"/>
      <c r="H61" s="2204"/>
      <c r="I61" s="2264"/>
      <c r="J61" s="2264"/>
      <c r="K61" s="2264"/>
      <c r="L61" s="2264"/>
      <c r="M61" s="2264"/>
      <c r="N61" s="2265"/>
      <c r="O61" s="1215" t="s">
        <v>1834</v>
      </c>
      <c r="Q61" s="2204"/>
      <c r="R61" s="2264"/>
      <c r="S61" s="2265"/>
    </row>
    <row r="62" spans="1:19" s="332" customFormat="1" ht="11.25" customHeight="1">
      <c r="D62" s="372"/>
      <c r="E62" s="337" t="s">
        <v>648</v>
      </c>
      <c r="H62" s="2204"/>
      <c r="I62" s="2264"/>
      <c r="J62" s="2265"/>
      <c r="K62" s="1212" t="s">
        <v>2873</v>
      </c>
      <c r="L62" s="2204"/>
      <c r="M62" s="2264"/>
      <c r="N62" s="2265"/>
      <c r="O62" s="1215" t="s">
        <v>1890</v>
      </c>
      <c r="Q62" s="2212"/>
      <c r="R62" s="2217"/>
      <c r="S62" s="2213"/>
    </row>
    <row r="63" spans="1:19" s="332" customFormat="1" ht="11.25" customHeight="1">
      <c r="E63" s="337" t="s">
        <v>1886</v>
      </c>
      <c r="H63" s="2218"/>
      <c r="I63" s="359" t="s">
        <v>2335</v>
      </c>
      <c r="J63" s="2215"/>
      <c r="K63" s="2265"/>
      <c r="O63" s="1215" t="s">
        <v>2076</v>
      </c>
      <c r="Q63" s="2212"/>
      <c r="R63" s="2217"/>
      <c r="S63" s="2213"/>
    </row>
    <row r="64" spans="1:19" s="332" customFormat="1" ht="11.25" customHeight="1">
      <c r="D64" s="372"/>
      <c r="E64" s="337" t="s">
        <v>2082</v>
      </c>
      <c r="H64" s="2212"/>
      <c r="I64" s="2213"/>
      <c r="J64" s="2313"/>
      <c r="K64" s="1222" t="s">
        <v>1889</v>
      </c>
      <c r="L64" s="2250"/>
      <c r="M64" s="2265"/>
      <c r="N64" s="339" t="s">
        <v>2081</v>
      </c>
      <c r="O64" s="2219"/>
      <c r="P64" s="2220"/>
      <c r="Q64" s="2220"/>
      <c r="R64" s="2220"/>
      <c r="S64" s="2221"/>
    </row>
    <row r="65" spans="1:19" s="332" customFormat="1" ht="6.6" customHeight="1">
      <c r="D65" s="372"/>
      <c r="E65" s="1220"/>
      <c r="F65" s="1220"/>
      <c r="G65" s="1215"/>
      <c r="H65" s="2312"/>
      <c r="I65" s="2312"/>
      <c r="J65" s="2312"/>
      <c r="K65" s="1222"/>
      <c r="L65" s="2312"/>
      <c r="M65" s="2312"/>
      <c r="N65" s="1216"/>
      <c r="O65" s="1206"/>
      <c r="P65" s="1206"/>
      <c r="Q65" s="1222"/>
      <c r="R65" s="1206"/>
      <c r="S65" s="1206"/>
    </row>
    <row r="66" spans="1:19" s="332" customFormat="1" ht="11.25" customHeight="1">
      <c r="B66" s="334" t="s">
        <v>788</v>
      </c>
      <c r="C66" s="334" t="s">
        <v>1603</v>
      </c>
      <c r="H66" s="2204"/>
      <c r="I66" s="2264"/>
      <c r="J66" s="2264"/>
      <c r="K66" s="2264"/>
      <c r="L66" s="2264"/>
      <c r="M66" s="2264"/>
      <c r="N66" s="2265"/>
      <c r="O66" s="1215" t="s">
        <v>2087</v>
      </c>
      <c r="P66" s="1215"/>
      <c r="Q66" s="2204"/>
      <c r="R66" s="2264"/>
      <c r="S66" s="2265"/>
    </row>
    <row r="67" spans="1:19" s="332" customFormat="1" ht="11.25" customHeight="1">
      <c r="D67" s="372"/>
      <c r="E67" s="337" t="s">
        <v>1070</v>
      </c>
      <c r="F67" s="344"/>
      <c r="H67" s="2204"/>
      <c r="I67" s="2264"/>
      <c r="J67" s="2264"/>
      <c r="K67" s="2264"/>
      <c r="L67" s="2264"/>
      <c r="M67" s="2264"/>
      <c r="N67" s="2265"/>
      <c r="O67" s="1215" t="s">
        <v>1834</v>
      </c>
      <c r="Q67" s="2204"/>
      <c r="R67" s="2264"/>
      <c r="S67" s="2265"/>
    </row>
    <row r="68" spans="1:19" s="332" customFormat="1" ht="11.25" customHeight="1">
      <c r="D68" s="372"/>
      <c r="E68" s="337" t="s">
        <v>648</v>
      </c>
      <c r="H68" s="2204"/>
      <c r="I68" s="2264"/>
      <c r="J68" s="2265"/>
      <c r="K68" s="1212" t="s">
        <v>2873</v>
      </c>
      <c r="L68" s="2204"/>
      <c r="M68" s="2264"/>
      <c r="N68" s="2265"/>
      <c r="O68" s="1215" t="s">
        <v>1890</v>
      </c>
      <c r="Q68" s="2212"/>
      <c r="R68" s="2217"/>
      <c r="S68" s="2213"/>
    </row>
    <row r="69" spans="1:19" s="332" customFormat="1" ht="11.25" customHeight="1">
      <c r="E69" s="337" t="s">
        <v>1886</v>
      </c>
      <c r="H69" s="2218"/>
      <c r="I69" s="359" t="s">
        <v>2335</v>
      </c>
      <c r="J69" s="2215"/>
      <c r="K69" s="2265"/>
      <c r="O69" s="1215" t="s">
        <v>2076</v>
      </c>
      <c r="Q69" s="2212"/>
      <c r="R69" s="2217"/>
      <c r="S69" s="2213"/>
    </row>
    <row r="70" spans="1:19" s="332" customFormat="1" ht="11.25" customHeight="1">
      <c r="D70" s="372"/>
      <c r="E70" s="337" t="s">
        <v>2082</v>
      </c>
      <c r="H70" s="2212"/>
      <c r="I70" s="2213"/>
      <c r="J70" s="2313"/>
      <c r="K70" s="1222" t="s">
        <v>1889</v>
      </c>
      <c r="L70" s="2250"/>
      <c r="M70" s="2265"/>
      <c r="N70" s="339" t="s">
        <v>2081</v>
      </c>
      <c r="O70" s="2219"/>
      <c r="P70" s="2220"/>
      <c r="Q70" s="2220"/>
      <c r="R70" s="2220"/>
      <c r="S70" s="2221"/>
    </row>
    <row r="71" spans="1:19" ht="6.6" customHeight="1">
      <c r="H71" s="2312"/>
      <c r="I71" s="2312"/>
      <c r="J71" s="2312"/>
      <c r="K71" s="1222"/>
      <c r="L71" s="2312"/>
      <c r="M71" s="2312"/>
      <c r="N71" s="1216"/>
      <c r="O71" s="1206"/>
      <c r="P71" s="1206"/>
      <c r="Q71" s="1222"/>
      <c r="R71" s="1206"/>
      <c r="S71" s="1206"/>
    </row>
    <row r="72" spans="1:19" s="332" customFormat="1" ht="11.25" customHeight="1">
      <c r="B72" s="334" t="s">
        <v>2215</v>
      </c>
      <c r="C72" s="334" t="s">
        <v>297</v>
      </c>
      <c r="H72" s="2204"/>
      <c r="I72" s="2264"/>
      <c r="J72" s="2264"/>
      <c r="K72" s="2264"/>
      <c r="L72" s="2264"/>
      <c r="M72" s="2264"/>
      <c r="N72" s="2265"/>
      <c r="O72" s="1215" t="s">
        <v>2087</v>
      </c>
      <c r="P72" s="1215"/>
      <c r="Q72" s="2204"/>
      <c r="R72" s="2264"/>
      <c r="S72" s="2265"/>
    </row>
    <row r="73" spans="1:19" s="332" customFormat="1" ht="11.25" customHeight="1">
      <c r="D73" s="372"/>
      <c r="E73" s="337" t="s">
        <v>1070</v>
      </c>
      <c r="F73" s="344"/>
      <c r="H73" s="2204"/>
      <c r="I73" s="2264"/>
      <c r="J73" s="2264"/>
      <c r="K73" s="2264"/>
      <c r="L73" s="2264"/>
      <c r="M73" s="2264"/>
      <c r="N73" s="2265"/>
      <c r="O73" s="1215" t="s">
        <v>1834</v>
      </c>
      <c r="Q73" s="2204"/>
      <c r="R73" s="2264"/>
      <c r="S73" s="2265"/>
    </row>
    <row r="74" spans="1:19" s="332" customFormat="1" ht="11.25" customHeight="1">
      <c r="D74" s="372"/>
      <c r="E74" s="337" t="s">
        <v>648</v>
      </c>
      <c r="H74" s="2204"/>
      <c r="I74" s="2264"/>
      <c r="J74" s="2265"/>
      <c r="K74" s="1212" t="s">
        <v>2873</v>
      </c>
      <c r="L74" s="2204"/>
      <c r="M74" s="2264"/>
      <c r="N74" s="2265"/>
      <c r="O74" s="1215" t="s">
        <v>1890</v>
      </c>
      <c r="Q74" s="2212"/>
      <c r="R74" s="2217"/>
      <c r="S74" s="2213"/>
    </row>
    <row r="75" spans="1:19" s="332" customFormat="1" ht="11.25" customHeight="1">
      <c r="E75" s="337" t="s">
        <v>1886</v>
      </c>
      <c r="H75" s="2218"/>
      <c r="I75" s="359" t="s">
        <v>2335</v>
      </c>
      <c r="J75" s="2215"/>
      <c r="K75" s="2265"/>
      <c r="O75" s="1215" t="s">
        <v>2076</v>
      </c>
      <c r="Q75" s="2212"/>
      <c r="R75" s="2217"/>
      <c r="S75" s="2213"/>
    </row>
    <row r="76" spans="1:19" s="332" customFormat="1" ht="11.25" customHeight="1">
      <c r="D76" s="372"/>
      <c r="E76" s="337" t="s">
        <v>2082</v>
      </c>
      <c r="H76" s="2212"/>
      <c r="I76" s="2213"/>
      <c r="J76" s="2313"/>
      <c r="K76" s="1222" t="s">
        <v>1889</v>
      </c>
      <c r="L76" s="2250"/>
      <c r="M76" s="2265"/>
      <c r="N76" s="339" t="s">
        <v>2081</v>
      </c>
      <c r="O76" s="2219"/>
      <c r="P76" s="2220"/>
      <c r="Q76" s="2220"/>
      <c r="R76" s="2220"/>
      <c r="S76" s="2221"/>
    </row>
    <row r="77" spans="1:19" ht="6.75" customHeight="1"/>
    <row r="78" spans="1:19" s="337" customFormat="1" ht="13.15" customHeight="1">
      <c r="A78" s="338" t="s">
        <v>781</v>
      </c>
      <c r="B78" s="338" t="s">
        <v>298</v>
      </c>
      <c r="D78" s="338"/>
      <c r="E78" s="1215"/>
      <c r="F78" s="300"/>
      <c r="G78" s="300"/>
      <c r="H78" s="300"/>
      <c r="I78" s="300"/>
      <c r="J78" s="300"/>
      <c r="K78" s="300"/>
      <c r="L78" s="300"/>
      <c r="M78" s="300"/>
    </row>
    <row r="79" spans="1:19" s="337" customFormat="1" ht="3" customHeight="1">
      <c r="A79" s="338"/>
      <c r="B79" s="338"/>
      <c r="D79" s="338"/>
      <c r="E79" s="1215"/>
      <c r="F79" s="300"/>
      <c r="G79" s="300"/>
      <c r="H79" s="2316"/>
      <c r="I79" s="2316"/>
      <c r="J79" s="2316"/>
      <c r="K79" s="1216"/>
      <c r="L79" s="2316"/>
      <c r="M79" s="2316"/>
      <c r="N79" s="1216"/>
      <c r="O79" s="1206"/>
      <c r="P79" s="1206"/>
      <c r="Q79" s="1222"/>
      <c r="R79" s="1206"/>
      <c r="S79" s="1206"/>
    </row>
    <row r="80" spans="1:19" s="332" customFormat="1" ht="11.25" customHeight="1">
      <c r="B80" s="334" t="s">
        <v>2080</v>
      </c>
      <c r="C80" s="334" t="s">
        <v>299</v>
      </c>
      <c r="H80" s="2204"/>
      <c r="I80" s="2264"/>
      <c r="J80" s="2264"/>
      <c r="K80" s="2264"/>
      <c r="L80" s="2264"/>
      <c r="M80" s="2264"/>
      <c r="N80" s="2265"/>
      <c r="O80" s="1215" t="s">
        <v>2087</v>
      </c>
      <c r="P80" s="1215"/>
      <c r="Q80" s="2204"/>
      <c r="R80" s="2264"/>
      <c r="S80" s="2265"/>
    </row>
    <row r="81" spans="2:19" s="332" customFormat="1" ht="11.25" customHeight="1">
      <c r="D81" s="372"/>
      <c r="E81" s="337" t="s">
        <v>1070</v>
      </c>
      <c r="F81" s="344"/>
      <c r="H81" s="2204"/>
      <c r="I81" s="2264"/>
      <c r="J81" s="2264"/>
      <c r="K81" s="2264"/>
      <c r="L81" s="2264"/>
      <c r="M81" s="2264"/>
      <c r="N81" s="2265"/>
      <c r="O81" s="1215" t="s">
        <v>1834</v>
      </c>
      <c r="Q81" s="2204"/>
      <c r="R81" s="2264"/>
      <c r="S81" s="2265"/>
    </row>
    <row r="82" spans="2:19" s="332" customFormat="1" ht="11.25" customHeight="1">
      <c r="D82" s="372"/>
      <c r="E82" s="337" t="s">
        <v>648</v>
      </c>
      <c r="H82" s="2204"/>
      <c r="I82" s="2264"/>
      <c r="J82" s="2265"/>
      <c r="K82" s="1212" t="s">
        <v>2873</v>
      </c>
      <c r="L82" s="2204"/>
      <c r="M82" s="2264"/>
      <c r="N82" s="2265"/>
      <c r="O82" s="1215" t="s">
        <v>1890</v>
      </c>
      <c r="Q82" s="2212"/>
      <c r="R82" s="2217"/>
      <c r="S82" s="2213"/>
    </row>
    <row r="83" spans="2:19" s="332" customFormat="1" ht="11.25" customHeight="1">
      <c r="E83" s="337" t="s">
        <v>1886</v>
      </c>
      <c r="H83" s="2218"/>
      <c r="I83" s="359" t="s">
        <v>2335</v>
      </c>
      <c r="J83" s="2215"/>
      <c r="K83" s="2265"/>
      <c r="O83" s="1215" t="s">
        <v>2076</v>
      </c>
      <c r="Q83" s="2212"/>
      <c r="R83" s="2217"/>
      <c r="S83" s="2213"/>
    </row>
    <row r="84" spans="2:19" s="332" customFormat="1" ht="11.25" customHeight="1">
      <c r="D84" s="372"/>
      <c r="E84" s="337" t="s">
        <v>2082</v>
      </c>
      <c r="H84" s="2212"/>
      <c r="I84" s="2213"/>
      <c r="J84" s="2313"/>
      <c r="K84" s="1222" t="s">
        <v>1889</v>
      </c>
      <c r="L84" s="2250"/>
      <c r="M84" s="2265"/>
      <c r="N84" s="339" t="s">
        <v>2081</v>
      </c>
      <c r="O84" s="2219"/>
      <c r="P84" s="2220"/>
      <c r="Q84" s="2220"/>
      <c r="R84" s="2220"/>
      <c r="S84" s="2221"/>
    </row>
    <row r="85" spans="2:19" ht="6.6" customHeight="1">
      <c r="H85" s="2312"/>
      <c r="I85" s="2312"/>
      <c r="J85" s="2312"/>
      <c r="K85" s="1222"/>
      <c r="L85" s="2312"/>
      <c r="M85" s="2312"/>
      <c r="N85" s="1216"/>
      <c r="O85" s="1206"/>
      <c r="P85" s="1206"/>
      <c r="Q85" s="1222"/>
      <c r="R85" s="1206"/>
      <c r="S85" s="1206"/>
    </row>
    <row r="86" spans="2:19" s="332" customFormat="1" ht="11.25" customHeight="1">
      <c r="B86" s="334" t="s">
        <v>2083</v>
      </c>
      <c r="C86" s="334" t="s">
        <v>300</v>
      </c>
      <c r="H86" s="2228" t="s">
        <v>4415</v>
      </c>
      <c r="I86" s="2295"/>
      <c r="J86" s="2295"/>
      <c r="K86" s="2295"/>
      <c r="L86" s="2295"/>
      <c r="M86" s="2295"/>
      <c r="N86" s="2296"/>
      <c r="O86" s="1215" t="s">
        <v>2087</v>
      </c>
      <c r="P86" s="1215"/>
      <c r="Q86" s="2228" t="s">
        <v>4416</v>
      </c>
      <c r="R86" s="2295"/>
      <c r="S86" s="2296"/>
    </row>
    <row r="87" spans="2:19" s="332" customFormat="1" ht="11.25" customHeight="1">
      <c r="D87" s="372"/>
      <c r="E87" s="337" t="s">
        <v>1070</v>
      </c>
      <c r="F87" s="344"/>
      <c r="H87" s="2228" t="s">
        <v>4387</v>
      </c>
      <c r="I87" s="2295"/>
      <c r="J87" s="2295"/>
      <c r="K87" s="2295"/>
      <c r="L87" s="2295"/>
      <c r="M87" s="2295"/>
      <c r="N87" s="2296"/>
      <c r="O87" s="1215" t="s">
        <v>1834</v>
      </c>
      <c r="Q87" s="2228" t="s">
        <v>4412</v>
      </c>
      <c r="R87" s="2295"/>
      <c r="S87" s="2296"/>
    </row>
    <row r="88" spans="2:19" s="332" customFormat="1" ht="11.25" customHeight="1">
      <c r="D88" s="372"/>
      <c r="E88" s="337" t="s">
        <v>648</v>
      </c>
      <c r="H88" s="2228" t="s">
        <v>1780</v>
      </c>
      <c r="I88" s="2295"/>
      <c r="J88" s="2296"/>
      <c r="K88" s="1212" t="s">
        <v>2873</v>
      </c>
      <c r="L88" s="2228" t="s">
        <v>4413</v>
      </c>
      <c r="M88" s="2295"/>
      <c r="N88" s="2296"/>
      <c r="O88" s="1215" t="s">
        <v>1890</v>
      </c>
      <c r="Q88" s="2253"/>
      <c r="R88" s="2298"/>
      <c r="S88" s="2254"/>
    </row>
    <row r="89" spans="2:19" s="332" customFormat="1" ht="11.25" customHeight="1">
      <c r="E89" s="337" t="s">
        <v>1886</v>
      </c>
      <c r="H89" s="2299" t="s">
        <v>889</v>
      </c>
      <c r="I89" s="2314" t="s">
        <v>2335</v>
      </c>
      <c r="J89" s="2300">
        <v>316026408</v>
      </c>
      <c r="K89" s="2296"/>
      <c r="O89" s="1215" t="s">
        <v>2076</v>
      </c>
      <c r="Q89" s="2253">
        <v>2292921316</v>
      </c>
      <c r="R89" s="2298"/>
      <c r="S89" s="2254"/>
    </row>
    <row r="90" spans="2:19" s="332" customFormat="1" ht="11.25" customHeight="1">
      <c r="D90" s="372"/>
      <c r="E90" s="337" t="s">
        <v>2082</v>
      </c>
      <c r="H90" s="2253">
        <v>2292440644</v>
      </c>
      <c r="I90" s="2254"/>
      <c r="J90" s="2304">
        <v>212</v>
      </c>
      <c r="K90" s="1222" t="s">
        <v>1889</v>
      </c>
      <c r="L90" s="2305">
        <v>2292451173</v>
      </c>
      <c r="M90" s="2296"/>
      <c r="N90" s="339" t="s">
        <v>2081</v>
      </c>
      <c r="O90" s="2307" t="s">
        <v>4408</v>
      </c>
      <c r="P90" s="2308"/>
      <c r="Q90" s="2308"/>
      <c r="R90" s="2308"/>
      <c r="S90" s="2309"/>
    </row>
    <row r="91" spans="2:19" ht="6.6" customHeight="1">
      <c r="H91" s="2315"/>
      <c r="I91" s="2315"/>
      <c r="J91" s="2315"/>
      <c r="K91" s="1222"/>
      <c r="L91" s="2315"/>
      <c r="M91" s="2315"/>
      <c r="N91" s="1216"/>
      <c r="O91" s="1206"/>
      <c r="P91" s="1206"/>
      <c r="Q91" s="1222"/>
      <c r="R91" s="1206"/>
      <c r="S91" s="1206"/>
    </row>
    <row r="92" spans="2:19" s="332" customFormat="1" ht="11.25" customHeight="1">
      <c r="B92" s="334" t="s">
        <v>788</v>
      </c>
      <c r="C92" s="334" t="s">
        <v>301</v>
      </c>
      <c r="F92" s="348"/>
      <c r="H92" s="2228" t="s">
        <v>4417</v>
      </c>
      <c r="I92" s="2295"/>
      <c r="J92" s="2295"/>
      <c r="K92" s="2295"/>
      <c r="L92" s="2295"/>
      <c r="M92" s="2295"/>
      <c r="N92" s="2296"/>
      <c r="O92" s="1215" t="s">
        <v>2087</v>
      </c>
      <c r="P92" s="1215"/>
      <c r="Q92" s="2228" t="s">
        <v>4418</v>
      </c>
      <c r="R92" s="2295"/>
      <c r="S92" s="2296"/>
    </row>
    <row r="93" spans="2:19" s="332" customFormat="1" ht="11.25" customHeight="1">
      <c r="D93" s="372"/>
      <c r="E93" s="337" t="s">
        <v>1070</v>
      </c>
      <c r="F93" s="344"/>
      <c r="H93" s="2228" t="s">
        <v>4387</v>
      </c>
      <c r="I93" s="2295"/>
      <c r="J93" s="2295"/>
      <c r="K93" s="2295"/>
      <c r="L93" s="2295"/>
      <c r="M93" s="2295"/>
      <c r="N93" s="2296"/>
      <c r="O93" s="1215" t="s">
        <v>1834</v>
      </c>
      <c r="Q93" s="2228" t="s">
        <v>4419</v>
      </c>
      <c r="R93" s="2295"/>
      <c r="S93" s="2296"/>
    </row>
    <row r="94" spans="2:19" s="332" customFormat="1" ht="11.25" customHeight="1">
      <c r="D94" s="372"/>
      <c r="E94" s="337" t="s">
        <v>648</v>
      </c>
      <c r="H94" s="2228" t="s">
        <v>1780</v>
      </c>
      <c r="I94" s="2295"/>
      <c r="J94" s="2296"/>
      <c r="K94" s="1212" t="s">
        <v>2873</v>
      </c>
      <c r="L94" s="2228" t="s">
        <v>4420</v>
      </c>
      <c r="M94" s="2295"/>
      <c r="N94" s="2296"/>
      <c r="O94" s="1215" t="s">
        <v>1890</v>
      </c>
      <c r="Q94" s="2253"/>
      <c r="R94" s="2298"/>
      <c r="S94" s="2254"/>
    </row>
    <row r="95" spans="2:19" s="332" customFormat="1" ht="11.25" customHeight="1">
      <c r="D95" s="372"/>
      <c r="E95" s="337" t="s">
        <v>1886</v>
      </c>
      <c r="H95" s="2299" t="s">
        <v>889</v>
      </c>
      <c r="I95" s="2314" t="s">
        <v>2335</v>
      </c>
      <c r="J95" s="2300">
        <v>316026408</v>
      </c>
      <c r="K95" s="2296"/>
      <c r="O95" s="1215" t="s">
        <v>2076</v>
      </c>
      <c r="Q95" s="2253"/>
      <c r="R95" s="2298"/>
      <c r="S95" s="2254"/>
    </row>
    <row r="96" spans="2:19" s="332" customFormat="1" ht="11.25" customHeight="1">
      <c r="D96" s="372"/>
      <c r="E96" s="337" t="s">
        <v>2082</v>
      </c>
      <c r="H96" s="2253">
        <v>2292479956</v>
      </c>
      <c r="I96" s="2254"/>
      <c r="J96" s="2304">
        <v>223</v>
      </c>
      <c r="K96" s="1222" t="s">
        <v>1889</v>
      </c>
      <c r="L96" s="2305">
        <v>2292451173</v>
      </c>
      <c r="M96" s="2296"/>
      <c r="N96" s="339" t="s">
        <v>2081</v>
      </c>
      <c r="O96" s="2307" t="s">
        <v>4421</v>
      </c>
      <c r="P96" s="2308"/>
      <c r="Q96" s="2308"/>
      <c r="R96" s="2308"/>
      <c r="S96" s="2309"/>
    </row>
    <row r="97" spans="2:19" ht="6.6" customHeight="1">
      <c r="H97" s="2315"/>
      <c r="I97" s="2315"/>
      <c r="J97" s="2315"/>
      <c r="K97" s="1222"/>
      <c r="L97" s="2315"/>
      <c r="M97" s="2315"/>
      <c r="N97" s="1216"/>
      <c r="O97" s="1206"/>
      <c r="P97" s="1206"/>
      <c r="Q97" s="1222"/>
      <c r="R97" s="1206"/>
      <c r="S97" s="1206"/>
    </row>
    <row r="98" spans="2:19" s="332" customFormat="1" ht="11.25" customHeight="1">
      <c r="B98" s="334" t="s">
        <v>2215</v>
      </c>
      <c r="C98" s="334" t="s">
        <v>302</v>
      </c>
      <c r="H98" s="2228" t="s">
        <v>4422</v>
      </c>
      <c r="I98" s="2295"/>
      <c r="J98" s="2295"/>
      <c r="K98" s="2295"/>
      <c r="L98" s="2295"/>
      <c r="M98" s="2295"/>
      <c r="N98" s="2296"/>
      <c r="O98" s="1215" t="s">
        <v>2087</v>
      </c>
      <c r="P98" s="1215"/>
      <c r="Q98" s="2228" t="s">
        <v>4423</v>
      </c>
      <c r="R98" s="2295"/>
      <c r="S98" s="2296"/>
    </row>
    <row r="99" spans="2:19" s="332" customFormat="1" ht="11.25" customHeight="1">
      <c r="D99" s="372"/>
      <c r="E99" s="337" t="s">
        <v>1070</v>
      </c>
      <c r="F99" s="344"/>
      <c r="H99" s="2228" t="s">
        <v>4424</v>
      </c>
      <c r="I99" s="2295"/>
      <c r="J99" s="2295"/>
      <c r="K99" s="2295"/>
      <c r="L99" s="2295"/>
      <c r="M99" s="2295"/>
      <c r="N99" s="2296"/>
      <c r="O99" s="1215" t="s">
        <v>1834</v>
      </c>
      <c r="Q99" s="2228" t="s">
        <v>4425</v>
      </c>
      <c r="R99" s="2295"/>
      <c r="S99" s="2296"/>
    </row>
    <row r="100" spans="2:19" s="332" customFormat="1" ht="11.25" customHeight="1">
      <c r="D100" s="372"/>
      <c r="E100" s="337" t="s">
        <v>648</v>
      </c>
      <c r="H100" s="2228" t="s">
        <v>1780</v>
      </c>
      <c r="I100" s="2295"/>
      <c r="J100" s="2296"/>
      <c r="K100" s="1212" t="s">
        <v>2873</v>
      </c>
      <c r="L100" s="2228" t="s">
        <v>4426</v>
      </c>
      <c r="M100" s="2295"/>
      <c r="N100" s="2296"/>
      <c r="O100" s="1215" t="s">
        <v>1890</v>
      </c>
      <c r="Q100" s="2253">
        <v>6789870936</v>
      </c>
      <c r="R100" s="2298"/>
      <c r="S100" s="2254"/>
    </row>
    <row r="101" spans="2:19" s="332" customFormat="1" ht="11.25" customHeight="1">
      <c r="D101" s="372"/>
      <c r="E101" s="337" t="s">
        <v>1886</v>
      </c>
      <c r="H101" s="2299" t="s">
        <v>889</v>
      </c>
      <c r="I101" s="2314" t="s">
        <v>2335</v>
      </c>
      <c r="J101" s="2300">
        <v>316044531</v>
      </c>
      <c r="K101" s="2296"/>
      <c r="O101" s="1215" t="s">
        <v>2076</v>
      </c>
      <c r="Q101" s="2253">
        <v>2293001404</v>
      </c>
      <c r="R101" s="2298"/>
      <c r="S101" s="2254"/>
    </row>
    <row r="102" spans="2:19" ht="11.25" customHeight="1">
      <c r="E102" s="337" t="s">
        <v>2082</v>
      </c>
      <c r="F102" s="332"/>
      <c r="G102" s="332"/>
      <c r="H102" s="2253">
        <v>2292427562</v>
      </c>
      <c r="I102" s="2254"/>
      <c r="J102" s="2304"/>
      <c r="K102" s="1222" t="s">
        <v>1889</v>
      </c>
      <c r="L102" s="2305">
        <v>7706989729</v>
      </c>
      <c r="M102" s="2296"/>
      <c r="N102" s="339" t="s">
        <v>2081</v>
      </c>
      <c r="O102" s="2307" t="s">
        <v>4427</v>
      </c>
      <c r="P102" s="2308"/>
      <c r="Q102" s="2308"/>
      <c r="R102" s="2308"/>
      <c r="S102" s="2309"/>
    </row>
    <row r="103" spans="2:19" ht="6" customHeight="1">
      <c r="E103" s="337"/>
      <c r="F103" s="332"/>
      <c r="G103" s="332"/>
      <c r="H103" s="332"/>
      <c r="I103" s="332"/>
      <c r="J103" s="332"/>
      <c r="K103" s="332"/>
      <c r="L103" s="332"/>
      <c r="M103" s="332"/>
      <c r="N103" s="332"/>
      <c r="O103" s="332"/>
      <c r="P103" s="332"/>
      <c r="Q103" s="1222"/>
      <c r="R103" s="1222"/>
      <c r="S103" s="2317"/>
    </row>
    <row r="104" spans="2:19" ht="0.6" customHeight="1">
      <c r="E104" s="337"/>
      <c r="F104" s="332"/>
      <c r="G104" s="1220"/>
      <c r="H104" s="2316"/>
      <c r="I104" s="2316"/>
      <c r="J104" s="2316"/>
      <c r="K104" s="1216"/>
      <c r="L104" s="2316"/>
      <c r="M104" s="2316"/>
      <c r="N104" s="1216"/>
      <c r="O104" s="1206"/>
      <c r="P104" s="1206"/>
      <c r="Q104" s="1222"/>
      <c r="R104" s="1206"/>
      <c r="S104" s="1206"/>
    </row>
    <row r="105" spans="2:19" s="332" customFormat="1" ht="11.25" customHeight="1">
      <c r="B105" s="334" t="s">
        <v>1822</v>
      </c>
      <c r="C105" s="334" t="s">
        <v>303</v>
      </c>
      <c r="H105" s="2228" t="s">
        <v>4428</v>
      </c>
      <c r="I105" s="2295"/>
      <c r="J105" s="2295"/>
      <c r="K105" s="2295"/>
      <c r="L105" s="2295"/>
      <c r="M105" s="2295"/>
      <c r="N105" s="2296"/>
      <c r="O105" s="1215" t="s">
        <v>2087</v>
      </c>
      <c r="P105" s="1215"/>
      <c r="Q105" s="2228" t="s">
        <v>4429</v>
      </c>
      <c r="R105" s="2295"/>
      <c r="S105" s="2296"/>
    </row>
    <row r="106" spans="2:19" s="332" customFormat="1" ht="11.25" customHeight="1">
      <c r="D106" s="372"/>
      <c r="E106" s="337" t="s">
        <v>1070</v>
      </c>
      <c r="F106" s="344"/>
      <c r="H106" s="2228" t="s">
        <v>4430</v>
      </c>
      <c r="I106" s="2295"/>
      <c r="J106" s="2295"/>
      <c r="K106" s="2295"/>
      <c r="L106" s="2295"/>
      <c r="M106" s="2295"/>
      <c r="N106" s="2296"/>
      <c r="O106" s="1215" t="s">
        <v>1834</v>
      </c>
      <c r="Q106" s="2228" t="s">
        <v>4425</v>
      </c>
      <c r="R106" s="2295"/>
      <c r="S106" s="2296"/>
    </row>
    <row r="107" spans="2:19" s="332" customFormat="1" ht="11.25" customHeight="1">
      <c r="D107" s="372"/>
      <c r="E107" s="337" t="s">
        <v>648</v>
      </c>
      <c r="H107" s="2228" t="s">
        <v>1263</v>
      </c>
      <c r="I107" s="2295"/>
      <c r="J107" s="2296"/>
      <c r="K107" s="1212" t="s">
        <v>2873</v>
      </c>
      <c r="L107" s="2228"/>
      <c r="M107" s="2295"/>
      <c r="N107" s="2296"/>
      <c r="O107" s="1215" t="s">
        <v>1890</v>
      </c>
      <c r="Q107" s="2253">
        <v>4048988244</v>
      </c>
      <c r="R107" s="2298"/>
      <c r="S107" s="2254"/>
    </row>
    <row r="108" spans="2:19" s="332" customFormat="1" ht="11.25" customHeight="1">
      <c r="D108" s="372"/>
      <c r="E108" s="337" t="s">
        <v>1886</v>
      </c>
      <c r="H108" s="2299" t="s">
        <v>889</v>
      </c>
      <c r="I108" s="2314" t="s">
        <v>2335</v>
      </c>
      <c r="J108" s="2300">
        <v>303286132</v>
      </c>
      <c r="K108" s="2296"/>
      <c r="O108" s="1215" t="s">
        <v>2076</v>
      </c>
      <c r="Q108" s="2253"/>
      <c r="R108" s="2298"/>
      <c r="S108" s="2254"/>
    </row>
    <row r="109" spans="2:19" ht="11.25" customHeight="1">
      <c r="E109" s="337" t="s">
        <v>2082</v>
      </c>
      <c r="F109" s="332"/>
      <c r="G109" s="332"/>
      <c r="H109" s="2253">
        <v>4048929651</v>
      </c>
      <c r="I109" s="2254"/>
      <c r="J109" s="2304"/>
      <c r="K109" s="1222" t="s">
        <v>1889</v>
      </c>
      <c r="L109" s="2305">
        <v>4048763913</v>
      </c>
      <c r="M109" s="2296"/>
      <c r="N109" s="339" t="s">
        <v>2081</v>
      </c>
      <c r="O109" s="2307" t="s">
        <v>4431</v>
      </c>
      <c r="P109" s="2308"/>
      <c r="Q109" s="2308"/>
      <c r="R109" s="2308"/>
      <c r="S109" s="2309"/>
    </row>
    <row r="110" spans="2:19" ht="6.6" customHeight="1">
      <c r="E110" s="337"/>
      <c r="F110" s="332"/>
      <c r="G110" s="1220"/>
      <c r="H110" s="2315"/>
      <c r="I110" s="2315"/>
      <c r="J110" s="2315"/>
      <c r="K110" s="1222"/>
      <c r="L110" s="2315"/>
      <c r="M110" s="2315"/>
      <c r="N110" s="1216"/>
      <c r="O110" s="1206"/>
      <c r="P110" s="1206"/>
      <c r="Q110" s="1222"/>
      <c r="R110" s="1206"/>
      <c r="S110" s="1206"/>
    </row>
    <row r="111" spans="2:19" s="332" customFormat="1" ht="11.25" customHeight="1">
      <c r="B111" s="334" t="s">
        <v>1823</v>
      </c>
      <c r="C111" s="334" t="s">
        <v>304</v>
      </c>
      <c r="H111" s="2228" t="s">
        <v>4432</v>
      </c>
      <c r="I111" s="2295"/>
      <c r="J111" s="2295"/>
      <c r="K111" s="2295"/>
      <c r="L111" s="2295"/>
      <c r="M111" s="2295"/>
      <c r="N111" s="2296"/>
      <c r="O111" s="1215" t="s">
        <v>2087</v>
      </c>
      <c r="P111" s="1215"/>
      <c r="Q111" s="2228" t="s">
        <v>4433</v>
      </c>
      <c r="R111" s="2295"/>
      <c r="S111" s="2296"/>
    </row>
    <row r="112" spans="2:19" s="332" customFormat="1" ht="11.25" customHeight="1">
      <c r="D112" s="372"/>
      <c r="E112" s="337" t="s">
        <v>1070</v>
      </c>
      <c r="F112" s="344"/>
      <c r="H112" s="2228" t="s">
        <v>4434</v>
      </c>
      <c r="I112" s="2295"/>
      <c r="J112" s="2295"/>
      <c r="K112" s="2295"/>
      <c r="L112" s="2295"/>
      <c r="M112" s="2295"/>
      <c r="N112" s="2296"/>
      <c r="O112" s="1215" t="s">
        <v>1834</v>
      </c>
      <c r="Q112" s="2228" t="s">
        <v>2596</v>
      </c>
      <c r="R112" s="2295"/>
      <c r="S112" s="2296"/>
    </row>
    <row r="113" spans="1:19" s="332" customFormat="1" ht="11.25" customHeight="1">
      <c r="D113" s="372"/>
      <c r="E113" s="337" t="s">
        <v>648</v>
      </c>
      <c r="H113" s="2228" t="s">
        <v>1780</v>
      </c>
      <c r="I113" s="2295"/>
      <c r="J113" s="2296"/>
      <c r="K113" s="1212" t="s">
        <v>2873</v>
      </c>
      <c r="L113" s="2228" t="s">
        <v>4435</v>
      </c>
      <c r="M113" s="2295"/>
      <c r="N113" s="2296"/>
      <c r="O113" s="1215" t="s">
        <v>1890</v>
      </c>
      <c r="Q113" s="2253"/>
      <c r="R113" s="2298"/>
      <c r="S113" s="2254"/>
    </row>
    <row r="114" spans="1:19" s="332" customFormat="1" ht="11.25" customHeight="1">
      <c r="D114" s="376"/>
      <c r="E114" s="337" t="s">
        <v>1886</v>
      </c>
      <c r="H114" s="2299" t="s">
        <v>889</v>
      </c>
      <c r="I114" s="2314" t="s">
        <v>2335</v>
      </c>
      <c r="J114" s="2300">
        <v>316023735</v>
      </c>
      <c r="K114" s="2296"/>
      <c r="O114" s="1215" t="s">
        <v>2076</v>
      </c>
      <c r="Q114" s="2253"/>
      <c r="R114" s="2298"/>
      <c r="S114" s="2254"/>
    </row>
    <row r="115" spans="1:19" s="332" customFormat="1" ht="11.25" customHeight="1">
      <c r="D115" s="376"/>
      <c r="E115" s="337" t="s">
        <v>2082</v>
      </c>
      <c r="H115" s="2253">
        <v>2292441188</v>
      </c>
      <c r="I115" s="2254"/>
      <c r="J115" s="2304"/>
      <c r="K115" s="1222" t="s">
        <v>1889</v>
      </c>
      <c r="L115" s="2305">
        <v>2292530004</v>
      </c>
      <c r="M115" s="2296"/>
      <c r="N115" s="339" t="s">
        <v>2081</v>
      </c>
      <c r="O115" s="2307" t="s">
        <v>4436</v>
      </c>
      <c r="P115" s="2308"/>
      <c r="Q115" s="2308"/>
      <c r="R115" s="2308"/>
      <c r="S115" s="2309"/>
    </row>
    <row r="116" spans="1:19" ht="4.5" customHeight="1"/>
    <row r="117" spans="1:19" s="332" customFormat="1" ht="13.15" customHeight="1">
      <c r="A117" s="334" t="s">
        <v>1879</v>
      </c>
      <c r="B117" s="334" t="s">
        <v>2730</v>
      </c>
      <c r="F117" s="334"/>
      <c r="G117" s="1222"/>
      <c r="H117" s="1222"/>
      <c r="I117" s="1222"/>
      <c r="J117" s="1222"/>
      <c r="K117" s="1222"/>
      <c r="L117" s="1222"/>
      <c r="M117" s="1222"/>
      <c r="N117" s="1222"/>
      <c r="O117" s="1222"/>
      <c r="P117" s="1222"/>
      <c r="Q117" s="1212"/>
    </row>
    <row r="118" spans="1:19" s="332" customFormat="1" ht="3" customHeight="1">
      <c r="A118" s="334"/>
      <c r="B118" s="334"/>
      <c r="F118" s="334"/>
      <c r="G118" s="1222"/>
      <c r="H118" s="1222"/>
      <c r="I118" s="1222"/>
      <c r="J118" s="1222"/>
      <c r="K118" s="1222"/>
      <c r="L118" s="1222"/>
      <c r="M118" s="1222"/>
      <c r="N118" s="1222"/>
      <c r="O118" s="1222"/>
      <c r="P118" s="1222"/>
      <c r="Q118" s="1212"/>
    </row>
    <row r="119" spans="1:19" ht="12" customHeight="1">
      <c r="B119" s="334" t="s">
        <v>2080</v>
      </c>
      <c r="C119" s="334" t="s">
        <v>3175</v>
      </c>
      <c r="H119" s="1207"/>
      <c r="I119" s="1207"/>
      <c r="J119" s="1207"/>
      <c r="K119" s="1207"/>
      <c r="L119" s="1207"/>
      <c r="M119" s="1207"/>
      <c r="N119" s="1207"/>
      <c r="O119" s="1207"/>
      <c r="P119" s="1207"/>
      <c r="Q119" s="1207"/>
      <c r="R119" s="1207"/>
      <c r="S119" s="1207"/>
    </row>
    <row r="120" spans="1:19" ht="11.25" customHeight="1">
      <c r="A120" s="1397" t="s">
        <v>4022</v>
      </c>
      <c r="B120" s="1397"/>
      <c r="C120" s="1397"/>
      <c r="D120" s="1397"/>
      <c r="E120" s="1398"/>
      <c r="F120" s="2318" t="s">
        <v>2635</v>
      </c>
      <c r="G120" s="2319" t="s">
        <v>4216</v>
      </c>
      <c r="H120" s="2320"/>
      <c r="I120" s="2320"/>
      <c r="J120" s="2320"/>
      <c r="K120" s="2320"/>
      <c r="L120" s="2320"/>
      <c r="M120" s="2320"/>
      <c r="N120" s="2320"/>
      <c r="O120" s="2320"/>
      <c r="P120" s="2320"/>
      <c r="Q120" s="2320"/>
      <c r="R120" s="2320"/>
      <c r="S120" s="2321"/>
    </row>
    <row r="121" spans="1:19" s="332" customFormat="1" ht="35.25" customHeight="1">
      <c r="B121" s="580"/>
      <c r="C121" s="852" t="s">
        <v>2084</v>
      </c>
      <c r="D121" s="1395" t="s">
        <v>3176</v>
      </c>
      <c r="E121" s="1396"/>
      <c r="F121" s="2322" t="s">
        <v>3421</v>
      </c>
      <c r="G121" s="2323" t="s">
        <v>4504</v>
      </c>
      <c r="H121" s="2324"/>
      <c r="I121" s="2324"/>
      <c r="J121" s="2324"/>
      <c r="K121" s="2324"/>
      <c r="L121" s="2324"/>
      <c r="M121" s="2324"/>
      <c r="N121" s="2324"/>
      <c r="O121" s="2324"/>
      <c r="P121" s="2324"/>
      <c r="Q121" s="2324"/>
      <c r="R121" s="2324"/>
      <c r="S121" s="2325"/>
    </row>
    <row r="122" spans="1:19" s="332" customFormat="1" ht="35.25" customHeight="1">
      <c r="B122" s="580"/>
      <c r="C122" s="852" t="s">
        <v>2086</v>
      </c>
      <c r="D122" s="1395" t="s">
        <v>3296</v>
      </c>
      <c r="E122" s="1396"/>
      <c r="F122" s="2326" t="s">
        <v>3421</v>
      </c>
      <c r="G122" s="2327" t="s">
        <v>4402</v>
      </c>
      <c r="H122" s="2328"/>
      <c r="I122" s="2328"/>
      <c r="J122" s="2328"/>
      <c r="K122" s="2328"/>
      <c r="L122" s="2328"/>
      <c r="M122" s="2328"/>
      <c r="N122" s="2328"/>
      <c r="O122" s="2328"/>
      <c r="P122" s="2328"/>
      <c r="Q122" s="2328"/>
      <c r="R122" s="2328"/>
      <c r="S122" s="2329"/>
    </row>
    <row r="123" spans="1:19" s="332" customFormat="1" ht="35.25" customHeight="1">
      <c r="B123" s="580"/>
      <c r="C123" s="852" t="s">
        <v>2660</v>
      </c>
      <c r="D123" s="1395" t="s">
        <v>3262</v>
      </c>
      <c r="E123" s="1396"/>
      <c r="F123" s="2326" t="s">
        <v>3421</v>
      </c>
      <c r="G123" s="2327" t="s">
        <v>4399</v>
      </c>
      <c r="H123" s="2328"/>
      <c r="I123" s="2328"/>
      <c r="J123" s="2328"/>
      <c r="K123" s="2328"/>
      <c r="L123" s="2328"/>
      <c r="M123" s="2328"/>
      <c r="N123" s="2328"/>
      <c r="O123" s="2328"/>
      <c r="P123" s="2328"/>
      <c r="Q123" s="2328"/>
      <c r="R123" s="2328"/>
      <c r="S123" s="2329"/>
    </row>
    <row r="124" spans="1:19" s="332" customFormat="1" ht="35.25" customHeight="1">
      <c r="B124" s="580"/>
      <c r="C124" s="852" t="s">
        <v>1282</v>
      </c>
      <c r="D124" s="1395" t="s">
        <v>3177</v>
      </c>
      <c r="E124" s="1396"/>
      <c r="F124" s="2326"/>
      <c r="G124" s="2327" t="s">
        <v>4401</v>
      </c>
      <c r="H124" s="2328"/>
      <c r="I124" s="2328"/>
      <c r="J124" s="2328"/>
      <c r="K124" s="2328"/>
      <c r="L124" s="2328"/>
      <c r="M124" s="2328"/>
      <c r="N124" s="2328"/>
      <c r="O124" s="2328"/>
      <c r="P124" s="2328"/>
      <c r="Q124" s="2328"/>
      <c r="R124" s="2328"/>
      <c r="S124" s="2329"/>
    </row>
    <row r="125" spans="1:19" s="332" customFormat="1" ht="35.25" customHeight="1">
      <c r="B125" s="580"/>
      <c r="C125" s="852" t="s">
        <v>1283</v>
      </c>
      <c r="D125" s="1395" t="s">
        <v>4165</v>
      </c>
      <c r="E125" s="1396"/>
      <c r="F125" s="2326" t="s">
        <v>3424</v>
      </c>
      <c r="G125" s="2327"/>
      <c r="H125" s="2328"/>
      <c r="I125" s="2328"/>
      <c r="J125" s="2328"/>
      <c r="K125" s="2328"/>
      <c r="L125" s="2328"/>
      <c r="M125" s="2328"/>
      <c r="N125" s="2328"/>
      <c r="O125" s="2328"/>
      <c r="P125" s="2328"/>
      <c r="Q125" s="2328"/>
      <c r="R125" s="2328"/>
      <c r="S125" s="2329"/>
    </row>
    <row r="126" spans="1:19" s="332" customFormat="1" ht="35.25" customHeight="1">
      <c r="B126" s="580"/>
      <c r="C126" s="852" t="s">
        <v>1977</v>
      </c>
      <c r="D126" s="1395" t="s">
        <v>4166</v>
      </c>
      <c r="E126" s="1396"/>
      <c r="F126" s="2326" t="s">
        <v>3424</v>
      </c>
      <c r="G126" s="2327"/>
      <c r="H126" s="2328"/>
      <c r="I126" s="2328"/>
      <c r="J126" s="2328"/>
      <c r="K126" s="2328"/>
      <c r="L126" s="2328"/>
      <c r="M126" s="2328"/>
      <c r="N126" s="2328"/>
      <c r="O126" s="2328"/>
      <c r="P126" s="2328"/>
      <c r="Q126" s="2328"/>
      <c r="R126" s="2328"/>
      <c r="S126" s="2329"/>
    </row>
    <row r="127" spans="1:19" s="332" customFormat="1" ht="35.25" customHeight="1">
      <c r="B127" s="580"/>
      <c r="C127" s="852" t="s">
        <v>525</v>
      </c>
      <c r="D127" s="1395" t="s">
        <v>3178</v>
      </c>
      <c r="E127" s="1396"/>
      <c r="F127" s="2326"/>
      <c r="G127" s="2327" t="s">
        <v>1016</v>
      </c>
      <c r="H127" s="2328"/>
      <c r="I127" s="2328"/>
      <c r="J127" s="2328"/>
      <c r="K127" s="2328"/>
      <c r="L127" s="2328"/>
      <c r="M127" s="2328"/>
      <c r="N127" s="2328"/>
      <c r="O127" s="2328"/>
      <c r="P127" s="2328"/>
      <c r="Q127" s="2328"/>
      <c r="R127" s="2328"/>
      <c r="S127" s="2329"/>
    </row>
    <row r="128" spans="1:19" s="332" customFormat="1" ht="35.25" customHeight="1">
      <c r="B128" s="580"/>
      <c r="C128" s="852" t="s">
        <v>526</v>
      </c>
      <c r="D128" s="1395" t="s">
        <v>1678</v>
      </c>
      <c r="E128" s="1396"/>
      <c r="F128" s="2330" t="s">
        <v>3421</v>
      </c>
      <c r="G128" s="2331" t="s">
        <v>4400</v>
      </c>
      <c r="H128" s="2332"/>
      <c r="I128" s="2332"/>
      <c r="J128" s="2332"/>
      <c r="K128" s="2332"/>
      <c r="L128" s="2332"/>
      <c r="M128" s="2332"/>
      <c r="N128" s="2332"/>
      <c r="O128" s="2332"/>
      <c r="P128" s="2332"/>
      <c r="Q128" s="2332"/>
      <c r="R128" s="2332"/>
      <c r="S128" s="2333"/>
    </row>
    <row r="129" spans="1:19" s="332" customFormat="1" ht="13.15" customHeight="1">
      <c r="A129" s="334" t="s">
        <v>1879</v>
      </c>
      <c r="B129" s="334" t="s">
        <v>3188</v>
      </c>
      <c r="F129" s="334"/>
      <c r="G129" s="1222"/>
      <c r="H129" s="1222"/>
      <c r="I129" s="1222"/>
      <c r="J129" s="1222"/>
      <c r="K129" s="1222"/>
      <c r="L129" s="1222"/>
      <c r="M129" s="1222"/>
      <c r="N129" s="1222"/>
      <c r="O129" s="1222"/>
      <c r="P129" s="1222"/>
      <c r="Q129" s="1212"/>
    </row>
    <row r="130" spans="1:19" s="332" customFormat="1" ht="2.25" customHeight="1">
      <c r="A130" s="334"/>
      <c r="B130" s="334"/>
      <c r="F130" s="334"/>
      <c r="G130" s="1222"/>
      <c r="H130" s="1222"/>
      <c r="I130" s="1222"/>
      <c r="J130" s="1222"/>
      <c r="K130" s="1222"/>
      <c r="L130" s="1222"/>
      <c r="M130" s="1222"/>
      <c r="N130" s="1222"/>
      <c r="O130" s="1222"/>
      <c r="P130" s="1222"/>
      <c r="Q130" s="1212"/>
    </row>
    <row r="131" spans="1:19" ht="13.15" customHeight="1">
      <c r="B131" s="334" t="s">
        <v>2083</v>
      </c>
      <c r="C131" s="334" t="s">
        <v>3179</v>
      </c>
    </row>
    <row r="132" spans="1:19" s="332" customFormat="1" ht="13.5" customHeight="1">
      <c r="A132" s="1408" t="s">
        <v>670</v>
      </c>
      <c r="B132" s="1409"/>
      <c r="C132" s="1409"/>
      <c r="D132" s="1409"/>
      <c r="E132" s="1414" t="s">
        <v>4028</v>
      </c>
      <c r="F132" s="1383"/>
      <c r="G132" s="1383"/>
      <c r="H132" s="1383"/>
      <c r="I132" s="1384"/>
      <c r="J132" s="1388" t="s">
        <v>4029</v>
      </c>
      <c r="K132" s="1391" t="s">
        <v>3331</v>
      </c>
      <c r="L132" s="1391" t="s">
        <v>3332</v>
      </c>
      <c r="M132" s="1382" t="s">
        <v>4057</v>
      </c>
      <c r="N132" s="1383"/>
      <c r="O132" s="1383"/>
      <c r="P132" s="1383"/>
      <c r="Q132" s="1383"/>
      <c r="R132" s="1383"/>
      <c r="S132" s="1384"/>
    </row>
    <row r="133" spans="1:19" s="332" customFormat="1" ht="13.5" customHeight="1">
      <c r="A133" s="1410"/>
      <c r="B133" s="1411"/>
      <c r="C133" s="1411"/>
      <c r="D133" s="1411"/>
      <c r="E133" s="1385"/>
      <c r="F133" s="1386"/>
      <c r="G133" s="1386"/>
      <c r="H133" s="1386"/>
      <c r="I133" s="1387"/>
      <c r="J133" s="1389"/>
      <c r="K133" s="1392"/>
      <c r="L133" s="1392"/>
      <c r="M133" s="1385"/>
      <c r="N133" s="1386"/>
      <c r="O133" s="1386"/>
      <c r="P133" s="1386"/>
      <c r="Q133" s="1386"/>
      <c r="R133" s="1386"/>
      <c r="S133" s="1387"/>
    </row>
    <row r="134" spans="1:19" s="332" customFormat="1" ht="13.5" customHeight="1">
      <c r="A134" s="1410"/>
      <c r="B134" s="1411"/>
      <c r="C134" s="1411"/>
      <c r="D134" s="1411"/>
      <c r="E134" s="854"/>
      <c r="F134" s="855"/>
      <c r="G134" s="855"/>
      <c r="H134" s="855"/>
      <c r="I134" s="856"/>
      <c r="J134" s="1389"/>
      <c r="K134" s="1392"/>
      <c r="L134" s="1392"/>
      <c r="M134" s="1385"/>
      <c r="N134" s="1386"/>
      <c r="O134" s="1386"/>
      <c r="P134" s="1386"/>
      <c r="Q134" s="1386"/>
      <c r="R134" s="1386"/>
      <c r="S134" s="1387"/>
    </row>
    <row r="135" spans="1:19" s="332" customFormat="1" ht="13.5" customHeight="1">
      <c r="A135" s="1410"/>
      <c r="B135" s="1411"/>
      <c r="C135" s="1411"/>
      <c r="D135" s="1411"/>
      <c r="E135" s="1415" t="s">
        <v>4119</v>
      </c>
      <c r="F135" s="1416"/>
      <c r="G135" s="1416"/>
      <c r="H135" s="1417"/>
      <c r="I135" s="853"/>
      <c r="J135" s="1389"/>
      <c r="K135" s="1392"/>
      <c r="L135" s="1392"/>
      <c r="M135" s="1385"/>
      <c r="N135" s="1386"/>
      <c r="O135" s="1386"/>
      <c r="P135" s="1386"/>
      <c r="Q135" s="1386"/>
      <c r="R135" s="1386"/>
      <c r="S135" s="1387"/>
    </row>
    <row r="136" spans="1:19" s="332" customFormat="1" ht="13.5" customHeight="1">
      <c r="A136" s="1412"/>
      <c r="B136" s="1413"/>
      <c r="C136" s="1413"/>
      <c r="D136" s="1413"/>
      <c r="E136" s="1418"/>
      <c r="F136" s="1419"/>
      <c r="G136" s="1419"/>
      <c r="H136" s="1420"/>
      <c r="I136" s="1183" t="s">
        <v>2635</v>
      </c>
      <c r="J136" s="1390"/>
      <c r="K136" s="1393"/>
      <c r="L136" s="1392"/>
      <c r="M136" s="403" t="s">
        <v>2635</v>
      </c>
      <c r="N136" s="1365" t="s">
        <v>3330</v>
      </c>
      <c r="O136" s="1365"/>
      <c r="P136" s="1365"/>
      <c r="Q136" s="1365"/>
      <c r="R136" s="1365"/>
      <c r="S136" s="1394"/>
    </row>
    <row r="137" spans="1:19" s="332" customFormat="1" ht="25.5" customHeight="1">
      <c r="A137" s="1405" t="s">
        <v>4023</v>
      </c>
      <c r="B137" s="1406"/>
      <c r="C137" s="1406"/>
      <c r="D137" s="1407"/>
      <c r="E137" s="2323"/>
      <c r="F137" s="2324"/>
      <c r="G137" s="2324"/>
      <c r="H137" s="2324"/>
      <c r="I137" s="2334" t="s">
        <v>3424</v>
      </c>
      <c r="J137" s="2335" t="s">
        <v>3424</v>
      </c>
      <c r="K137" s="2336" t="s">
        <v>4398</v>
      </c>
      <c r="L137" s="2337">
        <v>9.0000000000000006E-5</v>
      </c>
      <c r="M137" s="2338" t="s">
        <v>3421</v>
      </c>
      <c r="N137" s="2339" t="s">
        <v>4558</v>
      </c>
      <c r="O137" s="2340"/>
      <c r="P137" s="2340"/>
      <c r="Q137" s="2340"/>
      <c r="R137" s="2340"/>
      <c r="S137" s="2341"/>
    </row>
    <row r="138" spans="1:19" s="332" customFormat="1" ht="25.5" customHeight="1">
      <c r="A138" s="1402" t="s">
        <v>4024</v>
      </c>
      <c r="B138" s="1403"/>
      <c r="C138" s="1403"/>
      <c r="D138" s="1404"/>
      <c r="E138" s="2327"/>
      <c r="F138" s="2328"/>
      <c r="G138" s="2328"/>
      <c r="H138" s="2328"/>
      <c r="I138" s="2342"/>
      <c r="J138" s="2343"/>
      <c r="K138" s="2344"/>
      <c r="L138" s="2345"/>
      <c r="M138" s="2346"/>
      <c r="N138" s="2347"/>
      <c r="O138" s="2348"/>
      <c r="P138" s="2348"/>
      <c r="Q138" s="2348"/>
      <c r="R138" s="2348"/>
      <c r="S138" s="2349"/>
    </row>
    <row r="139" spans="1:19" s="332" customFormat="1" ht="25.5" customHeight="1">
      <c r="A139" s="1402" t="s">
        <v>4025</v>
      </c>
      <c r="B139" s="1403"/>
      <c r="C139" s="1403"/>
      <c r="D139" s="1404"/>
      <c r="E139" s="2327"/>
      <c r="F139" s="2328"/>
      <c r="G139" s="2328"/>
      <c r="H139" s="2328"/>
      <c r="I139" s="2342"/>
      <c r="J139" s="2343"/>
      <c r="K139" s="2344"/>
      <c r="L139" s="2345"/>
      <c r="M139" s="2346"/>
      <c r="N139" s="2347"/>
      <c r="O139" s="2348"/>
      <c r="P139" s="2348"/>
      <c r="Q139" s="2348"/>
      <c r="R139" s="2348"/>
      <c r="S139" s="2349"/>
    </row>
    <row r="140" spans="1:19" s="332" customFormat="1" ht="25.5" customHeight="1">
      <c r="A140" s="1402" t="s">
        <v>4026</v>
      </c>
      <c r="B140" s="1403"/>
      <c r="C140" s="1403"/>
      <c r="D140" s="1404"/>
      <c r="E140" s="2327"/>
      <c r="F140" s="2328"/>
      <c r="G140" s="2328"/>
      <c r="H140" s="2328"/>
      <c r="I140" s="2342" t="s">
        <v>3424</v>
      </c>
      <c r="J140" s="2343" t="s">
        <v>3424</v>
      </c>
      <c r="K140" s="2344" t="s">
        <v>4398</v>
      </c>
      <c r="L140" s="2345">
        <v>0.99980999999999998</v>
      </c>
      <c r="M140" s="2346" t="s">
        <v>3424</v>
      </c>
      <c r="N140" s="2347"/>
      <c r="O140" s="2348"/>
      <c r="P140" s="2348"/>
      <c r="Q140" s="2348"/>
      <c r="R140" s="2348"/>
      <c r="S140" s="2349"/>
    </row>
    <row r="141" spans="1:19" s="332" customFormat="1" ht="25.5" customHeight="1">
      <c r="A141" s="1402" t="s">
        <v>4027</v>
      </c>
      <c r="B141" s="1403"/>
      <c r="C141" s="1403"/>
      <c r="D141" s="1404"/>
      <c r="E141" s="2327"/>
      <c r="F141" s="2328"/>
      <c r="G141" s="2328"/>
      <c r="H141" s="2328"/>
      <c r="I141" s="2342" t="s">
        <v>3424</v>
      </c>
      <c r="J141" s="2343" t="s">
        <v>3424</v>
      </c>
      <c r="K141" s="2344" t="s">
        <v>4398</v>
      </c>
      <c r="L141" s="2345">
        <v>1E-4</v>
      </c>
      <c r="M141" s="2346" t="s">
        <v>3424</v>
      </c>
      <c r="N141" s="2347"/>
      <c r="O141" s="2348"/>
      <c r="P141" s="2348"/>
      <c r="Q141" s="2348"/>
      <c r="R141" s="2348"/>
      <c r="S141" s="2349"/>
    </row>
    <row r="142" spans="1:19" s="332" customFormat="1" ht="25.5" customHeight="1">
      <c r="A142" s="1402" t="s">
        <v>3289</v>
      </c>
      <c r="B142" s="1403"/>
      <c r="C142" s="1403"/>
      <c r="D142" s="1404"/>
      <c r="E142" s="2327"/>
      <c r="F142" s="2328"/>
      <c r="G142" s="2328"/>
      <c r="H142" s="2328"/>
      <c r="I142" s="2342"/>
      <c r="J142" s="2343"/>
      <c r="K142" s="2344"/>
      <c r="L142" s="2345"/>
      <c r="M142" s="2346"/>
      <c r="N142" s="2347"/>
      <c r="O142" s="2348"/>
      <c r="P142" s="2348"/>
      <c r="Q142" s="2348"/>
      <c r="R142" s="2348"/>
      <c r="S142" s="2349"/>
    </row>
    <row r="143" spans="1:19" s="332" customFormat="1" ht="25.5" customHeight="1">
      <c r="A143" s="1402" t="s">
        <v>687</v>
      </c>
      <c r="B143" s="1403"/>
      <c r="C143" s="1403"/>
      <c r="D143" s="1404"/>
      <c r="E143" s="2327"/>
      <c r="F143" s="2328"/>
      <c r="G143" s="2328"/>
      <c r="H143" s="2328"/>
      <c r="I143" s="2342" t="s">
        <v>3424</v>
      </c>
      <c r="J143" s="2343" t="s">
        <v>3424</v>
      </c>
      <c r="K143" s="2344" t="s">
        <v>4398</v>
      </c>
      <c r="L143" s="2345">
        <v>0</v>
      </c>
      <c r="M143" s="2346" t="s">
        <v>3421</v>
      </c>
      <c r="N143" s="2347" t="s">
        <v>4558</v>
      </c>
      <c r="O143" s="2348"/>
      <c r="P143" s="2348"/>
      <c r="Q143" s="2348"/>
      <c r="R143" s="2348"/>
      <c r="S143" s="2349"/>
    </row>
    <row r="144" spans="1:19" s="332" customFormat="1" ht="25.5" customHeight="1">
      <c r="A144" s="1402" t="s">
        <v>3290</v>
      </c>
      <c r="B144" s="1403"/>
      <c r="C144" s="1403"/>
      <c r="D144" s="1404"/>
      <c r="E144" s="2327"/>
      <c r="F144" s="2328"/>
      <c r="G144" s="2328"/>
      <c r="H144" s="2328"/>
      <c r="I144" s="2342"/>
      <c r="J144" s="2343"/>
      <c r="K144" s="2344"/>
      <c r="L144" s="2345"/>
      <c r="M144" s="2346"/>
      <c r="N144" s="2347"/>
      <c r="O144" s="2348"/>
      <c r="P144" s="2348"/>
      <c r="Q144" s="2348"/>
      <c r="R144" s="2348"/>
      <c r="S144" s="2349"/>
    </row>
    <row r="145" spans="1:24" s="332" customFormat="1" ht="25.5" customHeight="1">
      <c r="A145" s="1402" t="s">
        <v>3291</v>
      </c>
      <c r="B145" s="1403"/>
      <c r="C145" s="1403"/>
      <c r="D145" s="1404"/>
      <c r="E145" s="2327"/>
      <c r="F145" s="2328"/>
      <c r="G145" s="2328"/>
      <c r="H145" s="2328"/>
      <c r="I145" s="2342"/>
      <c r="J145" s="2343"/>
      <c r="K145" s="2344"/>
      <c r="L145" s="2345"/>
      <c r="M145" s="2346"/>
      <c r="N145" s="2347"/>
      <c r="O145" s="2348"/>
      <c r="P145" s="2348"/>
      <c r="Q145" s="2348"/>
      <c r="R145" s="2348"/>
      <c r="S145" s="2349"/>
    </row>
    <row r="146" spans="1:24" s="332" customFormat="1" ht="25.5" customHeight="1">
      <c r="A146" s="1402" t="s">
        <v>3293</v>
      </c>
      <c r="B146" s="1403"/>
      <c r="C146" s="1403"/>
      <c r="D146" s="1404"/>
      <c r="E146" s="2327"/>
      <c r="F146" s="2328"/>
      <c r="G146" s="2328"/>
      <c r="H146" s="2328"/>
      <c r="I146" s="2342"/>
      <c r="J146" s="2343"/>
      <c r="K146" s="2344"/>
      <c r="L146" s="2345"/>
      <c r="M146" s="2346"/>
      <c r="N146" s="2347"/>
      <c r="O146" s="2348"/>
      <c r="P146" s="2348"/>
      <c r="Q146" s="2348"/>
      <c r="R146" s="2348"/>
      <c r="S146" s="2349"/>
    </row>
    <row r="147" spans="1:24" s="332" customFormat="1" ht="25.5" customHeight="1">
      <c r="A147" s="1402" t="s">
        <v>3292</v>
      </c>
      <c r="B147" s="1403"/>
      <c r="C147" s="1403"/>
      <c r="D147" s="1404"/>
      <c r="E147" s="2327"/>
      <c r="F147" s="2328"/>
      <c r="G147" s="2328"/>
      <c r="H147" s="2328"/>
      <c r="I147" s="2342"/>
      <c r="J147" s="2343"/>
      <c r="K147" s="2344"/>
      <c r="L147" s="2345"/>
      <c r="M147" s="2346"/>
      <c r="N147" s="2347"/>
      <c r="O147" s="2348"/>
      <c r="P147" s="2348"/>
      <c r="Q147" s="2348"/>
      <c r="R147" s="2348"/>
      <c r="S147" s="2349"/>
    </row>
    <row r="148" spans="1:24" s="332" customFormat="1" ht="25.5" customHeight="1">
      <c r="A148" s="1402" t="s">
        <v>1604</v>
      </c>
      <c r="B148" s="1403"/>
      <c r="C148" s="1403"/>
      <c r="D148" s="1404"/>
      <c r="E148" s="2327"/>
      <c r="F148" s="2328"/>
      <c r="G148" s="2328"/>
      <c r="H148" s="2328"/>
      <c r="I148" s="2342" t="s">
        <v>3424</v>
      </c>
      <c r="J148" s="2343" t="s">
        <v>3424</v>
      </c>
      <c r="K148" s="2344" t="s">
        <v>4398</v>
      </c>
      <c r="L148" s="2345">
        <v>0</v>
      </c>
      <c r="M148" s="2346" t="s">
        <v>3421</v>
      </c>
      <c r="N148" s="2347" t="s">
        <v>4558</v>
      </c>
      <c r="O148" s="2348"/>
      <c r="P148" s="2348"/>
      <c r="Q148" s="2348"/>
      <c r="R148" s="2348"/>
      <c r="S148" s="2349"/>
    </row>
    <row r="149" spans="1:24" s="332" customFormat="1" ht="25.5" customHeight="1">
      <c r="A149" s="1399" t="s">
        <v>3294</v>
      </c>
      <c r="B149" s="1400"/>
      <c r="C149" s="1400"/>
      <c r="D149" s="1401"/>
      <c r="E149" s="2331"/>
      <c r="F149" s="2332"/>
      <c r="G149" s="2332"/>
      <c r="H149" s="2332"/>
      <c r="I149" s="2350" t="s">
        <v>3424</v>
      </c>
      <c r="J149" s="2351" t="s">
        <v>3424</v>
      </c>
      <c r="K149" s="2352" t="s">
        <v>4398</v>
      </c>
      <c r="L149" s="2353">
        <v>0</v>
      </c>
      <c r="M149" s="2354" t="s">
        <v>3421</v>
      </c>
      <c r="N149" s="2355" t="s">
        <v>4558</v>
      </c>
      <c r="O149" s="2356"/>
      <c r="P149" s="2356"/>
      <c r="Q149" s="2356"/>
      <c r="R149" s="2356"/>
      <c r="S149" s="2357"/>
    </row>
    <row r="150" spans="1:24" s="1220" customFormat="1" ht="12" customHeight="1">
      <c r="G150" s="342"/>
      <c r="H150" s="342"/>
      <c r="I150" s="342"/>
      <c r="J150" s="1222"/>
      <c r="K150" s="355" t="s">
        <v>562</v>
      </c>
      <c r="L150" s="639">
        <f>SUM(L137:S149)</f>
        <v>1</v>
      </c>
      <c r="M150" s="1222"/>
      <c r="P150" s="1265"/>
    </row>
    <row r="151" spans="1:24" ht="11.25" customHeight="1">
      <c r="A151" s="357" t="s">
        <v>1881</v>
      </c>
      <c r="B151" s="371"/>
      <c r="C151" s="357" t="s">
        <v>598</v>
      </c>
      <c r="N151" s="357" t="s">
        <v>553</v>
      </c>
      <c r="O151" s="357" t="s">
        <v>81</v>
      </c>
    </row>
    <row r="152" spans="1:24" ht="255" customHeight="1">
      <c r="A152" s="2284" t="s">
        <v>4559</v>
      </c>
      <c r="B152" s="2285"/>
      <c r="C152" s="2285"/>
      <c r="D152" s="2285"/>
      <c r="E152" s="2285"/>
      <c r="F152" s="2285"/>
      <c r="G152" s="2285"/>
      <c r="H152" s="2285"/>
      <c r="I152" s="2285"/>
      <c r="J152" s="2285"/>
      <c r="K152" s="2285"/>
      <c r="L152" s="2285"/>
      <c r="M152" s="2286"/>
      <c r="N152" s="2287"/>
      <c r="O152" s="2288"/>
      <c r="P152" s="2288"/>
      <c r="Q152" s="2288"/>
      <c r="R152" s="2288"/>
      <c r="S152" s="2289"/>
      <c r="T152" s="1353" t="s">
        <v>2853</v>
      </c>
      <c r="U152" s="1353"/>
      <c r="V152" s="1353"/>
      <c r="W152" s="1353"/>
      <c r="X152" s="1353"/>
    </row>
    <row r="153" spans="1:24" s="332" customFormat="1" ht="12" customHeight="1">
      <c r="A153" s="338"/>
      <c r="B153" s="348"/>
      <c r="C153" s="348"/>
      <c r="D153" s="348"/>
      <c r="E153" s="348"/>
      <c r="F153" s="348"/>
      <c r="G153" s="348"/>
      <c r="H153" s="348"/>
      <c r="I153" s="348"/>
      <c r="J153" s="348"/>
      <c r="K153" s="348"/>
      <c r="L153" s="348"/>
      <c r="M153" s="348"/>
      <c r="N153" s="348"/>
      <c r="O153" s="348"/>
      <c r="T153" s="1353"/>
      <c r="U153" s="1353"/>
      <c r="V153" s="1353"/>
      <c r="W153" s="1353"/>
      <c r="X153" s="1353"/>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58" t="s">
        <v>1886</v>
      </c>
    </row>
    <row r="158" spans="1:24" s="332" customFormat="1" ht="12" customHeight="1">
      <c r="A158" s="372"/>
      <c r="B158" s="348"/>
      <c r="C158" s="348"/>
      <c r="D158" s="348"/>
      <c r="E158" s="348"/>
      <c r="F158" s="348"/>
      <c r="G158" s="348"/>
      <c r="H158" s="348"/>
      <c r="I158" s="348"/>
      <c r="J158" s="348"/>
      <c r="K158" s="348"/>
      <c r="L158" s="348"/>
      <c r="M158" s="348"/>
      <c r="N158" s="348"/>
      <c r="O158" s="348"/>
      <c r="P158" s="2359" t="s">
        <v>879</v>
      </c>
    </row>
    <row r="159" spans="1:24" s="332" customFormat="1" ht="12" customHeight="1">
      <c r="A159" s="372"/>
      <c r="B159" s="348"/>
      <c r="C159" s="348"/>
      <c r="D159" s="348"/>
      <c r="E159" s="348"/>
      <c r="F159" s="348"/>
      <c r="G159" s="348"/>
      <c r="H159" s="348"/>
      <c r="I159" s="348"/>
      <c r="J159" s="348"/>
      <c r="K159" s="348"/>
      <c r="L159" s="348"/>
      <c r="M159" s="348"/>
      <c r="N159" s="348"/>
      <c r="O159" s="348"/>
      <c r="P159" s="2359" t="s">
        <v>880</v>
      </c>
    </row>
    <row r="160" spans="1:24" s="332" customFormat="1" ht="12" customHeight="1">
      <c r="A160" s="372"/>
      <c r="B160" s="348"/>
      <c r="C160" s="348"/>
      <c r="D160" s="348"/>
      <c r="E160" s="348"/>
      <c r="F160" s="348"/>
      <c r="G160" s="348"/>
      <c r="H160" s="348"/>
      <c r="I160" s="348"/>
      <c r="J160" s="348"/>
      <c r="K160" s="348"/>
      <c r="L160" s="348"/>
      <c r="M160" s="348"/>
      <c r="N160" s="348"/>
      <c r="O160" s="348"/>
      <c r="P160" s="2359" t="s">
        <v>881</v>
      </c>
    </row>
    <row r="161" spans="1:16" s="332" customFormat="1" ht="12" customHeight="1">
      <c r="A161" s="548"/>
      <c r="B161" s="348"/>
      <c r="C161" s="348"/>
      <c r="D161" s="348"/>
      <c r="E161" s="348"/>
      <c r="F161" s="348"/>
      <c r="G161" s="348"/>
      <c r="H161" s="348"/>
      <c r="I161" s="348"/>
      <c r="J161" s="348"/>
      <c r="K161" s="348"/>
      <c r="L161" s="348"/>
      <c r="M161" s="348"/>
      <c r="N161" s="348"/>
      <c r="O161" s="348"/>
      <c r="P161" s="2359" t="s">
        <v>882</v>
      </c>
    </row>
    <row r="162" spans="1:16" s="332" customFormat="1" ht="12" customHeight="1">
      <c r="B162" s="348"/>
      <c r="C162" s="348"/>
      <c r="D162" s="348"/>
      <c r="E162" s="348"/>
      <c r="F162" s="348"/>
      <c r="G162" s="348"/>
      <c r="H162" s="348"/>
      <c r="I162" s="348"/>
      <c r="J162" s="348"/>
      <c r="K162" s="348"/>
      <c r="L162" s="348"/>
      <c r="M162" s="348"/>
      <c r="N162" s="348"/>
      <c r="O162" s="348"/>
      <c r="P162" s="2359" t="s">
        <v>883</v>
      </c>
    </row>
    <row r="163" spans="1:16" s="332" customFormat="1" ht="12" customHeight="1">
      <c r="B163" s="348"/>
      <c r="C163" s="348"/>
      <c r="D163" s="348"/>
      <c r="E163" s="348"/>
      <c r="F163" s="348"/>
      <c r="G163" s="348"/>
      <c r="H163" s="348"/>
      <c r="I163" s="348"/>
      <c r="J163" s="348"/>
      <c r="K163" s="348"/>
      <c r="L163" s="348"/>
      <c r="M163" s="348"/>
      <c r="N163" s="348"/>
      <c r="O163" s="348"/>
      <c r="P163" s="2359" t="s">
        <v>884</v>
      </c>
    </row>
    <row r="164" spans="1:16" s="332" customFormat="1" ht="12" customHeight="1">
      <c r="B164" s="348"/>
      <c r="C164" s="348"/>
      <c r="D164" s="348"/>
      <c r="E164" s="348"/>
      <c r="F164" s="348"/>
      <c r="G164" s="348"/>
      <c r="H164" s="348"/>
      <c r="I164" s="348"/>
      <c r="J164" s="348"/>
      <c r="K164" s="348"/>
      <c r="L164" s="348"/>
      <c r="M164" s="348"/>
      <c r="N164" s="348"/>
      <c r="O164" s="348"/>
      <c r="P164" s="2359" t="s">
        <v>885</v>
      </c>
    </row>
    <row r="165" spans="1:16" s="332" customFormat="1" ht="12" customHeight="1">
      <c r="B165" s="348"/>
      <c r="C165" s="348"/>
      <c r="D165" s="348"/>
      <c r="E165" s="348"/>
      <c r="F165" s="348"/>
      <c r="G165" s="348"/>
      <c r="H165" s="348"/>
      <c r="I165" s="348"/>
      <c r="J165" s="348"/>
      <c r="K165" s="348"/>
      <c r="L165" s="348"/>
      <c r="M165" s="348"/>
      <c r="N165" s="348"/>
      <c r="O165" s="348"/>
      <c r="P165" s="2359" t="s">
        <v>886</v>
      </c>
    </row>
    <row r="166" spans="1:16" ht="12" customHeight="1">
      <c r="P166" s="2359" t="s">
        <v>887</v>
      </c>
    </row>
    <row r="167" spans="1:16" ht="12" customHeight="1">
      <c r="A167" s="357"/>
      <c r="P167" s="2359" t="s">
        <v>888</v>
      </c>
    </row>
    <row r="168" spans="1:16" ht="12" customHeight="1">
      <c r="P168" s="2359" t="s">
        <v>889</v>
      </c>
    </row>
    <row r="169" spans="1:16" ht="12" customHeight="1">
      <c r="P169" s="2359" t="s">
        <v>890</v>
      </c>
    </row>
    <row r="170" spans="1:16" ht="12" customHeight="1">
      <c r="P170" s="2359" t="s">
        <v>891</v>
      </c>
    </row>
    <row r="171" spans="1:16" ht="12" customHeight="1">
      <c r="P171" s="2359" t="s">
        <v>892</v>
      </c>
    </row>
    <row r="172" spans="1:16" ht="12" customHeight="1">
      <c r="P172" s="2359" t="s">
        <v>893</v>
      </c>
    </row>
    <row r="173" spans="1:16" ht="12" customHeight="1">
      <c r="P173" s="2359" t="s">
        <v>894</v>
      </c>
    </row>
    <row r="174" spans="1:16" ht="12" customHeight="1">
      <c r="P174" s="2359" t="s">
        <v>895</v>
      </c>
    </row>
    <row r="175" spans="1:16" ht="12" customHeight="1">
      <c r="P175" s="2359" t="s">
        <v>896</v>
      </c>
    </row>
    <row r="176" spans="1:16" ht="12" customHeight="1">
      <c r="P176" s="2359" t="s">
        <v>897</v>
      </c>
    </row>
    <row r="177" spans="16:16" ht="12" customHeight="1">
      <c r="P177" s="2359" t="s">
        <v>898</v>
      </c>
    </row>
    <row r="178" spans="16:16" ht="12" customHeight="1">
      <c r="P178" s="2359" t="s">
        <v>899</v>
      </c>
    </row>
    <row r="179" spans="16:16" ht="12" customHeight="1">
      <c r="P179" s="2359" t="s">
        <v>900</v>
      </c>
    </row>
    <row r="180" spans="16:16" ht="12" customHeight="1">
      <c r="P180" s="2359" t="s">
        <v>901</v>
      </c>
    </row>
    <row r="181" spans="16:16" ht="12" customHeight="1">
      <c r="P181" s="2359" t="s">
        <v>902</v>
      </c>
    </row>
    <row r="182" spans="16:16" ht="12" customHeight="1">
      <c r="P182" s="2359" t="s">
        <v>903</v>
      </c>
    </row>
    <row r="183" spans="16:16" ht="12" customHeight="1">
      <c r="P183" s="2359" t="s">
        <v>1406</v>
      </c>
    </row>
    <row r="184" spans="16:16" ht="12" customHeight="1">
      <c r="P184" s="2359" t="s">
        <v>1407</v>
      </c>
    </row>
    <row r="185" spans="16:16" ht="12" customHeight="1">
      <c r="P185" s="2359" t="s">
        <v>1408</v>
      </c>
    </row>
    <row r="186" spans="16:16" ht="12" customHeight="1">
      <c r="P186" s="2359" t="s">
        <v>1409</v>
      </c>
    </row>
    <row r="187" spans="16:16" ht="12" customHeight="1">
      <c r="P187" s="2359" t="s">
        <v>1410</v>
      </c>
    </row>
    <row r="188" spans="16:16" ht="13.5">
      <c r="P188" s="2359" t="s">
        <v>1411</v>
      </c>
    </row>
    <row r="189" spans="16:16" ht="12" customHeight="1">
      <c r="P189" s="2359" t="s">
        <v>1412</v>
      </c>
    </row>
    <row r="190" spans="16:16" ht="12" customHeight="1">
      <c r="P190" s="2359" t="s">
        <v>1413</v>
      </c>
    </row>
    <row r="191" spans="16:16" ht="12" customHeight="1">
      <c r="P191" s="2359" t="s">
        <v>1414</v>
      </c>
    </row>
    <row r="192" spans="16:16" ht="12" customHeight="1">
      <c r="P192" s="2359" t="s">
        <v>1415</v>
      </c>
    </row>
    <row r="193" spans="16:16" ht="12" customHeight="1">
      <c r="P193" s="2359" t="s">
        <v>1416</v>
      </c>
    </row>
    <row r="194" spans="16:16" ht="12" customHeight="1">
      <c r="P194" s="2359" t="s">
        <v>1417</v>
      </c>
    </row>
    <row r="195" spans="16:16" ht="12" customHeight="1">
      <c r="P195" s="2359" t="s">
        <v>1418</v>
      </c>
    </row>
    <row r="196" spans="16:16" ht="12" customHeight="1">
      <c r="P196" s="2359" t="s">
        <v>1419</v>
      </c>
    </row>
    <row r="197" spans="16:16" ht="12" customHeight="1">
      <c r="P197" s="2359" t="s">
        <v>1420</v>
      </c>
    </row>
    <row r="198" spans="16:16" ht="12" customHeight="1">
      <c r="P198" s="2359" t="s">
        <v>1421</v>
      </c>
    </row>
    <row r="199" spans="16:16" ht="12" customHeight="1">
      <c r="P199" s="2359" t="s">
        <v>1422</v>
      </c>
    </row>
    <row r="200" spans="16:16" ht="12" customHeight="1">
      <c r="P200" s="2359" t="s">
        <v>1423</v>
      </c>
    </row>
    <row r="201" spans="16:16" ht="12" customHeight="1">
      <c r="P201" s="2359" t="s">
        <v>1424</v>
      </c>
    </row>
    <row r="202" spans="16:16" ht="12" customHeight="1">
      <c r="P202" s="2359" t="s">
        <v>1425</v>
      </c>
    </row>
    <row r="203" spans="16:16" ht="12" customHeight="1">
      <c r="P203" s="2359" t="s">
        <v>1426</v>
      </c>
    </row>
    <row r="204" spans="16:16" ht="12" customHeight="1">
      <c r="P204" s="2359" t="s">
        <v>1427</v>
      </c>
    </row>
    <row r="205" spans="16:16" ht="12" customHeight="1">
      <c r="P205" s="2359" t="s">
        <v>1428</v>
      </c>
    </row>
    <row r="206" spans="16:16" ht="12" customHeight="1">
      <c r="P206" s="2359" t="s">
        <v>1429</v>
      </c>
    </row>
    <row r="207" spans="16:16" ht="12" customHeight="1">
      <c r="P207" s="2359" t="s">
        <v>1430</v>
      </c>
    </row>
    <row r="208" spans="16:16" ht="12" customHeight="1">
      <c r="P208" s="2359" t="s">
        <v>1431</v>
      </c>
    </row>
  </sheetData>
  <sheetProtection algorithmName="SHA-512" hashValue="+h1cO+DUOZUaR0uyfALDrFo/qccPUQVENrmQxNcjFfJZTF3FNcTckjPoYj6PEOfT0VQH4MeqGSZH1tbPS8brHA==" saltValue="W73/yS3mX/9+E3n6wlIEmg==" spinCount="100000" sheet="1" objects="1" scenarios="1" formatColumns="0" formatRows="0"/>
  <mergeCells count="275">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 ref="M8:N8"/>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9"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79" t="str">
        <f>CONCATENATE("PART THREE - SOURCES OF FUNDS","  -  ",'Part I-Project Information'!$O$4," ",'Part I-Project Information'!$F$24,", ",'Part I-Project Information'!$F$28,", ",'Part I-Project Information'!$J$29," County")</f>
        <v>PART THREE - SOURCES OF FUNDS  -  2015-026 Arbor Trace Apartments Phase II, Lake Park, Lowndes County</v>
      </c>
      <c r="B1" s="1380"/>
      <c r="C1" s="1380"/>
      <c r="D1" s="1380"/>
      <c r="E1" s="1380"/>
      <c r="F1" s="1380"/>
      <c r="G1" s="1380"/>
      <c r="H1" s="1380"/>
      <c r="I1" s="1380"/>
      <c r="J1" s="1380"/>
      <c r="K1" s="1380"/>
      <c r="L1" s="1380"/>
      <c r="M1" s="1380"/>
      <c r="N1" s="1380"/>
      <c r="O1" s="1380"/>
      <c r="P1" s="1380"/>
      <c r="Q1" s="1381"/>
      <c r="S1" s="1450" t="str">
        <f>$A$1</f>
        <v>PART THREE - SOURCES OF FUNDS  -  2015-026 Arbor Trace Apartments Phase II, Lake Park, Lowndes County</v>
      </c>
      <c r="T1" s="1450"/>
    </row>
    <row r="2" spans="1:20" ht="17.45" customHeight="1">
      <c r="A2" s="348"/>
      <c r="B2" s="348"/>
      <c r="C2" s="348"/>
      <c r="D2" s="348"/>
      <c r="E2" s="348"/>
      <c r="F2" s="348"/>
      <c r="G2" s="348"/>
      <c r="H2" s="1724" t="s">
        <v>4383</v>
      </c>
      <c r="I2" s="1725"/>
      <c r="J2" s="1726"/>
      <c r="K2" s="348"/>
      <c r="L2" s="348"/>
      <c r="M2" s="348"/>
      <c r="N2" s="348"/>
      <c r="O2" s="348"/>
      <c r="P2" s="348"/>
      <c r="Q2" s="348"/>
    </row>
    <row r="3" spans="1:20" s="301" customFormat="1" ht="13.15" customHeight="1">
      <c r="A3" s="334" t="s">
        <v>646</v>
      </c>
      <c r="B3" s="351" t="s">
        <v>2613</v>
      </c>
      <c r="C3" s="332"/>
      <c r="D3" s="1220"/>
      <c r="E3" s="1220"/>
      <c r="F3" s="1220"/>
      <c r="G3" s="1220"/>
      <c r="J3" s="1220"/>
      <c r="M3" s="1220"/>
      <c r="N3" s="1220"/>
      <c r="S3" s="379" t="str">
        <f>B3</f>
        <v>GOVERNMENT FUNDING SOURCES  (check all that apply)</v>
      </c>
    </row>
    <row r="4" spans="1:20" s="301" customFormat="1" ht="15.75" customHeight="1">
      <c r="A4" s="357"/>
      <c r="B4" s="548"/>
      <c r="C4" s="351"/>
      <c r="D4" s="1220"/>
      <c r="E4" s="1220"/>
      <c r="F4" s="1220"/>
      <c r="G4" s="1220"/>
      <c r="S4" s="1449" t="s">
        <v>2825</v>
      </c>
      <c r="T4" s="1449"/>
    </row>
    <row r="5" spans="1:20" s="301" customFormat="1" ht="15.75" customHeight="1">
      <c r="A5" s="548"/>
      <c r="B5" s="2360" t="s">
        <v>3421</v>
      </c>
      <c r="C5" s="1215" t="s">
        <v>2529</v>
      </c>
      <c r="D5" s="332"/>
      <c r="H5" s="2360" t="s">
        <v>3424</v>
      </c>
      <c r="I5" s="337" t="s">
        <v>2736</v>
      </c>
      <c r="N5" s="2360" t="s">
        <v>3424</v>
      </c>
      <c r="O5" s="337" t="s">
        <v>3102</v>
      </c>
      <c r="S5" s="2361"/>
      <c r="T5" s="2362"/>
    </row>
    <row r="6" spans="1:20" s="301" customFormat="1" ht="15.75" customHeight="1">
      <c r="A6" s="548"/>
      <c r="B6" s="2363" t="s">
        <v>3424</v>
      </c>
      <c r="C6" s="1215" t="s">
        <v>573</v>
      </c>
      <c r="D6" s="332"/>
      <c r="H6" s="2363" t="s">
        <v>3424</v>
      </c>
      <c r="I6" s="337" t="s">
        <v>4201</v>
      </c>
      <c r="K6" s="325"/>
      <c r="L6" s="325"/>
      <c r="N6" s="2363" t="s">
        <v>3424</v>
      </c>
      <c r="O6" s="1215" t="s">
        <v>1612</v>
      </c>
      <c r="Q6" s="580"/>
      <c r="S6" s="2364"/>
      <c r="T6" s="2365"/>
    </row>
    <row r="7" spans="1:20" s="301" customFormat="1" ht="15.75" customHeight="1">
      <c r="A7" s="332"/>
      <c r="B7" s="2363" t="s">
        <v>3424</v>
      </c>
      <c r="C7" s="1215" t="s">
        <v>1891</v>
      </c>
      <c r="H7" s="2363" t="s">
        <v>3424</v>
      </c>
      <c r="I7" s="1220" t="s">
        <v>2728</v>
      </c>
      <c r="N7" s="2363" t="s">
        <v>3424</v>
      </c>
      <c r="O7" s="1215" t="s">
        <v>572</v>
      </c>
      <c r="S7" s="2364"/>
      <c r="T7" s="2365"/>
    </row>
    <row r="8" spans="1:20" s="301" customFormat="1" ht="15.75" customHeight="1">
      <c r="A8" s="548"/>
      <c r="B8" s="2363" t="s">
        <v>3424</v>
      </c>
      <c r="C8" s="1215" t="s">
        <v>1892</v>
      </c>
      <c r="D8" s="332"/>
      <c r="H8" s="2363" t="s">
        <v>3424</v>
      </c>
      <c r="I8" s="353" t="s">
        <v>2729</v>
      </c>
      <c r="K8" s="337"/>
      <c r="L8" s="1215"/>
      <c r="N8" s="2366" t="s">
        <v>3424</v>
      </c>
      <c r="O8" s="332" t="s">
        <v>2737</v>
      </c>
      <c r="S8" s="2367"/>
      <c r="T8" s="2368"/>
    </row>
    <row r="9" spans="1:20" s="301" customFormat="1" ht="17.45" customHeight="1">
      <c r="A9" s="548"/>
      <c r="B9" s="2363" t="s">
        <v>3424</v>
      </c>
      <c r="C9" s="1215" t="s">
        <v>574</v>
      </c>
      <c r="H9" s="2366" t="s">
        <v>3424</v>
      </c>
      <c r="I9" s="332" t="s">
        <v>2735</v>
      </c>
      <c r="L9" s="332"/>
      <c r="P9" s="332"/>
      <c r="Q9" s="332"/>
    </row>
    <row r="10" spans="1:20" s="301" customFormat="1" ht="17.45" customHeight="1">
      <c r="A10" s="548"/>
      <c r="B10" s="2363" t="s">
        <v>3424</v>
      </c>
      <c r="C10" s="1215" t="s">
        <v>4032</v>
      </c>
      <c r="D10" s="332"/>
      <c r="G10" s="857" t="s">
        <v>4031</v>
      </c>
      <c r="H10" s="2369"/>
      <c r="I10" s="2370"/>
      <c r="N10" s="332"/>
      <c r="O10" s="332"/>
      <c r="Q10" s="332"/>
    </row>
    <row r="11" spans="1:20" s="301" customFormat="1" ht="17.45" customHeight="1">
      <c r="A11" s="548"/>
      <c r="B11" s="2363" t="s">
        <v>3424</v>
      </c>
      <c r="C11" s="1215" t="s">
        <v>2303</v>
      </c>
      <c r="H11" s="2371" t="s">
        <v>4030</v>
      </c>
      <c r="I11" s="2372"/>
      <c r="J11" s="2372"/>
      <c r="K11" s="2372"/>
      <c r="L11" s="2372"/>
      <c r="M11" s="2373"/>
      <c r="N11" s="332"/>
      <c r="O11" s="332"/>
      <c r="P11" s="332"/>
      <c r="Q11" s="332"/>
    </row>
    <row r="12" spans="1:20" s="301" customFormat="1" ht="17.45" customHeight="1">
      <c r="A12" s="548"/>
      <c r="B12" s="2366" t="s">
        <v>3421</v>
      </c>
      <c r="C12" s="2228" t="s">
        <v>4510</v>
      </c>
      <c r="D12" s="2229"/>
      <c r="E12" s="2229"/>
      <c r="F12" s="2229"/>
      <c r="G12" s="2230"/>
      <c r="H12" s="2371" t="s">
        <v>4511</v>
      </c>
      <c r="I12" s="2372"/>
      <c r="J12" s="2372"/>
      <c r="K12" s="2372"/>
      <c r="L12" s="2372"/>
      <c r="M12" s="2373"/>
      <c r="N12" s="332"/>
      <c r="O12" s="332"/>
      <c r="Q12" s="332"/>
    </row>
    <row r="13" spans="1:20" s="301" customFormat="1" ht="16.899999999999999" customHeight="1">
      <c r="A13" s="548"/>
      <c r="B13" s="301" t="s">
        <v>3027</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779</v>
      </c>
      <c r="B15" s="300" t="s">
        <v>2454</v>
      </c>
      <c r="C15" s="332"/>
      <c r="D15" s="1220"/>
      <c r="E15" s="332"/>
      <c r="F15" s="332"/>
      <c r="G15" s="332"/>
      <c r="H15" s="301"/>
      <c r="I15" s="301"/>
      <c r="J15" s="334"/>
      <c r="K15" s="332"/>
      <c r="L15" s="332"/>
      <c r="M15" s="1220"/>
      <c r="N15" s="1374"/>
      <c r="O15" s="1374"/>
      <c r="P15" s="332"/>
      <c r="Q15" s="332"/>
      <c r="S15" s="379" t="str">
        <f>B15</f>
        <v>CONSTRUCTION FINANCING</v>
      </c>
    </row>
    <row r="16" spans="1:20" s="379" customFormat="1" ht="13.9" customHeight="1">
      <c r="A16" s="334"/>
      <c r="B16" s="300"/>
      <c r="C16" s="332"/>
      <c r="K16" s="332"/>
      <c r="L16" s="332"/>
      <c r="M16" s="1220"/>
      <c r="N16" s="1212"/>
      <c r="O16" s="1212"/>
      <c r="P16" s="332"/>
      <c r="Q16" s="332"/>
    </row>
    <row r="17" spans="1:20" s="301" customFormat="1" ht="16.899999999999999" customHeight="1">
      <c r="A17" s="332"/>
      <c r="B17" s="1215" t="s">
        <v>1964</v>
      </c>
      <c r="C17" s="332"/>
      <c r="D17" s="332"/>
      <c r="E17" s="332"/>
      <c r="F17" s="332"/>
      <c r="G17" s="332"/>
      <c r="H17" s="1448" t="s">
        <v>1361</v>
      </c>
      <c r="I17" s="1448"/>
      <c r="J17" s="1448"/>
      <c r="K17" s="1448"/>
      <c r="L17" s="1364" t="s">
        <v>2088</v>
      </c>
      <c r="M17" s="1364"/>
      <c r="N17" s="1364" t="s">
        <v>1582</v>
      </c>
      <c r="O17" s="1364"/>
      <c r="P17" s="1364" t="s">
        <v>1708</v>
      </c>
      <c r="Q17" s="1364"/>
      <c r="S17" s="1449" t="s">
        <v>2825</v>
      </c>
      <c r="T17" s="1449"/>
    </row>
    <row r="18" spans="1:20" s="301" customFormat="1" ht="16.899999999999999" customHeight="1">
      <c r="A18" s="332"/>
      <c r="B18" s="1429" t="s">
        <v>1667</v>
      </c>
      <c r="C18" s="1430"/>
      <c r="D18" s="1430"/>
      <c r="E18" s="1221"/>
      <c r="F18" s="1221"/>
      <c r="G18" s="1221"/>
      <c r="H18" s="2374"/>
      <c r="I18" s="2375"/>
      <c r="J18" s="2375"/>
      <c r="K18" s="2376"/>
      <c r="L18" s="2377"/>
      <c r="M18" s="2378"/>
      <c r="N18" s="2379"/>
      <c r="O18" s="2380"/>
      <c r="P18" s="2381"/>
      <c r="Q18" s="2382"/>
      <c r="S18" s="2361"/>
      <c r="T18" s="2362"/>
    </row>
    <row r="19" spans="1:20" s="301" customFormat="1" ht="16.899999999999999" customHeight="1">
      <c r="A19" s="332"/>
      <c r="B19" s="1427" t="s">
        <v>1668</v>
      </c>
      <c r="C19" s="1428"/>
      <c r="D19" s="1428"/>
      <c r="E19" s="1220"/>
      <c r="F19" s="1220"/>
      <c r="G19" s="1220"/>
      <c r="H19" s="2383"/>
      <c r="I19" s="2384"/>
      <c r="J19" s="2384"/>
      <c r="K19" s="2385"/>
      <c r="L19" s="2386"/>
      <c r="M19" s="2387"/>
      <c r="N19" s="2388"/>
      <c r="O19" s="2389"/>
      <c r="P19" s="2390"/>
      <c r="Q19" s="2391"/>
      <c r="S19" s="2364"/>
      <c r="T19" s="2365"/>
    </row>
    <row r="20" spans="1:20" s="301" customFormat="1" ht="16.899999999999999" customHeight="1">
      <c r="A20" s="332"/>
      <c r="B20" s="1451" t="s">
        <v>1669</v>
      </c>
      <c r="C20" s="1452"/>
      <c r="D20" s="1452"/>
      <c r="E20" s="1224"/>
      <c r="F20" s="1224"/>
      <c r="G20" s="1224"/>
      <c r="H20" s="2392"/>
      <c r="I20" s="2393"/>
      <c r="J20" s="2393"/>
      <c r="K20" s="2394"/>
      <c r="L20" s="2395"/>
      <c r="M20" s="2396"/>
      <c r="N20" s="2397"/>
      <c r="O20" s="2398"/>
      <c r="P20" s="2399"/>
      <c r="Q20" s="2400"/>
      <c r="S20" s="2364"/>
      <c r="T20" s="2365"/>
    </row>
    <row r="21" spans="1:20" s="301" customFormat="1" ht="16.899999999999999" customHeight="1">
      <c r="A21" s="332"/>
      <c r="B21" s="1429" t="s">
        <v>2320</v>
      </c>
      <c r="C21" s="1430"/>
      <c r="D21" s="1430"/>
      <c r="E21" s="1220"/>
      <c r="F21" s="1220"/>
      <c r="G21" s="1220"/>
      <c r="H21" s="2401"/>
      <c r="I21" s="2402"/>
      <c r="J21" s="2402"/>
      <c r="K21" s="2403"/>
      <c r="L21" s="2404"/>
      <c r="M21" s="2405"/>
      <c r="N21" s="1440"/>
      <c r="O21" s="1441"/>
      <c r="P21" s="1442"/>
      <c r="Q21" s="1442"/>
      <c r="S21" s="2364"/>
      <c r="T21" s="2365"/>
    </row>
    <row r="22" spans="1:20" s="301" customFormat="1" ht="16.899999999999999" customHeight="1">
      <c r="A22" s="332"/>
      <c r="B22" s="1427" t="s">
        <v>842</v>
      </c>
      <c r="C22" s="1428"/>
      <c r="D22" s="1428"/>
      <c r="E22" s="1220"/>
      <c r="H22" s="2383"/>
      <c r="I22" s="2384"/>
      <c r="J22" s="2384"/>
      <c r="K22" s="2385"/>
      <c r="L22" s="2386"/>
      <c r="M22" s="2387"/>
      <c r="N22" s="1440"/>
      <c r="O22" s="1441"/>
      <c r="P22" s="1442"/>
      <c r="Q22" s="1442"/>
      <c r="S22" s="2364"/>
      <c r="T22" s="2365"/>
    </row>
    <row r="23" spans="1:20" s="301" customFormat="1" ht="16.899999999999999" customHeight="1">
      <c r="A23" s="332"/>
      <c r="B23" s="1427" t="s">
        <v>671</v>
      </c>
      <c r="C23" s="1428"/>
      <c r="D23" s="1428"/>
      <c r="E23" s="1220"/>
      <c r="H23" s="2383"/>
      <c r="I23" s="2384"/>
      <c r="J23" s="2384"/>
      <c r="K23" s="2385"/>
      <c r="L23" s="2386"/>
      <c r="M23" s="2387"/>
      <c r="N23" s="1440"/>
      <c r="O23" s="1441"/>
      <c r="P23" s="1442"/>
      <c r="Q23" s="1442"/>
      <c r="S23" s="2364"/>
      <c r="T23" s="2365"/>
    </row>
    <row r="24" spans="1:20" s="301" customFormat="1" ht="16.899999999999999" customHeight="1">
      <c r="A24" s="332"/>
      <c r="B24" s="1427" t="s">
        <v>843</v>
      </c>
      <c r="C24" s="1428"/>
      <c r="D24" s="1428"/>
      <c r="E24" s="1220"/>
      <c r="H24" s="2383" t="s">
        <v>4539</v>
      </c>
      <c r="I24" s="2384"/>
      <c r="J24" s="2384"/>
      <c r="K24" s="2385"/>
      <c r="L24" s="2386">
        <v>2812901</v>
      </c>
      <c r="M24" s="2387"/>
      <c r="N24" s="332"/>
      <c r="O24" s="332"/>
      <c r="P24" s="332"/>
      <c r="Q24" s="332"/>
      <c r="S24" s="2367"/>
      <c r="T24" s="2368"/>
    </row>
    <row r="25" spans="1:20" s="301" customFormat="1" ht="16.899999999999999" customHeight="1">
      <c r="A25" s="332"/>
      <c r="B25" s="1427" t="s">
        <v>844</v>
      </c>
      <c r="C25" s="1428"/>
      <c r="D25" s="1428"/>
      <c r="E25" s="1220"/>
      <c r="H25" s="2383" t="s">
        <v>4539</v>
      </c>
      <c r="I25" s="2384"/>
      <c r="J25" s="2384"/>
      <c r="K25" s="2385"/>
      <c r="L25" s="2386">
        <v>1284148</v>
      </c>
      <c r="M25" s="2387"/>
      <c r="N25" s="332"/>
      <c r="Q25" s="332"/>
      <c r="S25" s="2361"/>
      <c r="T25" s="2362"/>
    </row>
    <row r="26" spans="1:20" s="301" customFormat="1" ht="16.899999999999999" customHeight="1">
      <c r="A26" s="332"/>
      <c r="B26" s="1219" t="s">
        <v>253</v>
      </c>
      <c r="C26" s="1220"/>
      <c r="D26" s="2406" t="s">
        <v>4562</v>
      </c>
      <c r="E26" s="2406"/>
      <c r="F26" s="2406"/>
      <c r="G26" s="2406"/>
      <c r="H26" s="2374" t="s">
        <v>4512</v>
      </c>
      <c r="I26" s="2375"/>
      <c r="J26" s="2375"/>
      <c r="K26" s="2376"/>
      <c r="L26" s="2377">
        <v>1329420</v>
      </c>
      <c r="M26" s="2378"/>
      <c r="N26" s="332"/>
      <c r="Q26" s="332"/>
      <c r="S26" s="2364"/>
      <c r="T26" s="2365"/>
    </row>
    <row r="27" spans="1:20" s="301" customFormat="1" ht="16.899999999999999" customHeight="1">
      <c r="A27" s="332"/>
      <c r="B27" s="1219" t="s">
        <v>253</v>
      </c>
      <c r="C27" s="1220"/>
      <c r="D27" s="2407"/>
      <c r="E27" s="2407"/>
      <c r="F27" s="2407"/>
      <c r="G27" s="2407"/>
      <c r="H27" s="2383"/>
      <c r="I27" s="2384"/>
      <c r="J27" s="2384"/>
      <c r="K27" s="2385"/>
      <c r="L27" s="2386"/>
      <c r="M27" s="2387"/>
      <c r="N27" s="332"/>
      <c r="S27" s="2364"/>
      <c r="T27" s="2365"/>
    </row>
    <row r="28" spans="1:20" s="301" customFormat="1" ht="16.899999999999999" customHeight="1">
      <c r="A28" s="332"/>
      <c r="B28" s="1223" t="s">
        <v>253</v>
      </c>
      <c r="C28" s="1224"/>
      <c r="D28" s="2408"/>
      <c r="E28" s="2408"/>
      <c r="F28" s="2408"/>
      <c r="G28" s="2408"/>
      <c r="H28" s="2392"/>
      <c r="I28" s="2393"/>
      <c r="J28" s="2393"/>
      <c r="K28" s="2394"/>
      <c r="L28" s="2395"/>
      <c r="M28" s="2396"/>
      <c r="N28" s="332"/>
      <c r="S28" s="2364"/>
      <c r="T28" s="2365"/>
    </row>
    <row r="29" spans="1:20" s="301" customFormat="1" ht="16.899999999999999" customHeight="1">
      <c r="A29" s="332"/>
      <c r="B29" s="300" t="s">
        <v>1362</v>
      </c>
      <c r="C29" s="332"/>
      <c r="D29" s="332"/>
      <c r="E29" s="332"/>
      <c r="F29" s="332"/>
      <c r="G29" s="332"/>
      <c r="H29" s="332"/>
      <c r="I29" s="332"/>
      <c r="L29" s="1443">
        <f>SUM(L18:L28)</f>
        <v>5426469</v>
      </c>
      <c r="M29" s="1444"/>
      <c r="N29" s="348"/>
      <c r="S29" s="2364"/>
      <c r="T29" s="2365"/>
    </row>
    <row r="30" spans="1:20" s="301" customFormat="1" ht="16.899999999999999" customHeight="1">
      <c r="A30" s="332"/>
      <c r="B30" s="1215" t="s">
        <v>1363</v>
      </c>
      <c r="C30" s="332"/>
      <c r="D30" s="332"/>
      <c r="E30" s="332"/>
      <c r="F30" s="332"/>
      <c r="G30" s="332"/>
      <c r="H30" s="332"/>
      <c r="I30" s="332"/>
      <c r="L30" s="2409">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4952648</v>
      </c>
      <c r="M30" s="2410"/>
      <c r="N30" s="1184"/>
      <c r="S30" s="2364"/>
      <c r="T30" s="2365"/>
    </row>
    <row r="31" spans="1:20" s="301" customFormat="1" ht="16.899999999999999" customHeight="1">
      <c r="A31" s="332"/>
      <c r="B31" s="337" t="s">
        <v>2257</v>
      </c>
      <c r="C31" s="332"/>
      <c r="D31" s="332"/>
      <c r="E31" s="332"/>
      <c r="F31" s="332"/>
      <c r="G31" s="332"/>
      <c r="H31" s="332"/>
      <c r="I31" s="332"/>
      <c r="L31" s="1445">
        <f>L29-L30</f>
        <v>473821</v>
      </c>
      <c r="M31" s="1446"/>
      <c r="N31" s="1184"/>
      <c r="S31" s="2367"/>
      <c r="T31" s="2368"/>
    </row>
    <row r="32" spans="1:20" ht="9.6" customHeight="1">
      <c r="A32" s="357"/>
      <c r="B32" s="300"/>
      <c r="C32" s="348"/>
      <c r="D32" s="348"/>
      <c r="E32" s="348"/>
      <c r="F32" s="348"/>
      <c r="G32" s="348"/>
      <c r="H32" s="348"/>
      <c r="I32" s="348"/>
      <c r="J32" s="348"/>
      <c r="K32" s="348"/>
      <c r="L32" s="348"/>
      <c r="M32" s="1222"/>
      <c r="N32" s="1222"/>
    </row>
    <row r="33" spans="1:20" ht="9.6" customHeight="1">
      <c r="A33" s="334" t="s">
        <v>781</v>
      </c>
      <c r="B33" s="300" t="s">
        <v>841</v>
      </c>
      <c r="C33" s="348"/>
      <c r="D33" s="348"/>
      <c r="E33" s="348"/>
      <c r="F33" s="348"/>
      <c r="G33" s="348"/>
      <c r="H33" s="348"/>
      <c r="I33" s="348"/>
      <c r="J33" s="348"/>
      <c r="K33" s="348"/>
      <c r="L33" s="348"/>
      <c r="M33" s="1222"/>
      <c r="N33" s="1222"/>
      <c r="O33" s="348"/>
      <c r="S33" s="379" t="str">
        <f>B33</f>
        <v>PERMANENT FINANCING</v>
      </c>
    </row>
    <row r="34" spans="1:20" s="301" customFormat="1" ht="13.15" customHeight="1">
      <c r="A34" s="332"/>
      <c r="B34" s="332"/>
      <c r="C34" s="332"/>
      <c r="D34" s="332"/>
      <c r="E34" s="332"/>
      <c r="F34" s="1222"/>
      <c r="G34" s="1222"/>
      <c r="H34" s="1442"/>
      <c r="I34" s="1442"/>
      <c r="K34" s="403" t="s">
        <v>2199</v>
      </c>
      <c r="L34" s="1222" t="s">
        <v>1359</v>
      </c>
      <c r="M34" s="1222" t="s">
        <v>1364</v>
      </c>
      <c r="N34" s="1421" t="s">
        <v>36</v>
      </c>
      <c r="O34" s="1421"/>
      <c r="P34" s="1222"/>
      <c r="Q34" s="334"/>
      <c r="S34" s="379"/>
    </row>
    <row r="35" spans="1:20" s="301" customFormat="1" ht="13.15" customHeight="1">
      <c r="A35" s="332"/>
      <c r="B35" s="1225" t="s">
        <v>1964</v>
      </c>
      <c r="C35" s="1224"/>
      <c r="D35" s="1224"/>
      <c r="E35" s="1356" t="s">
        <v>1361</v>
      </c>
      <c r="F35" s="1356"/>
      <c r="G35" s="1356"/>
      <c r="H35" s="1356"/>
      <c r="I35" s="1364" t="s">
        <v>509</v>
      </c>
      <c r="J35" s="1364"/>
      <c r="K35" s="1216" t="s">
        <v>1896</v>
      </c>
      <c r="L35" s="1216" t="s">
        <v>2319</v>
      </c>
      <c r="M35" s="1216" t="s">
        <v>2319</v>
      </c>
      <c r="N35" s="2411"/>
      <c r="O35" s="2411"/>
      <c r="P35" s="1364" t="s">
        <v>76</v>
      </c>
      <c r="Q35" s="1364"/>
      <c r="S35" s="1449" t="s">
        <v>2825</v>
      </c>
      <c r="T35" s="1449"/>
    </row>
    <row r="36" spans="1:20" s="301" customFormat="1" ht="13.15" customHeight="1">
      <c r="A36" s="332"/>
      <c r="B36" s="1429" t="s">
        <v>2741</v>
      </c>
      <c r="C36" s="1430"/>
      <c r="D36" s="1430"/>
      <c r="E36" s="2374" t="s">
        <v>4512</v>
      </c>
      <c r="F36" s="2375"/>
      <c r="G36" s="2375"/>
      <c r="H36" s="2376"/>
      <c r="I36" s="2412">
        <v>1329420</v>
      </c>
      <c r="J36" s="2413"/>
      <c r="K36" s="2414">
        <v>0.01</v>
      </c>
      <c r="L36" s="2360">
        <v>30</v>
      </c>
      <c r="M36" s="2360">
        <v>50</v>
      </c>
      <c r="N36" s="2415">
        <v>37855</v>
      </c>
      <c r="O36" s="2415"/>
      <c r="P36" s="2416" t="s">
        <v>4513</v>
      </c>
      <c r="Q36" s="2416"/>
      <c r="S36" s="2361"/>
      <c r="T36" s="2362"/>
    </row>
    <row r="37" spans="1:20" s="301" customFormat="1" ht="13.15" customHeight="1">
      <c r="A37" s="332"/>
      <c r="B37" s="1427" t="s">
        <v>2742</v>
      </c>
      <c r="C37" s="1428"/>
      <c r="D37" s="1428"/>
      <c r="E37" s="2383"/>
      <c r="F37" s="2384"/>
      <c r="G37" s="2384"/>
      <c r="H37" s="2385"/>
      <c r="I37" s="2417"/>
      <c r="J37" s="2418"/>
      <c r="K37" s="2419"/>
      <c r="L37" s="2363"/>
      <c r="M37" s="2363"/>
      <c r="N37" s="2420" t="str">
        <f>IF(OR(I37&lt;=0,I37=""),"",IF(P37="Amortizing",-PMT(K37/12,M37*12,I37,0,0)*12,""))</f>
        <v/>
      </c>
      <c r="O37" s="2420"/>
      <c r="P37" s="2421"/>
      <c r="Q37" s="2421"/>
      <c r="S37" s="2364"/>
      <c r="T37" s="2365"/>
    </row>
    <row r="38" spans="1:20" s="301" customFormat="1" ht="13.15" customHeight="1">
      <c r="A38" s="332"/>
      <c r="B38" s="1427" t="s">
        <v>2743</v>
      </c>
      <c r="C38" s="1428"/>
      <c r="D38" s="1428"/>
      <c r="E38" s="2383"/>
      <c r="F38" s="2384"/>
      <c r="G38" s="2384"/>
      <c r="H38" s="2385"/>
      <c r="I38" s="2417"/>
      <c r="J38" s="2418"/>
      <c r="K38" s="2419"/>
      <c r="L38" s="2363"/>
      <c r="M38" s="2363"/>
      <c r="N38" s="2420" t="str">
        <f>IF(OR(I38&lt;=0,I38=""),"",IF(P38="Amortizing",-PMT(K38/12,M38*12,I38,0,0)*12,""))</f>
        <v/>
      </c>
      <c r="O38" s="2420"/>
      <c r="P38" s="2421"/>
      <c r="Q38" s="2421"/>
      <c r="S38" s="2364"/>
      <c r="T38" s="2365"/>
    </row>
    <row r="39" spans="1:20" s="301" customFormat="1" ht="13.15" customHeight="1">
      <c r="A39" s="332"/>
      <c r="B39" s="1219" t="s">
        <v>780</v>
      </c>
      <c r="C39" s="2228"/>
      <c r="D39" s="2230"/>
      <c r="E39" s="2383"/>
      <c r="F39" s="2384"/>
      <c r="G39" s="2384"/>
      <c r="H39" s="2385"/>
      <c r="I39" s="2417"/>
      <c r="J39" s="2418"/>
      <c r="K39" s="2422"/>
      <c r="L39" s="2366"/>
      <c r="M39" s="2366"/>
      <c r="N39" s="2423" t="str">
        <f>IF(OR(I39&lt;=0,I39=""),"",IF(P39="Amortizing",-PMT(K39/12,M39*12,I39,0,0)*12,""))</f>
        <v/>
      </c>
      <c r="O39" s="2423"/>
      <c r="P39" s="2424"/>
      <c r="Q39" s="2424"/>
      <c r="S39" s="2364"/>
      <c r="T39" s="2365"/>
    </row>
    <row r="40" spans="1:20" s="301" customFormat="1" ht="13.15" customHeight="1">
      <c r="A40" s="332"/>
      <c r="B40" s="1219" t="s">
        <v>2936</v>
      </c>
      <c r="C40" s="1220"/>
      <c r="D40" s="1226"/>
      <c r="E40" s="2383"/>
      <c r="F40" s="2384"/>
      <c r="G40" s="2384"/>
      <c r="H40" s="2385"/>
      <c r="I40" s="2417"/>
      <c r="J40" s="2418"/>
      <c r="K40" s="527"/>
      <c r="L40" s="1228"/>
      <c r="M40" s="1228"/>
      <c r="N40" s="1431" t="str">
        <f>IF(OR(I40&lt;=0,I40=""),"",IF(P40="Amortizing",-PMT(K40/12,M40*12,I40,0,0)*12,""))</f>
        <v/>
      </c>
      <c r="O40" s="1431"/>
      <c r="P40" s="1426"/>
      <c r="Q40" s="1426"/>
      <c r="S40" s="2364"/>
      <c r="T40" s="2365"/>
    </row>
    <row r="41" spans="1:20" s="301" customFormat="1" ht="13.15" customHeight="1">
      <c r="A41" s="332"/>
      <c r="B41" s="1223" t="s">
        <v>237</v>
      </c>
      <c r="C41" s="1224"/>
      <c r="D41" s="404" t="str">
        <f>IF(OR(I41="",I41=0,'Part IV-Uses of Funds'!$G$116="",'Part IV-Uses of Funds'!$G$116=0),"",I41/'Part IV-Uses of Funds'!$G$116)</f>
        <v/>
      </c>
      <c r="E41" s="2392"/>
      <c r="F41" s="2393"/>
      <c r="G41" s="2393"/>
      <c r="H41" s="2394"/>
      <c r="I41" s="2425"/>
      <c r="J41" s="2426"/>
      <c r="K41" s="2427"/>
      <c r="L41" s="2299"/>
      <c r="M41" s="2299"/>
      <c r="N41" s="2428" t="str">
        <f>IF(OR(I41&lt;=0,I41=""),"",IF(P41="Amortizing",-PMT(K41/12,M41*12,I41,0,0)*12,""))</f>
        <v/>
      </c>
      <c r="O41" s="2429"/>
      <c r="P41" s="2430"/>
      <c r="Q41" s="2431"/>
      <c r="S41" s="2364"/>
      <c r="T41" s="2365"/>
    </row>
    <row r="42" spans="1:20" s="301" customFormat="1" ht="13.15" customHeight="1">
      <c r="A42" s="332"/>
      <c r="B42" s="1429" t="s">
        <v>2320</v>
      </c>
      <c r="C42" s="1430"/>
      <c r="D42" s="1438"/>
      <c r="E42" s="2401"/>
      <c r="F42" s="2402"/>
      <c r="G42" s="2402"/>
      <c r="H42" s="2403"/>
      <c r="I42" s="2432"/>
      <c r="J42" s="2433"/>
      <c r="K42" s="405"/>
      <c r="L42" s="405"/>
      <c r="M42" s="405"/>
      <c r="N42" s="405"/>
      <c r="O42" s="405"/>
      <c r="P42" s="405"/>
      <c r="Q42" s="405"/>
      <c r="S42" s="2361"/>
      <c r="T42" s="2362"/>
    </row>
    <row r="43" spans="1:20" s="301" customFormat="1" ht="13.15" customHeight="1">
      <c r="A43" s="332"/>
      <c r="B43" s="1427" t="s">
        <v>842</v>
      </c>
      <c r="C43" s="1428"/>
      <c r="D43" s="1439"/>
      <c r="E43" s="2383"/>
      <c r="F43" s="2384"/>
      <c r="G43" s="2384"/>
      <c r="H43" s="2385"/>
      <c r="I43" s="2417"/>
      <c r="J43" s="2418"/>
      <c r="L43" s="1436" t="s">
        <v>540</v>
      </c>
      <c r="M43" s="1436"/>
      <c r="N43" s="1435" t="s">
        <v>541</v>
      </c>
      <c r="O43" s="1435"/>
      <c r="P43" s="447" t="s">
        <v>539</v>
      </c>
      <c r="Q43" s="405"/>
      <c r="S43" s="2364"/>
      <c r="T43" s="2365"/>
    </row>
    <row r="44" spans="1:20" s="301" customFormat="1" ht="13.15" customHeight="1">
      <c r="A44" s="332"/>
      <c r="B44" s="1427" t="s">
        <v>843</v>
      </c>
      <c r="C44" s="1428"/>
      <c r="D44" s="1439"/>
      <c r="E44" s="2383" t="s">
        <v>4539</v>
      </c>
      <c r="F44" s="2384"/>
      <c r="G44" s="2384"/>
      <c r="H44" s="2385"/>
      <c r="I44" s="2417">
        <v>3309295</v>
      </c>
      <c r="J44" s="2417"/>
      <c r="L44" s="1437">
        <f>'Part IV-Uses of Funds'!$J$173*10*'Part IV-Uses of Funds'!$N$166</f>
        <v>3309292.8656716417</v>
      </c>
      <c r="M44" s="1437"/>
      <c r="N44" s="1434">
        <f>I44-L44</f>
        <v>2.1343283583410084</v>
      </c>
      <c r="O44" s="1434"/>
      <c r="P44" s="448" t="s">
        <v>2687</v>
      </c>
      <c r="Q44" s="405"/>
      <c r="S44" s="2364"/>
      <c r="T44" s="2365"/>
    </row>
    <row r="45" spans="1:20" s="301" customFormat="1" ht="13.15" customHeight="1">
      <c r="A45" s="332"/>
      <c r="B45" s="1427" t="s">
        <v>844</v>
      </c>
      <c r="C45" s="1428"/>
      <c r="D45" s="1439"/>
      <c r="E45" s="2383" t="s">
        <v>4539</v>
      </c>
      <c r="F45" s="2384"/>
      <c r="G45" s="2384"/>
      <c r="H45" s="2385"/>
      <c r="I45" s="2417">
        <v>1510762</v>
      </c>
      <c r="J45" s="2417"/>
      <c r="L45" s="1437">
        <f>'Part IV-Uses of Funds'!$J$173*10*'Part IV-Uses of Funds'!$Q$166</f>
        <v>1510764.1343283579</v>
      </c>
      <c r="M45" s="1437"/>
      <c r="N45" s="1434">
        <f>I45-L45</f>
        <v>-2.1343283578753471</v>
      </c>
      <c r="O45" s="1434"/>
      <c r="P45" s="449">
        <f>I44/I54</f>
        <v>0.52990213456745172</v>
      </c>
      <c r="Q45" s="405"/>
      <c r="S45" s="2364"/>
      <c r="T45" s="2365"/>
    </row>
    <row r="46" spans="1:20" s="301" customFormat="1" ht="13.15" customHeight="1">
      <c r="A46" s="332"/>
      <c r="B46" s="1427" t="s">
        <v>1480</v>
      </c>
      <c r="C46" s="1428"/>
      <c r="D46" s="1439"/>
      <c r="E46" s="2383"/>
      <c r="F46" s="2384"/>
      <c r="G46" s="2384"/>
      <c r="H46" s="2385"/>
      <c r="I46" s="2417"/>
      <c r="J46" s="2417"/>
      <c r="P46" s="449">
        <f>I45/I54</f>
        <v>0.24191134626057589</v>
      </c>
      <c r="Q46" s="405"/>
      <c r="S46" s="2367"/>
      <c r="T46" s="2368"/>
    </row>
    <row r="47" spans="1:20" s="301" customFormat="1" ht="13.15" customHeight="1">
      <c r="A47" s="332"/>
      <c r="B47" s="1219" t="s">
        <v>554</v>
      </c>
      <c r="C47" s="1220"/>
      <c r="D47" s="1226"/>
      <c r="E47" s="2383"/>
      <c r="F47" s="2384"/>
      <c r="G47" s="2384"/>
      <c r="H47" s="2385"/>
      <c r="I47" s="2417"/>
      <c r="J47" s="2417"/>
      <c r="K47" s="332"/>
      <c r="P47" s="450">
        <f>SUM(P45:P46)</f>
        <v>0.77181348082802759</v>
      </c>
      <c r="Q47" s="405"/>
      <c r="S47" s="2364"/>
      <c r="T47" s="2365"/>
    </row>
    <row r="48" spans="1:20" s="301" customFormat="1" ht="13.15" customHeight="1">
      <c r="A48" s="332"/>
      <c r="B48" s="1219" t="s">
        <v>1962</v>
      </c>
      <c r="C48" s="1220"/>
      <c r="D48" s="1226"/>
      <c r="E48" s="2383"/>
      <c r="F48" s="2384"/>
      <c r="G48" s="2384"/>
      <c r="H48" s="2385"/>
      <c r="I48" s="2417"/>
      <c r="J48" s="2417"/>
      <c r="N48" s="406"/>
      <c r="O48" s="406"/>
      <c r="P48" s="406"/>
      <c r="Q48" s="405"/>
      <c r="S48" s="2364"/>
      <c r="T48" s="2365"/>
    </row>
    <row r="49" spans="1:23" s="301" customFormat="1" ht="13.15" customHeight="1">
      <c r="A49" s="332"/>
      <c r="B49" s="1219" t="s">
        <v>1963</v>
      </c>
      <c r="C49" s="1220"/>
      <c r="D49" s="1226"/>
      <c r="E49" s="2383"/>
      <c r="F49" s="2384"/>
      <c r="G49" s="2384"/>
      <c r="H49" s="2385"/>
      <c r="I49" s="2417"/>
      <c r="J49" s="2417"/>
      <c r="M49" s="406"/>
      <c r="N49" s="406"/>
      <c r="O49" s="406"/>
      <c r="P49" s="406"/>
      <c r="Q49" s="405"/>
      <c r="S49" s="2364"/>
      <c r="T49" s="2365"/>
    </row>
    <row r="50" spans="1:23" s="301" customFormat="1" ht="13.15" customHeight="1">
      <c r="A50" s="332"/>
      <c r="B50" s="1219" t="s">
        <v>780</v>
      </c>
      <c r="C50" s="2406" t="s">
        <v>4560</v>
      </c>
      <c r="D50" s="2406"/>
      <c r="E50" s="2383" t="s">
        <v>1303</v>
      </c>
      <c r="F50" s="2384"/>
      <c r="G50" s="2384"/>
      <c r="H50" s="2385"/>
      <c r="I50" s="2417">
        <v>79000</v>
      </c>
      <c r="J50" s="2417"/>
      <c r="M50" s="406"/>
      <c r="N50" s="406"/>
      <c r="O50" s="406"/>
      <c r="P50" s="406"/>
      <c r="Q50" s="405"/>
      <c r="S50" s="2364"/>
      <c r="T50" s="2365"/>
    </row>
    <row r="51" spans="1:23" s="301" customFormat="1" ht="13.15" customHeight="1">
      <c r="A51" s="332"/>
      <c r="B51" s="1219" t="s">
        <v>780</v>
      </c>
      <c r="C51" s="2407" t="s">
        <v>4560</v>
      </c>
      <c r="D51" s="2407"/>
      <c r="E51" s="2383" t="s">
        <v>4496</v>
      </c>
      <c r="F51" s="2384"/>
      <c r="G51" s="2384"/>
      <c r="H51" s="2385"/>
      <c r="I51" s="2417">
        <v>8000</v>
      </c>
      <c r="J51" s="2417"/>
      <c r="K51" s="332"/>
      <c r="L51" s="407"/>
      <c r="M51" s="406"/>
      <c r="N51" s="406"/>
      <c r="O51" s="406"/>
      <c r="P51" s="406"/>
      <c r="Q51" s="405"/>
      <c r="S51" s="2364"/>
      <c r="T51" s="2365"/>
    </row>
    <row r="52" spans="1:23" s="301" customFormat="1" ht="13.15" customHeight="1">
      <c r="A52" s="332"/>
      <c r="B52" s="1223" t="s">
        <v>780</v>
      </c>
      <c r="C52" s="2408" t="s">
        <v>4560</v>
      </c>
      <c r="D52" s="2408"/>
      <c r="E52" s="2392" t="s">
        <v>4497</v>
      </c>
      <c r="F52" s="2393"/>
      <c r="G52" s="2393"/>
      <c r="H52" s="2394"/>
      <c r="I52" s="2425">
        <v>8629</v>
      </c>
      <c r="J52" s="2425"/>
      <c r="K52" s="332"/>
      <c r="L52" s="407"/>
      <c r="M52" s="406"/>
      <c r="N52" s="406"/>
      <c r="O52" s="406"/>
      <c r="P52" s="406"/>
      <c r="Q52" s="405"/>
      <c r="S52" s="2364"/>
      <c r="T52" s="2365"/>
    </row>
    <row r="53" spans="1:23" s="301" customFormat="1" ht="13.15" customHeight="1">
      <c r="A53" s="332"/>
      <c r="B53" s="1215" t="s">
        <v>2321</v>
      </c>
      <c r="C53" s="332"/>
      <c r="D53" s="332"/>
      <c r="E53" s="332"/>
      <c r="F53" s="332"/>
      <c r="G53" s="332"/>
      <c r="I53" s="1424">
        <f>SUM(I36:J52)</f>
        <v>6245106</v>
      </c>
      <c r="J53" s="1425"/>
      <c r="K53" s="332"/>
      <c r="L53" s="407"/>
      <c r="M53" s="406"/>
      <c r="N53" s="406"/>
      <c r="O53" s="406"/>
      <c r="P53" s="406"/>
      <c r="Q53" s="405"/>
      <c r="S53" s="2364"/>
      <c r="T53" s="2365"/>
    </row>
    <row r="54" spans="1:23" s="301" customFormat="1" ht="13.15" customHeight="1" thickBot="1">
      <c r="A54" s="332"/>
      <c r="B54" s="1215" t="s">
        <v>2322</v>
      </c>
      <c r="C54" s="332"/>
      <c r="D54" s="332"/>
      <c r="E54" s="332"/>
      <c r="F54" s="332"/>
      <c r="G54" s="332"/>
      <c r="I54" s="1422">
        <f>'Part IV-Uses of Funds'!$G$130</f>
        <v>6245106</v>
      </c>
      <c r="J54" s="1423"/>
      <c r="K54" s="332"/>
      <c r="L54" s="407"/>
      <c r="M54" s="406"/>
      <c r="N54" s="406"/>
      <c r="O54" s="406"/>
      <c r="P54" s="406"/>
      <c r="Q54" s="405"/>
      <c r="S54" s="2364"/>
      <c r="T54" s="2365"/>
    </row>
    <row r="55" spans="1:23" s="301" customFormat="1" ht="13.15" customHeight="1" thickBot="1">
      <c r="A55" s="332"/>
      <c r="B55" s="337" t="s">
        <v>1600</v>
      </c>
      <c r="C55" s="332"/>
      <c r="D55" s="332"/>
      <c r="E55" s="332"/>
      <c r="F55" s="332"/>
      <c r="G55" s="332"/>
      <c r="I55" s="1432">
        <f>I53-I54</f>
        <v>0</v>
      </c>
      <c r="J55" s="1433"/>
      <c r="K55" s="332"/>
      <c r="L55" s="407"/>
      <c r="M55" s="406"/>
      <c r="N55" s="406"/>
      <c r="O55" s="406"/>
      <c r="P55" s="406"/>
      <c r="Q55" s="405"/>
      <c r="S55" s="2367"/>
      <c r="T55" s="2368"/>
    </row>
    <row r="56" spans="1:23" s="301" customFormat="1" ht="13.15" customHeight="1">
      <c r="A56" s="332" t="s">
        <v>4167</v>
      </c>
      <c r="B56" s="337"/>
      <c r="C56" s="332"/>
      <c r="D56" s="332"/>
      <c r="E56" s="332"/>
      <c r="F56" s="332"/>
      <c r="G56" s="332"/>
      <c r="H56" s="1259"/>
      <c r="I56" s="1259"/>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1879</v>
      </c>
      <c r="B58" s="334" t="s">
        <v>598</v>
      </c>
      <c r="C58" s="348"/>
      <c r="D58" s="348"/>
      <c r="E58" s="348"/>
      <c r="F58" s="348"/>
      <c r="G58" s="348"/>
      <c r="H58" s="348"/>
      <c r="I58" s="348"/>
      <c r="J58" s="348"/>
      <c r="K58" s="334" t="s">
        <v>1879</v>
      </c>
      <c r="L58" s="334" t="s">
        <v>81</v>
      </c>
      <c r="M58" s="348"/>
      <c r="N58" s="348"/>
      <c r="O58" s="348"/>
      <c r="P58" s="348"/>
      <c r="Q58" s="348"/>
    </row>
    <row r="59" spans="1:23" ht="5.45" customHeight="1">
      <c r="B59" s="381"/>
    </row>
    <row r="60" spans="1:23" ht="128.25" customHeight="1">
      <c r="A60" s="2284" t="s">
        <v>4561</v>
      </c>
      <c r="B60" s="2434"/>
      <c r="C60" s="2434"/>
      <c r="D60" s="2434"/>
      <c r="E60" s="2434"/>
      <c r="F60" s="2434"/>
      <c r="G60" s="2434"/>
      <c r="H60" s="2434"/>
      <c r="I60" s="2434"/>
      <c r="J60" s="2435"/>
      <c r="K60" s="2287"/>
      <c r="L60" s="2434"/>
      <c r="M60" s="2434"/>
      <c r="N60" s="2434"/>
      <c r="O60" s="2434"/>
      <c r="P60" s="2434"/>
      <c r="Q60" s="2435"/>
      <c r="S60" s="1447" t="s">
        <v>2853</v>
      </c>
      <c r="T60" s="1447"/>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0l9a8qTZP6JKJHe7DGRJivYz+ljiT1fvcB3FrxDcG99V0EqXzxdTtsONNcXmA+MxrhnBGrsWlRQGa4v9vDBUbw==" saltValue="emV4JlA5b0tV/mmYsyNdVA=="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3" t="str">
        <f>CONCATENATE("PART III B: USD 538 LOAN","  -  ",'Part I-Project Information'!$O$4," ",'Part I-Project Information'!$F$24,", ",'Part I-Project Information'!$F$28,", ",'Part I-Project Information'!$J$29," County")</f>
        <v>PART III B: USD 538 LOAN  -  2015-026 Arbor Trace Apartments Phase II, Lake Park, Lowndes County</v>
      </c>
      <c r="B1" s="1454"/>
      <c r="C1" s="1454"/>
      <c r="D1" s="1454"/>
      <c r="E1" s="1454"/>
      <c r="F1" s="1455"/>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62" t="s">
        <v>224</v>
      </c>
      <c r="B3" s="1462"/>
      <c r="C3" s="1462"/>
      <c r="D3" s="1462"/>
      <c r="E3" s="1462"/>
      <c r="F3" s="1462"/>
      <c r="G3" s="215"/>
      <c r="H3" s="215"/>
    </row>
    <row r="4" spans="1:17" s="203" customFormat="1" ht="6" customHeight="1"/>
    <row r="5" spans="1:17">
      <c r="A5" s="32" t="s">
        <v>2363</v>
      </c>
      <c r="B5" s="32"/>
      <c r="C5" s="288"/>
      <c r="D5" s="289">
        <f>IF(C5&gt;1500000,1500000,0)</f>
        <v>0</v>
      </c>
      <c r="E5" s="290">
        <f>IF(C5&gt;1500000,C5-1500000,0)</f>
        <v>0</v>
      </c>
    </row>
    <row r="6" spans="1:17">
      <c r="A6" s="32" t="s">
        <v>2585</v>
      </c>
      <c r="B6" s="238" t="s">
        <v>527</v>
      </c>
      <c r="C6" s="291">
        <v>0</v>
      </c>
      <c r="D6" s="126" t="s">
        <v>528</v>
      </c>
      <c r="E6" s="32"/>
    </row>
    <row r="7" spans="1:17">
      <c r="A7" s="32"/>
      <c r="B7" s="238" t="s">
        <v>2601</v>
      </c>
      <c r="C7" s="292"/>
      <c r="D7" s="126" t="s">
        <v>1742</v>
      </c>
      <c r="E7" s="32"/>
    </row>
    <row r="8" spans="1:17" ht="13.15" customHeight="1">
      <c r="A8" s="32" t="s">
        <v>2589</v>
      </c>
      <c r="B8" s="32"/>
      <c r="C8" s="291">
        <v>0</v>
      </c>
      <c r="D8" s="126" t="s">
        <v>1743</v>
      </c>
      <c r="E8" s="32"/>
    </row>
    <row r="9" spans="1:17">
      <c r="A9" s="32" t="s">
        <v>1453</v>
      </c>
      <c r="B9" s="32"/>
      <c r="C9" s="293"/>
      <c r="D9" s="32"/>
      <c r="E9" s="32"/>
    </row>
    <row r="10" spans="1:17">
      <c r="A10" s="32" t="s">
        <v>1454</v>
      </c>
      <c r="B10" s="32"/>
      <c r="C10" s="293"/>
      <c r="D10" s="32"/>
      <c r="E10" s="32"/>
    </row>
    <row r="11" spans="1:17">
      <c r="A11" s="32" t="s">
        <v>1451</v>
      </c>
      <c r="B11" s="32"/>
      <c r="C11" s="294" t="e">
        <f>PMT(C7/12,C10*12,-C5,0,0)*12</f>
        <v>#NUM!</v>
      </c>
      <c r="D11" s="289" t="e">
        <f>PMT($C$7/12,$C$10*12,-D5,0,0)*12</f>
        <v>#NUM!</v>
      </c>
      <c r="E11" s="289" t="e">
        <f>PMT($C$7/12,$C$10*12,-E5,0,0)*12</f>
        <v>#NUM!</v>
      </c>
    </row>
    <row r="12" spans="1:17">
      <c r="A12" s="32" t="s">
        <v>1452</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63" t="s">
        <v>130</v>
      </c>
      <c r="B14" s="1463"/>
      <c r="C14" s="1463"/>
      <c r="D14" s="1463"/>
      <c r="E14" s="1463"/>
      <c r="F14" s="1463"/>
      <c r="G14" s="215"/>
      <c r="H14" s="215"/>
    </row>
    <row r="15" spans="1:17" ht="5.45" customHeight="1">
      <c r="A15" s="29"/>
      <c r="E15" s="226"/>
      <c r="F15" s="215"/>
      <c r="G15" s="215"/>
      <c r="H15" s="215"/>
    </row>
    <row r="16" spans="1:17" ht="13.15" customHeight="1">
      <c r="A16" s="228" t="s">
        <v>2602</v>
      </c>
      <c r="B16" s="229" t="s">
        <v>2599</v>
      </c>
      <c r="C16" s="229" t="s">
        <v>2600</v>
      </c>
      <c r="D16" s="1459" t="s">
        <v>2362</v>
      </c>
      <c r="E16" s="1459"/>
      <c r="F16" s="215"/>
      <c r="G16" s="215"/>
      <c r="H16" s="215"/>
    </row>
    <row r="17" spans="1:8" ht="12.6" customHeight="1">
      <c r="A17" s="84">
        <v>1</v>
      </c>
      <c r="B17" s="204">
        <f>IF(A17&gt;$C$9,0,SUM(C64:C75)*($C$6/$C$7))</f>
        <v>0</v>
      </c>
      <c r="C17" s="227">
        <f>IF(A17&gt;C9,0,(E63+K63)*$C$8)</f>
        <v>0</v>
      </c>
      <c r="D17" s="1464">
        <f t="shared" ref="D17:D56" si="0">IF(A17&gt;$C$9,0,$C$11+C17)</f>
        <v>0</v>
      </c>
      <c r="E17" s="1464"/>
      <c r="F17" s="215"/>
      <c r="G17" s="215"/>
      <c r="H17" s="215"/>
    </row>
    <row r="18" spans="1:8" ht="12.6" customHeight="1">
      <c r="A18" s="84">
        <v>2</v>
      </c>
      <c r="B18" s="204">
        <f>IF(A18&gt;C9,0,SUM(C76:C87)*($C$6/$C$7))</f>
        <v>0</v>
      </c>
      <c r="C18" s="234">
        <f>IF(A18&gt;C9,0,(E75+K75)*$C$8)</f>
        <v>0</v>
      </c>
      <c r="D18" s="1456">
        <f t="shared" si="0"/>
        <v>0</v>
      </c>
      <c r="E18" s="1456"/>
      <c r="F18" s="215"/>
      <c r="G18" s="215"/>
      <c r="H18" s="215"/>
    </row>
    <row r="19" spans="1:8" ht="12.6" customHeight="1">
      <c r="A19" s="84">
        <v>3</v>
      </c>
      <c r="B19" s="204">
        <f>IF(A19&gt;C9,0,SUM(C88:C99)*($C$6/$C$7))</f>
        <v>0</v>
      </c>
      <c r="C19" s="227">
        <f>IF(A19&gt;C9,0,(E87+K87)*$C$8)</f>
        <v>0</v>
      </c>
      <c r="D19" s="1456">
        <f t="shared" si="0"/>
        <v>0</v>
      </c>
      <c r="E19" s="1456"/>
      <c r="F19" s="215"/>
      <c r="G19" s="215"/>
      <c r="H19" s="215"/>
    </row>
    <row r="20" spans="1:8" ht="12.6" customHeight="1">
      <c r="A20" s="84">
        <v>4</v>
      </c>
      <c r="B20" s="204">
        <f>IF(A20&gt;C9,0,SUM(C100:C111)*($C$6/$C$7))</f>
        <v>0</v>
      </c>
      <c r="C20" s="227">
        <f>IF(A20&gt;C9,0,(E99+K99)*$C$8)</f>
        <v>0</v>
      </c>
      <c r="D20" s="1456">
        <f t="shared" si="0"/>
        <v>0</v>
      </c>
      <c r="E20" s="1456"/>
      <c r="F20" s="215"/>
      <c r="G20" s="215"/>
      <c r="H20" s="215"/>
    </row>
    <row r="21" spans="1:8" ht="12.6" customHeight="1">
      <c r="A21" s="84">
        <v>5</v>
      </c>
      <c r="B21" s="204">
        <f>IF(A21&gt;C9,0,SUM(C112:C123)*($C$6/$C$7))</f>
        <v>0</v>
      </c>
      <c r="C21" s="227">
        <f>IF(A21&gt;C9,0,(E111+K111)*$C$8)</f>
        <v>0</v>
      </c>
      <c r="D21" s="1457">
        <f t="shared" si="0"/>
        <v>0</v>
      </c>
      <c r="E21" s="1457"/>
      <c r="F21" s="215"/>
      <c r="G21" s="215"/>
      <c r="H21" s="215"/>
    </row>
    <row r="22" spans="1:8" ht="12.6" customHeight="1">
      <c r="A22" s="205">
        <v>6</v>
      </c>
      <c r="B22" s="206">
        <f>IF(A22&gt;C9,0,SUM(C124:C135)*($C$6/$C$7))</f>
        <v>0</v>
      </c>
      <c r="C22" s="231">
        <f>IF(A22&gt;C9,0,(E123+K123)*$C$8)</f>
        <v>0</v>
      </c>
      <c r="D22" s="1456">
        <f t="shared" si="0"/>
        <v>0</v>
      </c>
      <c r="E22" s="1456"/>
      <c r="F22" s="215"/>
      <c r="G22" s="215"/>
      <c r="H22" s="215"/>
    </row>
    <row r="23" spans="1:8" ht="12.6" customHeight="1">
      <c r="A23" s="207">
        <v>7</v>
      </c>
      <c r="B23" s="208">
        <f>IF(A23&gt;C9,0,SUM(C136:C147)*($C$6/$C$7))</f>
        <v>0</v>
      </c>
      <c r="C23" s="209">
        <f>IF(A23&gt;C9,0,(E135+K135)*$C$8)</f>
        <v>0</v>
      </c>
      <c r="D23" s="1456">
        <f t="shared" si="0"/>
        <v>0</v>
      </c>
      <c r="E23" s="1456"/>
      <c r="F23" s="215"/>
      <c r="G23" s="215"/>
      <c r="H23" s="215"/>
    </row>
    <row r="24" spans="1:8" ht="12.6" customHeight="1">
      <c r="A24" s="207">
        <v>8</v>
      </c>
      <c r="B24" s="208">
        <f>IF(A24&gt;C9,0,SUM(C148:C159)*($C$6/$C$7))</f>
        <v>0</v>
      </c>
      <c r="C24" s="209">
        <f>IF(A24&gt;C9,0,(E147+K147)*$C$8)</f>
        <v>0</v>
      </c>
      <c r="D24" s="1456">
        <f t="shared" si="0"/>
        <v>0</v>
      </c>
      <c r="E24" s="1456"/>
      <c r="F24" s="215"/>
      <c r="G24" s="215"/>
      <c r="H24" s="215"/>
    </row>
    <row r="25" spans="1:8" ht="12.6" customHeight="1">
      <c r="A25" s="207">
        <v>9</v>
      </c>
      <c r="B25" s="208">
        <f>IF(A25&gt;C9,0,SUM(C160:C171)*($C$6/$C$7))</f>
        <v>0</v>
      </c>
      <c r="C25" s="209">
        <f>IF(A25&gt;C9,0,(E159+K159)*$C$8)</f>
        <v>0</v>
      </c>
      <c r="D25" s="1456">
        <f t="shared" si="0"/>
        <v>0</v>
      </c>
      <c r="E25" s="1456"/>
      <c r="F25" s="215"/>
      <c r="G25" s="215"/>
      <c r="H25" s="215"/>
    </row>
    <row r="26" spans="1:8" ht="12.6" customHeight="1">
      <c r="A26" s="210">
        <v>10</v>
      </c>
      <c r="B26" s="211">
        <f>IF(A26&gt;C9,0,SUM(C172:C183)*($C$6/$C$7))</f>
        <v>0</v>
      </c>
      <c r="C26" s="230">
        <f>IF(A26&gt;C9,0,(E171+K171)*$C$8)</f>
        <v>0</v>
      </c>
      <c r="D26" s="1457">
        <f t="shared" si="0"/>
        <v>0</v>
      </c>
      <c r="E26" s="1457"/>
      <c r="F26" s="215"/>
      <c r="G26" s="215"/>
      <c r="H26" s="215"/>
    </row>
    <row r="27" spans="1:8" ht="12.6" customHeight="1">
      <c r="A27" s="212">
        <v>11</v>
      </c>
      <c r="B27" s="204">
        <f>IF(A27&gt;C9,0,SUM(C184:C195)*($C$6/$C$7))</f>
        <v>0</v>
      </c>
      <c r="C27" s="227">
        <f>IF(A27&gt;C9,0,(E183+K183)*$C$8)</f>
        <v>0</v>
      </c>
      <c r="D27" s="1456">
        <f t="shared" si="0"/>
        <v>0</v>
      </c>
      <c r="E27" s="1456"/>
      <c r="F27" s="215"/>
      <c r="G27" s="215"/>
      <c r="H27" s="215"/>
    </row>
    <row r="28" spans="1:8" ht="12.6" customHeight="1">
      <c r="A28" s="212">
        <v>12</v>
      </c>
      <c r="B28" s="204">
        <f>IF(A28&gt;C9,0,SUM(C196:C207)*($C$6/$C$7))</f>
        <v>0</v>
      </c>
      <c r="C28" s="227">
        <f>IF(A28&gt;C9,0,(E195+K195)*$C$8)</f>
        <v>0</v>
      </c>
      <c r="D28" s="1456">
        <f t="shared" si="0"/>
        <v>0</v>
      </c>
      <c r="E28" s="1456"/>
      <c r="F28" s="215"/>
      <c r="G28" s="215"/>
      <c r="H28" s="215"/>
    </row>
    <row r="29" spans="1:8" ht="12.6" customHeight="1">
      <c r="A29" s="212">
        <v>13</v>
      </c>
      <c r="B29" s="204">
        <f>IF(A29&gt;C9,0,SUM(C208:C219)*($C$6/$C$7))</f>
        <v>0</v>
      </c>
      <c r="C29" s="227">
        <f>IF(A29&gt;C9,0,(E207+K207)*$C$8)</f>
        <v>0</v>
      </c>
      <c r="D29" s="1456">
        <f t="shared" si="0"/>
        <v>0</v>
      </c>
      <c r="E29" s="1456"/>
      <c r="F29" s="215"/>
      <c r="G29" s="215"/>
      <c r="H29" s="215"/>
    </row>
    <row r="30" spans="1:8" ht="12.6" customHeight="1">
      <c r="A30" s="212">
        <v>14</v>
      </c>
      <c r="B30" s="204">
        <f>IF(A30&gt;C9,0,SUM(C220:C231)*($C$6/$C$7))</f>
        <v>0</v>
      </c>
      <c r="C30" s="227">
        <f>IF(A30&gt;C9,0,(E219+K219)*$C$8)</f>
        <v>0</v>
      </c>
      <c r="D30" s="1456">
        <f t="shared" si="0"/>
        <v>0</v>
      </c>
      <c r="E30" s="1456"/>
      <c r="F30" s="215"/>
      <c r="G30" s="215"/>
      <c r="H30" s="215"/>
    </row>
    <row r="31" spans="1:8" ht="12.6" customHeight="1">
      <c r="A31" s="212">
        <v>15</v>
      </c>
      <c r="B31" s="204">
        <f>IF(A31&gt;C9,0,SUM(C232:C243)*($C$6/$C$7))</f>
        <v>0</v>
      </c>
      <c r="C31" s="227">
        <f>IF(A31&gt;C9,0,(E231+K231)*$C$8)</f>
        <v>0</v>
      </c>
      <c r="D31" s="1457">
        <f t="shared" si="0"/>
        <v>0</v>
      </c>
      <c r="E31" s="1457"/>
      <c r="F31" s="215"/>
      <c r="G31" s="215"/>
      <c r="H31" s="215"/>
    </row>
    <row r="32" spans="1:8" ht="12.6" customHeight="1">
      <c r="A32" s="214">
        <v>16</v>
      </c>
      <c r="B32" s="206">
        <f>IF(A32&gt;C9,0,SUM(C244:C255)*($C$6/$C$7))</f>
        <v>0</v>
      </c>
      <c r="C32" s="231">
        <f>IF(A32&gt;C9,0,(E243+K243)*$C$8)</f>
        <v>0</v>
      </c>
      <c r="D32" s="1456">
        <f t="shared" si="0"/>
        <v>0</v>
      </c>
      <c r="E32" s="1456"/>
      <c r="F32" s="215"/>
      <c r="G32" s="215"/>
      <c r="H32" s="215"/>
    </row>
    <row r="33" spans="1:8" ht="12.6" customHeight="1">
      <c r="A33" s="207">
        <v>17</v>
      </c>
      <c r="B33" s="208">
        <f>IF(A33&gt;C9,0,SUM(C256:C267)*($C$6/$C$7))</f>
        <v>0</v>
      </c>
      <c r="C33" s="209">
        <f>IF(A33&gt;C9,0,(E255+K255)*$C$8)</f>
        <v>0</v>
      </c>
      <c r="D33" s="1456">
        <f t="shared" si="0"/>
        <v>0</v>
      </c>
      <c r="E33" s="1456"/>
      <c r="F33" s="215"/>
      <c r="G33" s="215"/>
      <c r="H33" s="215"/>
    </row>
    <row r="34" spans="1:8" ht="12.6" customHeight="1">
      <c r="A34" s="207">
        <v>18</v>
      </c>
      <c r="B34" s="208">
        <f>IF(A34&gt;C9,0,SUM(C268:C279)*($C$6/$C$7))</f>
        <v>0</v>
      </c>
      <c r="C34" s="209">
        <f>IF(A34&gt;C9,0,(E267+K267)*$C$8)</f>
        <v>0</v>
      </c>
      <c r="D34" s="1456">
        <f t="shared" si="0"/>
        <v>0</v>
      </c>
      <c r="E34" s="1456"/>
      <c r="F34" s="215"/>
      <c r="G34" s="215"/>
      <c r="H34" s="215"/>
    </row>
    <row r="35" spans="1:8" ht="12.6" customHeight="1">
      <c r="A35" s="207">
        <v>19</v>
      </c>
      <c r="B35" s="208">
        <f>IF(A35&gt;C9,0,SUM(C280:C291)*($C$6/$C$7))</f>
        <v>0</v>
      </c>
      <c r="C35" s="209">
        <f>IF(A35&gt;C9,0,(E279+K279)*$C$8)</f>
        <v>0</v>
      </c>
      <c r="D35" s="1456">
        <f t="shared" si="0"/>
        <v>0</v>
      </c>
      <c r="E35" s="1456"/>
      <c r="F35" s="215"/>
      <c r="G35" s="215"/>
      <c r="H35" s="215"/>
    </row>
    <row r="36" spans="1:8" ht="12.6" customHeight="1">
      <c r="A36" s="210">
        <v>20</v>
      </c>
      <c r="B36" s="211">
        <f>IF(A36&gt;C9,0,SUM(C292:C303)*($C$6/$C$7))</f>
        <v>0</v>
      </c>
      <c r="C36" s="230">
        <f>IF(A36&gt;C9,0,(E291+K291)*$C$8)</f>
        <v>0</v>
      </c>
      <c r="D36" s="1457">
        <f t="shared" si="0"/>
        <v>0</v>
      </c>
      <c r="E36" s="1457"/>
      <c r="F36" s="215"/>
      <c r="G36" s="215"/>
      <c r="H36" s="215"/>
    </row>
    <row r="37" spans="1:8" ht="12.6" customHeight="1">
      <c r="A37" s="84">
        <v>21</v>
      </c>
      <c r="B37" s="206">
        <f>IF(A37&gt;C9,0,SUM(C293:C304)*($C$6/$C$7))</f>
        <v>0</v>
      </c>
      <c r="C37" s="231">
        <f>IF(A37&gt;C9,0,(E303+K303)*$C$8)</f>
        <v>0</v>
      </c>
      <c r="D37" s="1458">
        <f t="shared" si="0"/>
        <v>0</v>
      </c>
      <c r="E37" s="1458"/>
      <c r="F37" s="215"/>
      <c r="G37" s="215"/>
      <c r="H37" s="215"/>
    </row>
    <row r="38" spans="1:8" ht="12.6" customHeight="1">
      <c r="A38" s="84">
        <v>22</v>
      </c>
      <c r="B38" s="208">
        <f>IF(A38&gt;C9,0,SUM(C294:C305)*($C$6/$C$7))</f>
        <v>0</v>
      </c>
      <c r="C38" s="209">
        <f>IF(A38&gt;C9,0,(E315+K315)*$C$8)</f>
        <v>0</v>
      </c>
      <c r="D38" s="1456">
        <f t="shared" si="0"/>
        <v>0</v>
      </c>
      <c r="E38" s="1456"/>
      <c r="F38" s="215"/>
      <c r="G38" s="215"/>
      <c r="H38" s="215"/>
    </row>
    <row r="39" spans="1:8" ht="12.6" customHeight="1">
      <c r="A39" s="84">
        <v>23</v>
      </c>
      <c r="B39" s="208">
        <f>IF(A39&gt;C9,0,SUM(C295:C306)*($C$6/$C$7))</f>
        <v>0</v>
      </c>
      <c r="C39" s="209">
        <f>IF(A39&gt;C9,0,(E327+K327)*$C$8)</f>
        <v>0</v>
      </c>
      <c r="D39" s="1456">
        <f t="shared" si="0"/>
        <v>0</v>
      </c>
      <c r="E39" s="1456"/>
      <c r="F39" s="215"/>
      <c r="G39" s="215"/>
      <c r="H39" s="215"/>
    </row>
    <row r="40" spans="1:8" ht="12.6" customHeight="1">
      <c r="A40" s="84">
        <v>24</v>
      </c>
      <c r="B40" s="208">
        <f>IF(A40&gt;C9,0,SUM(C296:C307)*($C$6/$C$7))</f>
        <v>0</v>
      </c>
      <c r="C40" s="209">
        <f>IF(A40&gt;C9,0,(E339+K339)*$C$8)</f>
        <v>0</v>
      </c>
      <c r="D40" s="1456">
        <f t="shared" si="0"/>
        <v>0</v>
      </c>
      <c r="E40" s="1456"/>
      <c r="F40" s="215"/>
      <c r="G40" s="215"/>
      <c r="H40" s="215"/>
    </row>
    <row r="41" spans="1:8" ht="12.6" customHeight="1">
      <c r="A41" s="84">
        <v>25</v>
      </c>
      <c r="B41" s="211">
        <f>IF(A41&gt;C9,0,SUM(C297:C308)*($C$6/$C$7))</f>
        <v>0</v>
      </c>
      <c r="C41" s="230">
        <f>IF(A41&gt;C9,0,(E351+K351)*$C$8)</f>
        <v>0</v>
      </c>
      <c r="D41" s="1457">
        <f t="shared" si="0"/>
        <v>0</v>
      </c>
      <c r="E41" s="1457"/>
      <c r="F41" s="215"/>
      <c r="G41" s="215"/>
      <c r="H41" s="215"/>
    </row>
    <row r="42" spans="1:8" ht="12.6" customHeight="1">
      <c r="A42" s="205">
        <v>26</v>
      </c>
      <c r="B42" s="206">
        <f>IF(A42&gt;C9,0,SUM(C298:C309)*($C$6/$C$7))</f>
        <v>0</v>
      </c>
      <c r="C42" s="231">
        <f>IF(A42&gt;C9,0,(E363+K363)*$C$8)</f>
        <v>0</v>
      </c>
      <c r="D42" s="1458">
        <f t="shared" si="0"/>
        <v>0</v>
      </c>
      <c r="E42" s="1458"/>
      <c r="F42" s="215"/>
      <c r="G42" s="215"/>
      <c r="H42" s="215"/>
    </row>
    <row r="43" spans="1:8" ht="12.6" customHeight="1">
      <c r="A43" s="207">
        <v>27</v>
      </c>
      <c r="B43" s="208">
        <f>IF(A43&gt;C9,0,SUM(C299:C310)*($C$6/$C$7))</f>
        <v>0</v>
      </c>
      <c r="C43" s="209">
        <f>IF(A43&gt;C9,0,(E375+K375)*$C$8)</f>
        <v>0</v>
      </c>
      <c r="D43" s="1456">
        <f t="shared" si="0"/>
        <v>0</v>
      </c>
      <c r="E43" s="1456"/>
      <c r="F43" s="215"/>
      <c r="G43" s="215"/>
      <c r="H43" s="215"/>
    </row>
    <row r="44" spans="1:8" ht="12.6" customHeight="1">
      <c r="A44" s="207">
        <v>28</v>
      </c>
      <c r="B44" s="208">
        <f>IF(A44&gt;C9,0,SUM(C300:C311)*($C$6/$C$7))</f>
        <v>0</v>
      </c>
      <c r="C44" s="209">
        <f>IF(A44&gt;C9,0,(E387+K387)*$C$8)</f>
        <v>0</v>
      </c>
      <c r="D44" s="1456">
        <f t="shared" si="0"/>
        <v>0</v>
      </c>
      <c r="E44" s="1456"/>
      <c r="F44" s="215"/>
      <c r="G44" s="215"/>
      <c r="H44" s="215"/>
    </row>
    <row r="45" spans="1:8" ht="12.6" customHeight="1">
      <c r="A45" s="207">
        <v>29</v>
      </c>
      <c r="B45" s="208">
        <f>IF(A45&gt;C9,0,SUM(C301:C312)*($C$6/$C$7))</f>
        <v>0</v>
      </c>
      <c r="C45" s="209">
        <f>IF(A45&gt;C9,0,(E411+K411)*$C$8)</f>
        <v>0</v>
      </c>
      <c r="D45" s="1456">
        <f t="shared" si="0"/>
        <v>0</v>
      </c>
      <c r="E45" s="1456"/>
      <c r="F45" s="215"/>
      <c r="G45" s="215"/>
      <c r="H45" s="215"/>
    </row>
    <row r="46" spans="1:8" ht="12.6" customHeight="1">
      <c r="A46" s="210">
        <v>30</v>
      </c>
      <c r="B46" s="211">
        <f>IF(A46&gt;C9,0,SUM(C302:C313)*($C$6/$C$7))</f>
        <v>0</v>
      </c>
      <c r="C46" s="230">
        <f>IF(A46&gt;C9,0,(E423+K423)*$C$8)</f>
        <v>0</v>
      </c>
      <c r="D46" s="1457">
        <f t="shared" si="0"/>
        <v>0</v>
      </c>
      <c r="E46" s="1457"/>
      <c r="F46" s="215"/>
      <c r="G46" s="215"/>
      <c r="H46" s="215"/>
    </row>
    <row r="47" spans="1:8" ht="12.6" customHeight="1">
      <c r="A47" s="214">
        <v>31</v>
      </c>
      <c r="B47" s="206">
        <f>IF(A47&gt;C9,0,SUM(C303:C314)*($C$6/$C$7))</f>
        <v>0</v>
      </c>
      <c r="C47" s="231">
        <f>IF(A47&gt;C9,0,(E435+K435)*$C$8)</f>
        <v>0</v>
      </c>
      <c r="D47" s="1458">
        <f t="shared" si="0"/>
        <v>0</v>
      </c>
      <c r="E47" s="1458"/>
      <c r="F47" s="215"/>
      <c r="G47" s="215"/>
      <c r="H47" s="215"/>
    </row>
    <row r="48" spans="1:8" ht="12.6" customHeight="1">
      <c r="A48" s="207">
        <v>32</v>
      </c>
      <c r="B48" s="208">
        <f>IF(A48&gt;C9,0,SUM(C304:C315)*($C$6/$C$7))</f>
        <v>0</v>
      </c>
      <c r="C48" s="209">
        <f>IF(A48&gt;C9,0,(E447+K447)*$C$8)</f>
        <v>0</v>
      </c>
      <c r="D48" s="1456">
        <f t="shared" si="0"/>
        <v>0</v>
      </c>
      <c r="E48" s="1456"/>
      <c r="F48" s="215"/>
      <c r="G48" s="215"/>
      <c r="H48" s="215"/>
    </row>
    <row r="49" spans="1:12" ht="12.6" customHeight="1">
      <c r="A49" s="207">
        <v>33</v>
      </c>
      <c r="B49" s="208">
        <f>IF(A49&gt;C9,0,SUM(C305:C316)*($C$6/$C$7))</f>
        <v>0</v>
      </c>
      <c r="C49" s="209">
        <f>IF(A49&gt;C9,0,(E459+K459)*$C$8)</f>
        <v>0</v>
      </c>
      <c r="D49" s="1456">
        <f t="shared" si="0"/>
        <v>0</v>
      </c>
      <c r="E49" s="1456"/>
      <c r="F49" s="215"/>
      <c r="G49" s="215"/>
      <c r="H49" s="215"/>
    </row>
    <row r="50" spans="1:12" ht="12.6" customHeight="1">
      <c r="A50" s="207">
        <v>34</v>
      </c>
      <c r="B50" s="208">
        <f>IF(A50&gt;C9,0,SUM(C306:C317)*($C$6/$C$7))</f>
        <v>0</v>
      </c>
      <c r="C50" s="209">
        <f>IF(A50&gt;C9,0,(E471+K471)*$C$8)</f>
        <v>0</v>
      </c>
      <c r="D50" s="1456">
        <f t="shared" si="0"/>
        <v>0</v>
      </c>
      <c r="E50" s="1456"/>
      <c r="F50" s="215"/>
      <c r="G50" s="215"/>
      <c r="H50" s="215"/>
    </row>
    <row r="51" spans="1:12" ht="12.6" customHeight="1">
      <c r="A51" s="210">
        <v>35</v>
      </c>
      <c r="B51" s="211">
        <f>IF(A51&gt;C9,0,SUM(C307:C318)*($C$6/$C$7))</f>
        <v>0</v>
      </c>
      <c r="C51" s="230">
        <f>IF(A51&gt;C9,0,(E483+K483)*$C$8)</f>
        <v>0</v>
      </c>
      <c r="D51" s="1457">
        <f t="shared" si="0"/>
        <v>0</v>
      </c>
      <c r="E51" s="1457"/>
      <c r="F51" s="215"/>
      <c r="G51" s="215"/>
      <c r="H51" s="215"/>
    </row>
    <row r="52" spans="1:12" ht="12.6" customHeight="1">
      <c r="A52" s="214">
        <v>36</v>
      </c>
      <c r="B52" s="206">
        <f>IF(A52&gt;C9,0,SUM(C308:C319)*($C$6/$C$7))</f>
        <v>0</v>
      </c>
      <c r="C52" s="231">
        <f>IF(A52&gt;C9,0,(E495+K495)*$C$8)</f>
        <v>0</v>
      </c>
      <c r="D52" s="1458">
        <f t="shared" si="0"/>
        <v>0</v>
      </c>
      <c r="E52" s="1458"/>
      <c r="F52" s="215"/>
      <c r="G52" s="215"/>
      <c r="H52" s="215"/>
    </row>
    <row r="53" spans="1:12" ht="12.6" customHeight="1">
      <c r="A53" s="207">
        <v>37</v>
      </c>
      <c r="B53" s="208">
        <f>IF(A53&gt;C9,0,SUM(C309:C320)*($C$6/$C$7))</f>
        <v>0</v>
      </c>
      <c r="C53" s="209">
        <f>IF(A53&gt;C9,0,(E507+K507)*$C$8)</f>
        <v>0</v>
      </c>
      <c r="D53" s="1456">
        <f t="shared" si="0"/>
        <v>0</v>
      </c>
      <c r="E53" s="1456"/>
      <c r="F53" s="215"/>
      <c r="G53" s="215"/>
      <c r="H53" s="215"/>
    </row>
    <row r="54" spans="1:12" ht="12.6" customHeight="1">
      <c r="A54" s="207">
        <v>38</v>
      </c>
      <c r="B54" s="208">
        <f>IF(A54&gt;C9,0,SUM(C310:C321)*($C$6/$C$7))</f>
        <v>0</v>
      </c>
      <c r="C54" s="209">
        <f>IF(A54&gt;C9,0,(E519+K519)*$C$8)</f>
        <v>0</v>
      </c>
      <c r="D54" s="1456">
        <f t="shared" si="0"/>
        <v>0</v>
      </c>
      <c r="E54" s="1456"/>
      <c r="F54" s="215"/>
      <c r="G54" s="215"/>
      <c r="H54" s="215"/>
    </row>
    <row r="55" spans="1:12" ht="12.6" customHeight="1">
      <c r="A55" s="207">
        <v>39</v>
      </c>
      <c r="B55" s="208">
        <f>IF(A55&gt;C9,0,SUM(C311:C322)*($C$6/$C$7))</f>
        <v>0</v>
      </c>
      <c r="C55" s="209">
        <f>IF(A55&gt;C9,0,(E531+K531)*$C$8)</f>
        <v>0</v>
      </c>
      <c r="D55" s="1456">
        <f t="shared" si="0"/>
        <v>0</v>
      </c>
      <c r="E55" s="1456"/>
      <c r="F55" s="215"/>
      <c r="G55" s="215"/>
      <c r="H55" s="215"/>
    </row>
    <row r="56" spans="1:12" ht="12.6" customHeight="1">
      <c r="A56" s="210">
        <v>40</v>
      </c>
      <c r="B56" s="211">
        <f>IF(A56&gt;C9,0,SUM(C312:C323)*($C$6/$C$7))</f>
        <v>0</v>
      </c>
      <c r="C56" s="230">
        <f>IF(A56&gt;C9,0,(E543+K543)*$C$8)</f>
        <v>0</v>
      </c>
      <c r="D56" s="1457">
        <f t="shared" si="0"/>
        <v>0</v>
      </c>
      <c r="E56" s="1457"/>
      <c r="F56" s="215"/>
      <c r="G56" s="215"/>
      <c r="H56" s="215"/>
    </row>
    <row r="57" spans="1:12" ht="3" customHeight="1">
      <c r="A57" s="215"/>
      <c r="B57" s="215"/>
      <c r="C57" s="215"/>
      <c r="D57" s="215"/>
      <c r="E57" s="215"/>
      <c r="F57" s="215"/>
      <c r="G57" s="215"/>
      <c r="H57" s="215"/>
    </row>
    <row r="58" spans="1:12" ht="13.15" customHeight="1">
      <c r="A58" s="1460" t="str">
        <f>CONCATENATE('Part I-Project Information'!$O$4," ",'Part I-Project Information'!$F$24,", ",'Part I-Project Information'!$F$28,", ",'Part I-Project Information'!$J$29," County")</f>
        <v>2015-026 Arbor Trace Apartments Phase II, Lake Park, Lowndes County</v>
      </c>
      <c r="B58" s="1460"/>
      <c r="C58" s="1460"/>
      <c r="D58" s="1460"/>
      <c r="E58" s="1460"/>
      <c r="F58" s="1460"/>
      <c r="G58" s="1460" t="str">
        <f>CONCATENATE('Part I-Project Information'!$O$4," ",'Part I-Project Information'!$F$24,", ",'Part I-Project Information'!$F$28,", ",'Part I-Project Information'!$J$29," County")</f>
        <v>2015-026 Arbor Trace Apartments Phase II, Lake Park, Lowndes County</v>
      </c>
      <c r="H58" s="1460"/>
      <c r="I58" s="1460"/>
      <c r="J58" s="1460"/>
      <c r="K58" s="1460"/>
      <c r="L58" s="1460"/>
    </row>
    <row r="59" spans="1:12" ht="15">
      <c r="A59" s="1461" t="s">
        <v>2593</v>
      </c>
      <c r="B59" s="1461"/>
      <c r="C59" s="1461"/>
      <c r="D59" s="1461"/>
      <c r="E59" s="1461"/>
      <c r="F59" s="1461"/>
      <c r="G59" s="1461" t="s">
        <v>2593</v>
      </c>
      <c r="H59" s="1461"/>
      <c r="I59" s="1461"/>
      <c r="J59" s="1461"/>
      <c r="K59" s="1461"/>
      <c r="L59" s="1461"/>
    </row>
    <row r="60" spans="1:12" ht="6" customHeight="1">
      <c r="C60" s="213"/>
      <c r="D60" s="213"/>
      <c r="I60" s="213"/>
      <c r="J60" s="213"/>
    </row>
    <row r="61" spans="1:12">
      <c r="A61" s="216" t="s">
        <v>2594</v>
      </c>
      <c r="B61" s="217" t="s">
        <v>2595</v>
      </c>
      <c r="C61" s="217" t="s">
        <v>1358</v>
      </c>
      <c r="D61" s="217" t="s">
        <v>2596</v>
      </c>
      <c r="E61" s="216" t="s">
        <v>2597</v>
      </c>
      <c r="F61" s="245" t="s">
        <v>2602</v>
      </c>
      <c r="G61" s="216" t="s">
        <v>2594</v>
      </c>
      <c r="H61" s="217" t="s">
        <v>2595</v>
      </c>
      <c r="I61" s="217" t="s">
        <v>1358</v>
      </c>
      <c r="J61" s="217" t="s">
        <v>2596</v>
      </c>
      <c r="K61" s="216" t="s">
        <v>2597</v>
      </c>
      <c r="L61" s="245" t="s">
        <v>2602</v>
      </c>
    </row>
    <row r="62" spans="1:12" ht="3.6" customHeight="1">
      <c r="A62" s="219"/>
      <c r="B62" s="125"/>
      <c r="C62" s="125"/>
      <c r="D62" s="125"/>
      <c r="E62" s="125"/>
      <c r="F62" s="84"/>
      <c r="G62" s="219"/>
      <c r="H62" s="125"/>
      <c r="I62" s="125"/>
      <c r="J62" s="125"/>
      <c r="K62" s="125"/>
      <c r="L62" s="84"/>
    </row>
    <row r="63" spans="1:12">
      <c r="A63" s="220" t="s">
        <v>2598</v>
      </c>
      <c r="B63" s="221"/>
      <c r="C63" s="221"/>
      <c r="D63" s="221"/>
      <c r="E63" s="222">
        <f>IF($C$5&gt;1500000,$D$5,$C$5)</f>
        <v>0</v>
      </c>
      <c r="F63" s="84"/>
      <c r="G63" s="220" t="s">
        <v>2598</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3" t="str">
        <f>CONCATENATE("PART III C  - HUD INSURED LOAN","  -  ",'Part I-Project Information'!$O$4," ",'Part I-Project Information'!$F$24,", ",'Part I-Project Information'!$F$28,", ",'Part I-Project Information'!$J$29," County")</f>
        <v>PART III C  - HUD INSURED LOAN  -  2015-026 Arbor Trace Apartments Phase II, Lake Park, Lowndes County</v>
      </c>
      <c r="B1" s="1454"/>
      <c r="C1" s="1454"/>
      <c r="D1" s="1454"/>
      <c r="E1" s="1454"/>
      <c r="F1" s="1455"/>
      <c r="G1" s="180"/>
      <c r="H1" s="180"/>
      <c r="I1" s="180"/>
      <c r="J1" s="180"/>
      <c r="K1" s="180"/>
      <c r="L1" s="180"/>
      <c r="M1" s="180"/>
      <c r="N1" s="180"/>
      <c r="O1" s="180"/>
      <c r="P1" s="180"/>
      <c r="Q1" s="180"/>
    </row>
    <row r="2" spans="1:17">
      <c r="A2" s="14"/>
      <c r="B2" s="203"/>
      <c r="C2" s="203"/>
      <c r="D2" s="203"/>
    </row>
    <row r="3" spans="1:17" ht="15.6" customHeight="1">
      <c r="A3" s="1462" t="s">
        <v>224</v>
      </c>
      <c r="B3" s="1462"/>
      <c r="C3" s="1462"/>
      <c r="D3" s="1462"/>
      <c r="E3" s="1462"/>
      <c r="F3" s="1462"/>
      <c r="G3" s="248"/>
      <c r="H3" s="248"/>
    </row>
    <row r="4" spans="1:17">
      <c r="A4" s="14"/>
      <c r="B4" s="203"/>
      <c r="C4" s="203"/>
      <c r="D4" s="203"/>
    </row>
    <row r="5" spans="1:17" ht="13.15" customHeight="1">
      <c r="A5" s="28" t="s">
        <v>2363</v>
      </c>
      <c r="D5" s="243"/>
      <c r="E5" s="1465" t="s">
        <v>1000</v>
      </c>
      <c r="F5" s="1466"/>
      <c r="G5" s="175"/>
    </row>
    <row r="6" spans="1:17">
      <c r="E6" s="1466"/>
      <c r="F6" s="1466"/>
      <c r="G6" s="175"/>
    </row>
    <row r="7" spans="1:17">
      <c r="A7" s="28" t="s">
        <v>2585</v>
      </c>
      <c r="C7" s="28" t="s">
        <v>2586</v>
      </c>
      <c r="D7" s="244"/>
      <c r="E7" s="1466"/>
      <c r="F7" s="1466"/>
      <c r="G7" s="175"/>
    </row>
    <row r="8" spans="1:17">
      <c r="C8" s="28" t="s">
        <v>2587</v>
      </c>
      <c r="D8" s="244"/>
      <c r="E8" s="1466"/>
      <c r="F8" s="1466"/>
      <c r="G8" s="175"/>
    </row>
    <row r="9" spans="1:17">
      <c r="C9" s="28" t="s">
        <v>2588</v>
      </c>
      <c r="D9" s="244"/>
      <c r="E9" s="1466"/>
      <c r="F9" s="1466"/>
      <c r="G9" s="175"/>
    </row>
    <row r="10" spans="1:17">
      <c r="C10" s="28" t="s">
        <v>2601</v>
      </c>
      <c r="D10" s="249">
        <f>D7+D8+D9</f>
        <v>0</v>
      </c>
      <c r="E10" s="1466"/>
      <c r="F10" s="1466"/>
      <c r="G10" s="175"/>
    </row>
    <row r="11" spans="1:17">
      <c r="F11" s="175"/>
      <c r="G11" s="175"/>
    </row>
    <row r="12" spans="1:17">
      <c r="A12" s="28" t="s">
        <v>1802</v>
      </c>
      <c r="D12" s="242"/>
      <c r="E12" s="28" t="s">
        <v>2234</v>
      </c>
      <c r="F12" s="175"/>
      <c r="G12" s="175"/>
    </row>
    <row r="13" spans="1:17">
      <c r="D13" s="213"/>
      <c r="F13" s="175"/>
      <c r="G13" s="175"/>
    </row>
    <row r="14" spans="1:17">
      <c r="A14" s="28" t="s">
        <v>2590</v>
      </c>
      <c r="D14" s="241"/>
      <c r="E14" s="28" t="s">
        <v>2591</v>
      </c>
      <c r="F14" s="250"/>
    </row>
    <row r="15" spans="1:17">
      <c r="D15" s="233"/>
      <c r="F15" s="250"/>
    </row>
    <row r="16" spans="1:17">
      <c r="A16" s="28" t="s">
        <v>2592</v>
      </c>
      <c r="D16" s="241"/>
      <c r="E16" s="28" t="s">
        <v>2591</v>
      </c>
      <c r="F16" s="250"/>
    </row>
    <row r="17" spans="1:10">
      <c r="D17" s="213"/>
      <c r="F17" s="250"/>
    </row>
    <row r="18" spans="1:10">
      <c r="A18" s="28" t="s">
        <v>973</v>
      </c>
      <c r="D18" s="251" t="e">
        <f>PMT(D10/12,D16*12,-D5,0,0)*12</f>
        <v>#NUM!</v>
      </c>
      <c r="E18" s="28" t="s">
        <v>1576</v>
      </c>
      <c r="F18" s="250"/>
    </row>
    <row r="19" spans="1:10">
      <c r="D19" s="213"/>
      <c r="F19" s="250"/>
    </row>
    <row r="20" spans="1:10">
      <c r="A20" s="28" t="s">
        <v>1577</v>
      </c>
      <c r="D20" s="213" t="e">
        <f>D18/12</f>
        <v>#NUM!</v>
      </c>
      <c r="E20" s="28" t="s">
        <v>1576</v>
      </c>
      <c r="F20" s="250"/>
    </row>
    <row r="24" spans="1:10" ht="18" customHeight="1">
      <c r="A24" s="1463" t="s">
        <v>1803</v>
      </c>
      <c r="B24" s="1463"/>
      <c r="C24" s="1463"/>
      <c r="D24" s="1463"/>
      <c r="E24" s="1463"/>
      <c r="F24" s="1463"/>
      <c r="J24" s="252"/>
    </row>
    <row r="25" spans="1:10">
      <c r="C25" s="213"/>
      <c r="J25" s="252"/>
    </row>
    <row r="26" spans="1:10">
      <c r="A26" s="110"/>
      <c r="B26" s="84"/>
      <c r="C26" s="1467" t="s">
        <v>2362</v>
      </c>
      <c r="D26" s="247"/>
      <c r="E26" s="84"/>
      <c r="F26" s="1467" t="s">
        <v>2362</v>
      </c>
      <c r="J26" s="252"/>
    </row>
    <row r="27" spans="1:10">
      <c r="A27" s="253" t="s">
        <v>2602</v>
      </c>
      <c r="B27" s="75" t="s">
        <v>1075</v>
      </c>
      <c r="C27" s="1468"/>
      <c r="D27" s="254" t="s">
        <v>2602</v>
      </c>
      <c r="E27" s="75" t="s">
        <v>1075</v>
      </c>
      <c r="F27" s="1468"/>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60" t="str">
        <f>CONCATENATE('Part I-Project Information'!$O$4," ",'Part I-Project Information'!$F$24,", ",'Part I-Project Information'!$F$28,", ",'Part I-Project Information'!$J$29," County")</f>
        <v>2015-026 Arbor Trace Apartments Phase II, Lake Park, Lowndes County</v>
      </c>
      <c r="B50" s="1460"/>
      <c r="C50" s="1460"/>
      <c r="D50" s="1460"/>
      <c r="E50" s="1460"/>
      <c r="F50" s="1460"/>
      <c r="G50" s="238"/>
      <c r="H50" s="238"/>
    </row>
    <row r="51" spans="1:10" ht="15">
      <c r="A51" s="1461" t="s">
        <v>2593</v>
      </c>
      <c r="B51" s="1461"/>
      <c r="C51" s="1461"/>
      <c r="D51" s="1461"/>
      <c r="E51" s="1461"/>
      <c r="F51" s="1461"/>
      <c r="G51" s="264"/>
      <c r="H51" s="264"/>
      <c r="I51" s="264"/>
      <c r="J51" s="264"/>
    </row>
    <row r="52" spans="1:10" ht="5.45" customHeight="1">
      <c r="C52" s="213"/>
      <c r="D52" s="213"/>
      <c r="G52" s="218"/>
      <c r="H52" s="212"/>
      <c r="I52" s="218"/>
    </row>
    <row r="53" spans="1:10">
      <c r="A53" s="216" t="s">
        <v>2594</v>
      </c>
      <c r="B53" s="216" t="s">
        <v>2595</v>
      </c>
      <c r="C53" s="216" t="s">
        <v>1358</v>
      </c>
      <c r="D53" s="216" t="s">
        <v>2596</v>
      </c>
      <c r="E53" s="216" t="s">
        <v>2597</v>
      </c>
      <c r="F53" s="245" t="s">
        <v>2602</v>
      </c>
      <c r="G53" s="265"/>
      <c r="H53" s="265"/>
      <c r="I53" s="265"/>
    </row>
    <row r="54" spans="1:10" ht="3.6" customHeight="1">
      <c r="F54" s="84"/>
      <c r="G54" s="218"/>
      <c r="H54" s="212"/>
      <c r="I54" s="218"/>
    </row>
    <row r="55" spans="1:10">
      <c r="A55" s="28" t="s">
        <v>2598</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5"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7" t="str">
        <f>CONCATENATE("PART FOUR -  USES OF FUNDS","  -  ",'Part I-Project Information'!$O$4," ",'Part I-Project Information'!$F$24,", ",'Part I-Project Information'!F28,", ",'Part I-Project Information'!J29," County")</f>
        <v>PART FOUR -  USES OF FUNDS  -  2015-026 Arbor Trace Apartments Phase II, Lake Park, Lowndes County</v>
      </c>
      <c r="B1" s="1508"/>
      <c r="C1" s="1508"/>
      <c r="D1" s="1508"/>
      <c r="E1" s="1508"/>
      <c r="F1" s="1508"/>
      <c r="G1" s="1508"/>
      <c r="H1" s="1508"/>
      <c r="I1" s="1508"/>
      <c r="J1" s="1508"/>
      <c r="K1" s="1508"/>
      <c r="L1" s="1508"/>
      <c r="M1" s="1508"/>
      <c r="N1" s="1508"/>
      <c r="O1" s="1508"/>
      <c r="P1" s="1508"/>
      <c r="Q1" s="1508"/>
      <c r="R1" s="1508"/>
      <c r="S1" s="1508"/>
      <c r="T1" s="1508"/>
      <c r="W1" s="1506" t="str">
        <f>A1</f>
        <v>PART FOUR -  USES OF FUNDS  -  2015-026 Arbor Trace Apartments Phase II, Lake Park, Lowndes County</v>
      </c>
      <c r="X1" s="1506"/>
    </row>
    <row r="2" spans="1:24" ht="2.25" customHeight="1"/>
    <row r="3" spans="1:24" s="332" customFormat="1" ht="9.75" customHeight="1">
      <c r="A3" s="334"/>
      <c r="B3" s="334"/>
      <c r="C3" s="334"/>
      <c r="D3" s="1724" t="s">
        <v>4383</v>
      </c>
      <c r="E3" s="1725"/>
      <c r="F3" s="1726"/>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646</v>
      </c>
      <c r="B5" s="473" t="s">
        <v>943</v>
      </c>
      <c r="G5" s="562"/>
      <c r="H5" s="562"/>
      <c r="I5" s="562"/>
      <c r="J5" s="1477" t="s">
        <v>283</v>
      </c>
      <c r="K5" s="1478"/>
      <c r="L5" s="384"/>
      <c r="M5" s="1496" t="s">
        <v>510</v>
      </c>
      <c r="N5" s="1497"/>
      <c r="P5" s="1477" t="s">
        <v>284</v>
      </c>
      <c r="Q5" s="1478"/>
      <c r="S5" s="1477" t="s">
        <v>285</v>
      </c>
      <c r="T5" s="1478"/>
      <c r="W5" s="474" t="str">
        <f>B5</f>
        <v>DEVELOPMENT BUDGET</v>
      </c>
    </row>
    <row r="6" spans="1:24" s="332" customFormat="1" ht="19.5" customHeight="1" thickBot="1">
      <c r="G6" s="1490" t="s">
        <v>103</v>
      </c>
      <c r="H6" s="1491"/>
      <c r="J6" s="1479"/>
      <c r="K6" s="1480"/>
      <c r="L6" s="384"/>
      <c r="M6" s="1498"/>
      <c r="N6" s="1499"/>
      <c r="P6" s="1479"/>
      <c r="Q6" s="1480"/>
      <c r="S6" s="1479"/>
      <c r="T6" s="1480"/>
      <c r="W6" s="1472" t="s">
        <v>2825</v>
      </c>
      <c r="X6" s="1472"/>
    </row>
    <row r="7" spans="1:24" s="332" customFormat="1" ht="12" customHeight="1">
      <c r="B7" s="334" t="s">
        <v>104</v>
      </c>
      <c r="O7" s="548" t="str">
        <f>B7</f>
        <v>PRE-DEVELOPMENT COSTS</v>
      </c>
      <c r="W7" s="332" t="str">
        <f>B7</f>
        <v>PRE-DEVELOPMENT COSTS</v>
      </c>
    </row>
    <row r="8" spans="1:24" s="332" customFormat="1" ht="12.6" customHeight="1">
      <c r="B8" s="332" t="s">
        <v>2098</v>
      </c>
      <c r="G8" s="2436">
        <v>6500</v>
      </c>
      <c r="H8" s="2437"/>
      <c r="J8" s="2436"/>
      <c r="K8" s="2437"/>
      <c r="L8" s="1229"/>
      <c r="M8" s="2436"/>
      <c r="N8" s="2437"/>
      <c r="P8" s="2436">
        <v>6500</v>
      </c>
      <c r="Q8" s="2437"/>
      <c r="S8" s="2436"/>
      <c r="T8" s="2437"/>
      <c r="V8" s="2438"/>
      <c r="W8" s="2439"/>
      <c r="X8" s="2440"/>
    </row>
    <row r="9" spans="1:24" s="332" customFormat="1" ht="12.6" customHeight="1">
      <c r="B9" s="332" t="s">
        <v>476</v>
      </c>
      <c r="G9" s="2436">
        <v>5000</v>
      </c>
      <c r="H9" s="2437"/>
      <c r="J9" s="2436"/>
      <c r="K9" s="2437"/>
      <c r="L9" s="1229"/>
      <c r="M9" s="2436"/>
      <c r="N9" s="2437"/>
      <c r="P9" s="2436">
        <v>5000</v>
      </c>
      <c r="Q9" s="2437"/>
      <c r="S9" s="2436"/>
      <c r="T9" s="2437"/>
      <c r="V9" s="2438"/>
      <c r="W9" s="2441"/>
      <c r="X9" s="2442"/>
    </row>
    <row r="10" spans="1:24" s="332" customFormat="1" ht="12.6" customHeight="1">
      <c r="B10" s="332" t="s">
        <v>507</v>
      </c>
      <c r="G10" s="2436">
        <v>9000</v>
      </c>
      <c r="H10" s="2437"/>
      <c r="J10" s="2436"/>
      <c r="K10" s="2437"/>
      <c r="L10" s="1229"/>
      <c r="M10" s="2436"/>
      <c r="N10" s="2437"/>
      <c r="P10" s="2436">
        <v>9000</v>
      </c>
      <c r="Q10" s="2437"/>
      <c r="S10" s="2436"/>
      <c r="T10" s="2437"/>
      <c r="V10" s="2438"/>
      <c r="W10" s="2441"/>
      <c r="X10" s="2442"/>
    </row>
    <row r="11" spans="1:24" s="332" customFormat="1" ht="12.6" customHeight="1">
      <c r="B11" s="332" t="s">
        <v>508</v>
      </c>
      <c r="G11" s="2436"/>
      <c r="H11" s="2437"/>
      <c r="J11" s="2436"/>
      <c r="K11" s="2437"/>
      <c r="L11" s="1229"/>
      <c r="M11" s="2436"/>
      <c r="N11" s="2437"/>
      <c r="P11" s="2436"/>
      <c r="Q11" s="2437"/>
      <c r="S11" s="2436"/>
      <c r="T11" s="2437"/>
      <c r="V11" s="2438"/>
      <c r="W11" s="2441"/>
      <c r="X11" s="2442"/>
    </row>
    <row r="12" spans="1:24" s="332" customFormat="1" ht="12.6" customHeight="1">
      <c r="B12" s="332" t="s">
        <v>2622</v>
      </c>
      <c r="G12" s="2436">
        <v>3000</v>
      </c>
      <c r="H12" s="2437"/>
      <c r="J12" s="2436"/>
      <c r="K12" s="2437"/>
      <c r="L12" s="1229"/>
      <c r="M12" s="2436"/>
      <c r="N12" s="2437"/>
      <c r="P12" s="2436">
        <v>3000</v>
      </c>
      <c r="Q12" s="2437"/>
      <c r="S12" s="2436"/>
      <c r="T12" s="2437"/>
      <c r="V12" s="2438"/>
      <c r="W12" s="2441"/>
      <c r="X12" s="2442"/>
    </row>
    <row r="13" spans="1:24" s="332" customFormat="1" ht="12.6" customHeight="1">
      <c r="B13" s="332" t="s">
        <v>196</v>
      </c>
      <c r="G13" s="2436">
        <v>500</v>
      </c>
      <c r="H13" s="2437"/>
      <c r="J13" s="2436"/>
      <c r="K13" s="2437"/>
      <c r="L13" s="1229"/>
      <c r="M13" s="2436"/>
      <c r="N13" s="2437"/>
      <c r="P13" s="2436">
        <v>500</v>
      </c>
      <c r="Q13" s="2437"/>
      <c r="S13" s="2436"/>
      <c r="T13" s="2437"/>
      <c r="V13" s="2438"/>
      <c r="W13" s="2441"/>
      <c r="X13" s="2442"/>
    </row>
    <row r="14" spans="1:24" s="332" customFormat="1" ht="12.6" customHeight="1">
      <c r="A14" s="409" t="str">
        <f>IF(AND(G14&gt;0,OR(C14="",C14="&lt;Enter detailed description here; use Comments section if needed&gt;")),"X","")</f>
        <v/>
      </c>
      <c r="B14" s="332" t="s">
        <v>780</v>
      </c>
      <c r="C14" s="2210" t="s">
        <v>4494</v>
      </c>
      <c r="D14" s="2210"/>
      <c r="E14" s="2210"/>
      <c r="F14" s="2211"/>
      <c r="G14" s="2436">
        <v>4250</v>
      </c>
      <c r="H14" s="2437"/>
      <c r="J14" s="2436"/>
      <c r="K14" s="2437"/>
      <c r="L14" s="1229"/>
      <c r="M14" s="2436"/>
      <c r="N14" s="2437"/>
      <c r="P14" s="2436">
        <v>4250</v>
      </c>
      <c r="Q14" s="2437"/>
      <c r="S14" s="2436"/>
      <c r="T14" s="2437"/>
      <c r="U14" s="408" t="str">
        <f>IF(AND(G14&gt;0,OR(C14="",C14="&lt;Enter detailed description here; use Comments section if needed&gt;")),"NO DESCRIPTION PROVIDED - please enter detailed description in Other box at left; use Comments section below if needed.","")</f>
        <v/>
      </c>
      <c r="V14" s="2443"/>
      <c r="W14" s="2441"/>
      <c r="X14" s="2442"/>
    </row>
    <row r="15" spans="1:24" s="332" customFormat="1" ht="12.6" customHeight="1">
      <c r="A15" s="409" t="str">
        <f>IF(AND(G15&gt;0,OR(C15="",C15="&lt;Enter detailed description here; use Comments section if needed&gt;")),"X","")</f>
        <v/>
      </c>
      <c r="B15" s="332" t="s">
        <v>780</v>
      </c>
      <c r="C15" s="2210" t="s">
        <v>2534</v>
      </c>
      <c r="D15" s="2210"/>
      <c r="E15" s="2210"/>
      <c r="F15" s="2211"/>
      <c r="G15" s="2436"/>
      <c r="H15" s="2437"/>
      <c r="J15" s="2436"/>
      <c r="K15" s="2437"/>
      <c r="L15" s="1229"/>
      <c r="M15" s="2436"/>
      <c r="N15" s="2437"/>
      <c r="P15" s="2436"/>
      <c r="Q15" s="2437"/>
      <c r="S15" s="2436"/>
      <c r="T15" s="2437"/>
      <c r="U15" s="408" t="str">
        <f>IF(AND(G15&gt;0,OR(C15="",C15="&lt;Enter detailed description here; use Comments section if needed&gt;")),"NO DESCRIPTION PROVIDED - please enter detailed description in Other box at left; use Comments section below if needed.","")</f>
        <v/>
      </c>
      <c r="V15" s="2443"/>
      <c r="W15" s="2441"/>
      <c r="X15" s="2442"/>
    </row>
    <row r="16" spans="1:24" s="332" customFormat="1" ht="12.6" customHeight="1" thickBot="1">
      <c r="A16" s="409" t="str">
        <f>IF(AND(G16&gt;0,OR(C16="",C16="&lt;Enter detailed description here; use Comments section if needed&gt;")),"X","")</f>
        <v/>
      </c>
      <c r="B16" s="332" t="s">
        <v>780</v>
      </c>
      <c r="C16" s="2210" t="s">
        <v>2534</v>
      </c>
      <c r="D16" s="2210"/>
      <c r="E16" s="2210"/>
      <c r="F16" s="2211"/>
      <c r="G16" s="2436"/>
      <c r="H16" s="2437"/>
      <c r="J16" s="2444"/>
      <c r="K16" s="2445"/>
      <c r="L16" s="1229"/>
      <c r="M16" s="2436"/>
      <c r="N16" s="2437"/>
      <c r="P16" s="2436"/>
      <c r="Q16" s="2437"/>
      <c r="S16" s="2444"/>
      <c r="T16" s="2445"/>
      <c r="U16" s="408" t="str">
        <f>IF(AND(G16&gt;0,OR(C16="",C16="&lt;Enter detailed description here; use Comments section if needed&gt;")),"NO DESCRIPTION PROVIDED - please enter detailed description in Other box at left; use Comments section below if needed.","")</f>
        <v/>
      </c>
      <c r="V16" s="2443"/>
      <c r="W16" s="2441"/>
      <c r="X16" s="2442"/>
    </row>
    <row r="17" spans="2:24" s="332" customFormat="1" ht="12.6" customHeight="1" thickTop="1">
      <c r="F17" s="385" t="s">
        <v>197</v>
      </c>
      <c r="G17" s="1469">
        <f>SUM(G8:H16)</f>
        <v>28250</v>
      </c>
      <c r="H17" s="1473"/>
      <c r="J17" s="1469">
        <f>SUM(J8:K16)</f>
        <v>0</v>
      </c>
      <c r="K17" s="1470"/>
      <c r="L17" s="1229"/>
      <c r="M17" s="1469">
        <f>SUM(M8:N16)</f>
        <v>0</v>
      </c>
      <c r="N17" s="1473"/>
      <c r="P17" s="1469">
        <f>SUM(P8:Q16)</f>
        <v>28250</v>
      </c>
      <c r="Q17" s="1473"/>
      <c r="S17" s="1469">
        <f>SUM(S8:T16)</f>
        <v>0</v>
      </c>
      <c r="T17" s="1473"/>
      <c r="V17" s="2446">
        <f>SUM(V8:V16)</f>
        <v>0</v>
      </c>
      <c r="W17" s="2447"/>
      <c r="X17" s="2448"/>
    </row>
    <row r="18" spans="2:24" s="332" customFormat="1" ht="12" customHeight="1">
      <c r="B18" s="334" t="s">
        <v>2299</v>
      </c>
      <c r="J18" s="384"/>
      <c r="K18" s="384"/>
      <c r="M18" s="384"/>
      <c r="N18" s="384"/>
      <c r="O18" s="386" t="str">
        <f>B18</f>
        <v>ACQUISITION</v>
      </c>
      <c r="P18" s="384"/>
      <c r="Q18" s="384"/>
      <c r="S18" s="384"/>
      <c r="T18" s="384"/>
      <c r="W18" s="332" t="str">
        <f>B18</f>
        <v>ACQUISITION</v>
      </c>
    </row>
    <row r="19" spans="2:24" s="332" customFormat="1" ht="12.6" customHeight="1">
      <c r="B19" s="332" t="s">
        <v>2300</v>
      </c>
      <c r="G19" s="2436">
        <v>115000</v>
      </c>
      <c r="H19" s="2437"/>
      <c r="J19" s="387"/>
      <c r="K19" s="384"/>
      <c r="L19" s="387"/>
      <c r="M19" s="387"/>
      <c r="N19" s="384"/>
      <c r="P19" s="387"/>
      <c r="Q19" s="384"/>
      <c r="S19" s="2436">
        <v>115000</v>
      </c>
      <c r="T19" s="2437"/>
      <c r="V19" s="2438"/>
      <c r="W19" s="2439"/>
      <c r="X19" s="2440"/>
    </row>
    <row r="20" spans="2:24" s="332" customFormat="1" ht="12.6" customHeight="1">
      <c r="B20" s="332" t="s">
        <v>1169</v>
      </c>
      <c r="G20" s="2436"/>
      <c r="H20" s="2437"/>
      <c r="J20" s="387"/>
      <c r="K20" s="384"/>
      <c r="L20" s="387"/>
      <c r="M20" s="387"/>
      <c r="N20" s="384"/>
      <c r="P20" s="387"/>
      <c r="Q20" s="384"/>
      <c r="S20" s="2436"/>
      <c r="T20" s="2437"/>
      <c r="V20" s="2438"/>
      <c r="W20" s="2441"/>
      <c r="X20" s="2442"/>
    </row>
    <row r="21" spans="2:24" s="332" customFormat="1" ht="12.6" customHeight="1">
      <c r="B21" s="332" t="s">
        <v>477</v>
      </c>
      <c r="G21" s="2436">
        <v>10000</v>
      </c>
      <c r="H21" s="2437"/>
      <c r="J21" s="387"/>
      <c r="K21" s="384"/>
      <c r="L21" s="387"/>
      <c r="M21" s="2436">
        <v>10000</v>
      </c>
      <c r="N21" s="2437"/>
      <c r="P21" s="387"/>
      <c r="Q21" s="384"/>
      <c r="S21" s="2436"/>
      <c r="T21" s="2437"/>
      <c r="V21" s="2438"/>
      <c r="W21" s="2441"/>
      <c r="X21" s="2442"/>
    </row>
    <row r="22" spans="2:24" s="332" customFormat="1" ht="12.6" customHeight="1" thickBot="1">
      <c r="B22" s="332" t="s">
        <v>446</v>
      </c>
      <c r="G22" s="2449">
        <v>1319420</v>
      </c>
      <c r="H22" s="2450"/>
      <c r="J22" s="387"/>
      <c r="K22" s="384"/>
      <c r="L22" s="387"/>
      <c r="M22" s="2449">
        <v>1319420</v>
      </c>
      <c r="N22" s="2450"/>
      <c r="P22" s="387"/>
      <c r="Q22" s="384"/>
      <c r="S22" s="2436"/>
      <c r="T22" s="2437"/>
      <c r="V22" s="2438"/>
      <c r="W22" s="2441"/>
      <c r="X22" s="2442"/>
    </row>
    <row r="23" spans="2:24" s="332" customFormat="1" ht="12.6" customHeight="1" thickTop="1">
      <c r="F23" s="385" t="s">
        <v>197</v>
      </c>
      <c r="G23" s="1469">
        <f>SUM(G19:H22)</f>
        <v>1444420</v>
      </c>
      <c r="H23" s="1473"/>
      <c r="J23" s="387"/>
      <c r="K23" s="384"/>
      <c r="L23" s="387"/>
      <c r="M23" s="1469">
        <f>SUM(M21:N22)</f>
        <v>1329420</v>
      </c>
      <c r="N23" s="1473"/>
      <c r="P23" s="387"/>
      <c r="Q23" s="384"/>
      <c r="S23" s="1469">
        <f>SUM(S19:T22)</f>
        <v>115000</v>
      </c>
      <c r="T23" s="1473"/>
      <c r="V23" s="2446">
        <f>SUM(V19:V22)</f>
        <v>0</v>
      </c>
      <c r="W23" s="2447"/>
      <c r="X23" s="2448"/>
    </row>
    <row r="24" spans="2:24" s="332" customFormat="1" ht="12" customHeight="1">
      <c r="B24" s="334" t="s">
        <v>1170</v>
      </c>
      <c r="J24" s="387"/>
      <c r="K24" s="384"/>
      <c r="M24" s="387"/>
      <c r="N24" s="384"/>
      <c r="O24" s="386" t="str">
        <f>B24</f>
        <v>LAND IMPROVEMENTS</v>
      </c>
      <c r="P24" s="387"/>
      <c r="Q24" s="384"/>
      <c r="S24" s="387"/>
      <c r="T24" s="384"/>
      <c r="W24" s="332" t="str">
        <f>B24</f>
        <v>LAND IMPROVEMENTS</v>
      </c>
    </row>
    <row r="25" spans="2:24" s="332" customFormat="1" ht="12.6" customHeight="1">
      <c r="B25" s="332" t="s">
        <v>1171</v>
      </c>
      <c r="G25" s="2436">
        <v>200000</v>
      </c>
      <c r="H25" s="2437"/>
      <c r="J25" s="2444"/>
      <c r="K25" s="2445"/>
      <c r="L25" s="1229"/>
      <c r="M25" s="2444"/>
      <c r="N25" s="2445"/>
      <c r="P25" s="2444">
        <v>200000</v>
      </c>
      <c r="Q25" s="2445"/>
      <c r="S25" s="2436"/>
      <c r="T25" s="2437"/>
      <c r="V25" s="2438"/>
      <c r="W25" s="2439"/>
      <c r="X25" s="2440"/>
    </row>
    <row r="26" spans="2:24" s="332" customFormat="1" ht="12.6" customHeight="1" thickBot="1">
      <c r="B26" s="332" t="s">
        <v>1172</v>
      </c>
      <c r="G26" s="2436"/>
      <c r="H26" s="2437"/>
      <c r="J26" s="2444"/>
      <c r="K26" s="2445"/>
      <c r="L26" s="388"/>
      <c r="M26" s="1471"/>
      <c r="N26" s="1471"/>
      <c r="P26" s="1471"/>
      <c r="Q26" s="1471"/>
      <c r="S26" s="2436"/>
      <c r="T26" s="2437"/>
      <c r="V26" s="2438"/>
      <c r="W26" s="2441"/>
      <c r="X26" s="2442"/>
    </row>
    <row r="27" spans="2:24" s="332" customFormat="1" ht="12.6" customHeight="1" thickTop="1">
      <c r="F27" s="385" t="s">
        <v>197</v>
      </c>
      <c r="G27" s="1469">
        <f>SUM(G25:H26)</f>
        <v>200000</v>
      </c>
      <c r="H27" s="1473"/>
      <c r="J27" s="1469">
        <f>SUM(J25:K26)</f>
        <v>0</v>
      </c>
      <c r="K27" s="1473"/>
      <c r="L27" s="387"/>
      <c r="M27" s="1469">
        <f>M25</f>
        <v>0</v>
      </c>
      <c r="N27" s="1473"/>
      <c r="P27" s="1469">
        <f>P25</f>
        <v>200000</v>
      </c>
      <c r="Q27" s="1473"/>
      <c r="S27" s="1469">
        <f>SUM(S25:T26)</f>
        <v>0</v>
      </c>
      <c r="T27" s="1473"/>
      <c r="V27" s="2446">
        <f>SUM(V25:V26)</f>
        <v>0</v>
      </c>
      <c r="W27" s="2447"/>
      <c r="X27" s="2448"/>
    </row>
    <row r="28" spans="2:24" s="332" customFormat="1" ht="12" customHeight="1">
      <c r="B28" s="334" t="s">
        <v>1173</v>
      </c>
      <c r="J28" s="387"/>
      <c r="K28" s="384"/>
      <c r="M28" s="387"/>
      <c r="N28" s="384"/>
      <c r="O28" s="386" t="str">
        <f>B28</f>
        <v>STRUCTURES</v>
      </c>
      <c r="P28" s="387"/>
      <c r="Q28" s="384"/>
      <c r="S28" s="387"/>
      <c r="T28" s="384"/>
      <c r="W28" s="332" t="str">
        <f>B28</f>
        <v>STRUCTURES</v>
      </c>
    </row>
    <row r="29" spans="2:24" s="332" customFormat="1" ht="12.6" customHeight="1">
      <c r="B29" s="332" t="s">
        <v>1174</v>
      </c>
      <c r="G29" s="2436"/>
      <c r="H29" s="2437"/>
      <c r="J29" s="2436"/>
      <c r="K29" s="2437"/>
      <c r="L29" s="1229"/>
      <c r="M29" s="2436"/>
      <c r="N29" s="2437"/>
      <c r="P29" s="2436"/>
      <c r="Q29" s="2437"/>
      <c r="S29" s="2436"/>
      <c r="T29" s="2437"/>
      <c r="V29" s="2438"/>
      <c r="W29" s="2439"/>
      <c r="X29" s="2440"/>
    </row>
    <row r="30" spans="2:24" s="332" customFormat="1" ht="12.6" customHeight="1">
      <c r="B30" s="332" t="s">
        <v>1175</v>
      </c>
      <c r="G30" s="2436">
        <v>2100000</v>
      </c>
      <c r="H30" s="2437"/>
      <c r="J30" s="2436"/>
      <c r="K30" s="2437"/>
      <c r="L30" s="1229"/>
      <c r="M30" s="2436"/>
      <c r="N30" s="2437"/>
      <c r="P30" s="2436">
        <v>2100000</v>
      </c>
      <c r="Q30" s="2437"/>
      <c r="S30" s="2436"/>
      <c r="T30" s="2437"/>
      <c r="V30" s="2438"/>
      <c r="W30" s="2441"/>
      <c r="X30" s="2442"/>
    </row>
    <row r="31" spans="2:24" s="332" customFormat="1" ht="12.6" customHeight="1">
      <c r="B31" s="332" t="s">
        <v>3085</v>
      </c>
      <c r="G31" s="2436"/>
      <c r="H31" s="2437"/>
      <c r="J31" s="2436"/>
      <c r="K31" s="2437"/>
      <c r="L31" s="1229"/>
      <c r="M31" s="2436"/>
      <c r="N31" s="2437"/>
      <c r="P31" s="2436"/>
      <c r="Q31" s="2437"/>
      <c r="S31" s="2436"/>
      <c r="T31" s="2437"/>
      <c r="V31" s="2438"/>
      <c r="W31" s="2441"/>
      <c r="X31" s="2442"/>
    </row>
    <row r="32" spans="2:24" ht="12.6" customHeight="1" thickBot="1">
      <c r="B32" s="332" t="s">
        <v>3084</v>
      </c>
      <c r="G32" s="2436">
        <v>200000</v>
      </c>
      <c r="H32" s="2437"/>
      <c r="I32" s="332"/>
      <c r="J32" s="2436"/>
      <c r="K32" s="2437"/>
      <c r="L32" s="1229"/>
      <c r="M32" s="2436"/>
      <c r="N32" s="2437"/>
      <c r="O32" s="332"/>
      <c r="P32" s="2436">
        <v>200000</v>
      </c>
      <c r="Q32" s="2437"/>
      <c r="R32" s="332"/>
      <c r="S32" s="2436"/>
      <c r="T32" s="2437"/>
      <c r="V32" s="2438"/>
      <c r="W32" s="2441"/>
      <c r="X32" s="2442"/>
    </row>
    <row r="33" spans="1:24" s="332" customFormat="1" ht="12.6" customHeight="1" thickTop="1">
      <c r="C33" s="1544"/>
      <c r="D33" s="1544"/>
      <c r="E33" s="1230"/>
      <c r="F33" s="385" t="s">
        <v>197</v>
      </c>
      <c r="G33" s="1469">
        <f>SUM(G29:H32)</f>
        <v>2300000</v>
      </c>
      <c r="H33" s="1473"/>
      <c r="J33" s="1469">
        <f>SUM(J29:K32)</f>
        <v>0</v>
      </c>
      <c r="K33" s="1473"/>
      <c r="L33" s="1229"/>
      <c r="M33" s="1469">
        <f>SUM(M29:N32)</f>
        <v>0</v>
      </c>
      <c r="N33" s="1473"/>
      <c r="P33" s="1469">
        <f>SUM(P29:Q32)</f>
        <v>2300000</v>
      </c>
      <c r="Q33" s="1473"/>
      <c r="S33" s="1469">
        <f>SUM(S29:T32)</f>
        <v>0</v>
      </c>
      <c r="T33" s="1473"/>
      <c r="V33" s="2446">
        <f>SUM(V29:V32)</f>
        <v>0</v>
      </c>
      <c r="W33" s="2447"/>
      <c r="X33" s="2448"/>
    </row>
    <row r="34" spans="1:24" s="332" customFormat="1" ht="12" customHeight="1">
      <c r="B34" s="334" t="s">
        <v>2452</v>
      </c>
      <c r="E34" s="563">
        <f>SUM(E35:E37)</f>
        <v>0.14000000000000001</v>
      </c>
      <c r="F34" s="1220"/>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2453</v>
      </c>
      <c r="E35" s="389">
        <f>'DCA Underwriting Assumptions'!$R$71</f>
        <v>0.06</v>
      </c>
      <c r="F35" s="443">
        <f>E35*(G27+G33)</f>
        <v>150000</v>
      </c>
      <c r="G35" s="2436">
        <v>150000</v>
      </c>
      <c r="H35" s="2437"/>
      <c r="I35" s="348"/>
      <c r="J35" s="2436"/>
      <c r="K35" s="2437"/>
      <c r="L35" s="1229"/>
      <c r="M35" s="2436"/>
      <c r="N35" s="2437"/>
      <c r="P35" s="2436">
        <v>150000</v>
      </c>
      <c r="Q35" s="2437"/>
      <c r="S35" s="2436"/>
      <c r="T35" s="2437"/>
      <c r="V35" s="2438"/>
      <c r="W35" s="2439"/>
      <c r="X35" s="2440"/>
    </row>
    <row r="36" spans="1:24" s="332" customFormat="1" ht="12.6" customHeight="1">
      <c r="B36" s="332" t="s">
        <v>2922</v>
      </c>
      <c r="E36" s="442">
        <f>'DCA Underwriting Assumptions'!$R$72</f>
        <v>0.02</v>
      </c>
      <c r="F36" s="443">
        <f>E36*(G27+G33)</f>
        <v>50000</v>
      </c>
      <c r="G36" s="2436">
        <v>50000</v>
      </c>
      <c r="H36" s="2437"/>
      <c r="I36" s="348"/>
      <c r="J36" s="2436"/>
      <c r="K36" s="2437"/>
      <c r="L36" s="1229"/>
      <c r="M36" s="2436"/>
      <c r="N36" s="2437"/>
      <c r="P36" s="2436">
        <v>50000</v>
      </c>
      <c r="Q36" s="2437"/>
      <c r="S36" s="2436"/>
      <c r="T36" s="2437"/>
      <c r="V36" s="2438"/>
      <c r="W36" s="2441"/>
      <c r="X36" s="2442"/>
    </row>
    <row r="37" spans="1:24" s="332" customFormat="1" ht="12.6" customHeight="1" thickBot="1">
      <c r="B37" s="332" t="s">
        <v>2923</v>
      </c>
      <c r="E37" s="442">
        <f>'DCA Underwriting Assumptions'!$R$73</f>
        <v>0.06</v>
      </c>
      <c r="F37" s="443">
        <f>E37*(G27+G33)</f>
        <v>150000</v>
      </c>
      <c r="G37" s="2436">
        <v>150000</v>
      </c>
      <c r="H37" s="2437"/>
      <c r="I37" s="348"/>
      <c r="J37" s="2436"/>
      <c r="K37" s="2437"/>
      <c r="L37" s="1229"/>
      <c r="M37" s="2436"/>
      <c r="N37" s="2437"/>
      <c r="P37" s="2436">
        <v>150000</v>
      </c>
      <c r="Q37" s="2437"/>
      <c r="S37" s="2436"/>
      <c r="T37" s="2437"/>
      <c r="V37" s="2438"/>
      <c r="W37" s="2441"/>
      <c r="X37" s="2442"/>
    </row>
    <row r="38" spans="1:24" s="332" customFormat="1" ht="12.6" customHeight="1" thickTop="1">
      <c r="B38" s="332" t="s">
        <v>2139</v>
      </c>
      <c r="D38" s="392"/>
      <c r="E38" s="1220"/>
      <c r="F38" s="444" t="s">
        <v>197</v>
      </c>
      <c r="G38" s="1469">
        <f>SUM(G35:H37)</f>
        <v>350000</v>
      </c>
      <c r="H38" s="1473"/>
      <c r="J38" s="1469">
        <f>SUM(J35:K37)</f>
        <v>0</v>
      </c>
      <c r="K38" s="1473"/>
      <c r="L38" s="387"/>
      <c r="M38" s="1469">
        <f>SUM(M35:N37)</f>
        <v>0</v>
      </c>
      <c r="N38" s="1473"/>
      <c r="P38" s="1469">
        <f>SUM(P35:Q37)</f>
        <v>350000</v>
      </c>
      <c r="Q38" s="1473"/>
      <c r="S38" s="1469">
        <f>SUM(S35:T37)</f>
        <v>0</v>
      </c>
      <c r="T38" s="1473"/>
      <c r="V38" s="2446">
        <f>SUM(V35:V37)</f>
        <v>0</v>
      </c>
      <c r="W38" s="2447"/>
      <c r="X38" s="2448"/>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2927</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780</v>
      </c>
      <c r="C41" s="2210" t="s">
        <v>2534</v>
      </c>
      <c r="D41" s="2451"/>
      <c r="E41" s="2451"/>
      <c r="F41" s="2452"/>
      <c r="G41" s="2436"/>
      <c r="H41" s="2437"/>
      <c r="I41" s="332"/>
      <c r="J41" s="2436"/>
      <c r="K41" s="2437"/>
      <c r="L41" s="1229"/>
      <c r="M41" s="2436"/>
      <c r="N41" s="2437"/>
      <c r="O41" s="332"/>
      <c r="P41" s="2436"/>
      <c r="Q41" s="2437"/>
      <c r="R41" s="332"/>
      <c r="S41" s="2436"/>
      <c r="T41" s="2437"/>
      <c r="V41" s="2438"/>
      <c r="W41" s="2439"/>
      <c r="X41" s="2440"/>
    </row>
    <row r="42" spans="1:24" s="332" customFormat="1" ht="6" customHeight="1">
      <c r="A42" s="548"/>
      <c r="B42" s="548"/>
      <c r="C42" s="548"/>
      <c r="D42" s="1263"/>
      <c r="E42" s="1263"/>
      <c r="F42" s="1263"/>
      <c r="G42" s="548"/>
      <c r="H42" s="548"/>
      <c r="I42" s="548"/>
      <c r="J42" s="548"/>
      <c r="K42" s="548"/>
      <c r="L42" s="548"/>
      <c r="M42" s="548"/>
      <c r="N42" s="548"/>
      <c r="O42" s="548"/>
      <c r="P42" s="548"/>
      <c r="Q42" s="548"/>
      <c r="R42" s="548"/>
      <c r="S42" s="548"/>
      <c r="T42" s="548"/>
      <c r="W42" s="2441"/>
      <c r="X42" s="2442"/>
    </row>
    <row r="43" spans="1:24" s="332" customFormat="1" ht="12.6" customHeight="1">
      <c r="B43" s="589" t="s">
        <v>2932</v>
      </c>
      <c r="C43" s="590"/>
      <c r="E43" s="1500" t="s">
        <v>2931</v>
      </c>
      <c r="F43" s="1232">
        <f>B44/'Part VI-Revenues &amp; Expenses'!$M$60</f>
        <v>67857.142857142855</v>
      </c>
      <c r="G43" s="587" t="s">
        <v>3076</v>
      </c>
      <c r="H43" s="549"/>
      <c r="I43" s="549"/>
      <c r="J43" s="1503">
        <f>B44/'Part VI-Revenues &amp; Expenses'!$M$62</f>
        <v>67857.142857142855</v>
      </c>
      <c r="K43" s="1503"/>
      <c r="L43" s="549"/>
      <c r="M43" s="1504" t="s">
        <v>1470</v>
      </c>
      <c r="N43" s="1504"/>
      <c r="O43" s="549"/>
      <c r="P43" s="1503">
        <f>B44/'Part I-Project Information'!$P$60</f>
        <v>75.554730786564519</v>
      </c>
      <c r="Q43" s="1503"/>
      <c r="R43" s="549"/>
      <c r="S43" s="1474" t="s">
        <v>3083</v>
      </c>
      <c r="T43" s="1475"/>
      <c r="W43" s="2441"/>
      <c r="X43" s="2442"/>
    </row>
    <row r="44" spans="1:24" s="332" customFormat="1" ht="12.6" customHeight="1">
      <c r="B44" s="1492">
        <f>G27+G33+G38+G41</f>
        <v>2850000</v>
      </c>
      <c r="C44" s="1493"/>
      <c r="E44" s="1501"/>
      <c r="F44" s="1233">
        <f>B44/'Part VI-Revenues &amp; Expenses'!$M$118</f>
        <v>78.359132275714174</v>
      </c>
      <c r="G44" s="588" t="s">
        <v>3077</v>
      </c>
      <c r="H44" s="1224"/>
      <c r="I44" s="1224"/>
      <c r="J44" s="1502">
        <f>B44/'Part VI-Revenues &amp; Expenses'!$M$120</f>
        <v>78.359132275714174</v>
      </c>
      <c r="K44" s="1502"/>
      <c r="L44" s="1224"/>
      <c r="M44" s="1505" t="s">
        <v>3082</v>
      </c>
      <c r="N44" s="1505"/>
      <c r="O44" s="1224"/>
      <c r="P44" s="1224"/>
      <c r="Q44" s="1224"/>
      <c r="R44" s="1224"/>
      <c r="S44" s="1224"/>
      <c r="T44" s="377"/>
      <c r="W44" s="2447"/>
      <c r="X44" s="2448"/>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1176</v>
      </c>
      <c r="J46" s="387"/>
      <c r="K46" s="384"/>
      <c r="M46" s="387"/>
      <c r="N46" s="384"/>
      <c r="O46" s="386" t="str">
        <f>B46</f>
        <v>CONSTRUCTION CONTINGENCY</v>
      </c>
      <c r="P46" s="387"/>
      <c r="Q46" s="384"/>
      <c r="S46" s="387"/>
      <c r="T46" s="384"/>
      <c r="W46" s="332" t="str">
        <f>B46</f>
        <v>CONSTRUCTION CONTINGENCY</v>
      </c>
    </row>
    <row r="47" spans="1:24" ht="12.6" customHeight="1">
      <c r="B47" s="332" t="s">
        <v>2058</v>
      </c>
      <c r="F47" s="1185">
        <f>G47/B44</f>
        <v>5.7894736842105263E-2</v>
      </c>
      <c r="G47" s="2436">
        <v>165000</v>
      </c>
      <c r="H47" s="2437"/>
      <c r="I47" s="332"/>
      <c r="J47" s="2436"/>
      <c r="K47" s="2437"/>
      <c r="L47" s="1229"/>
      <c r="M47" s="2436"/>
      <c r="N47" s="2437"/>
      <c r="O47" s="332"/>
      <c r="P47" s="2436">
        <v>165000</v>
      </c>
      <c r="Q47" s="2437"/>
      <c r="R47" s="332"/>
      <c r="S47" s="2436"/>
      <c r="T47" s="2437"/>
      <c r="V47" s="2438"/>
      <c r="W47" s="2453"/>
      <c r="X47" s="2454"/>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646</v>
      </c>
      <c r="B50" s="473" t="s">
        <v>3184</v>
      </c>
      <c r="H50" s="1220"/>
      <c r="I50" s="1220"/>
      <c r="J50" s="1477" t="s">
        <v>283</v>
      </c>
      <c r="K50" s="1478"/>
      <c r="L50" s="384"/>
      <c r="M50" s="1496" t="s">
        <v>510</v>
      </c>
      <c r="N50" s="1497"/>
      <c r="P50" s="1477" t="s">
        <v>284</v>
      </c>
      <c r="Q50" s="1478"/>
      <c r="S50" s="1477" t="s">
        <v>285</v>
      </c>
      <c r="T50" s="1478"/>
      <c r="W50" s="474" t="str">
        <f>B50</f>
        <v>DEVELOPMENT BUDGET (cont'd)</v>
      </c>
    </row>
    <row r="51" spans="1:24" s="332" customFormat="1" ht="18.75" customHeight="1" thickBot="1">
      <c r="G51" s="1490" t="s">
        <v>103</v>
      </c>
      <c r="H51" s="1491"/>
      <c r="J51" s="1479"/>
      <c r="K51" s="1480"/>
      <c r="L51" s="384"/>
      <c r="M51" s="1498"/>
      <c r="N51" s="1499"/>
      <c r="P51" s="1479"/>
      <c r="Q51" s="1480"/>
      <c r="S51" s="1479"/>
      <c r="T51" s="1480"/>
      <c r="W51" s="1472" t="s">
        <v>2825</v>
      </c>
      <c r="X51" s="1472"/>
    </row>
    <row r="52" spans="1:24" s="332" customFormat="1" ht="12" customHeight="1">
      <c r="B52" s="334" t="s">
        <v>761</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436"/>
      <c r="H53" s="2437"/>
      <c r="J53" s="2436"/>
      <c r="K53" s="2437"/>
      <c r="L53" s="1229"/>
      <c r="M53" s="2436"/>
      <c r="N53" s="2437"/>
      <c r="P53" s="2436"/>
      <c r="Q53" s="2437"/>
      <c r="S53" s="2436"/>
      <c r="T53" s="2437"/>
    </row>
    <row r="54" spans="1:24" s="332" customFormat="1" ht="12" customHeight="1">
      <c r="B54" s="332" t="s">
        <v>2455</v>
      </c>
      <c r="G54" s="2436"/>
      <c r="H54" s="2437"/>
      <c r="J54" s="2436"/>
      <c r="K54" s="2437"/>
      <c r="L54" s="1229"/>
      <c r="M54" s="2436"/>
      <c r="N54" s="2437"/>
      <c r="P54" s="2436"/>
      <c r="Q54" s="2437"/>
      <c r="S54" s="2436"/>
      <c r="T54" s="2437"/>
      <c r="V54" s="2438"/>
      <c r="W54" s="2439"/>
      <c r="X54" s="2440"/>
    </row>
    <row r="55" spans="1:24" s="332" customFormat="1" ht="12" customHeight="1">
      <c r="B55" s="332" t="s">
        <v>2456</v>
      </c>
      <c r="G55" s="2436"/>
      <c r="H55" s="2437"/>
      <c r="J55" s="2436"/>
      <c r="K55" s="2437"/>
      <c r="L55" s="1229"/>
      <c r="M55" s="2436"/>
      <c r="N55" s="2437"/>
      <c r="P55" s="2436"/>
      <c r="Q55" s="2437"/>
      <c r="S55" s="2436"/>
      <c r="T55" s="2437"/>
      <c r="V55" s="2438"/>
      <c r="W55" s="2441"/>
      <c r="X55" s="2442"/>
    </row>
    <row r="56" spans="1:24" s="332" customFormat="1" ht="12" customHeight="1">
      <c r="B56" s="332" t="s">
        <v>2457</v>
      </c>
      <c r="G56" s="2436"/>
      <c r="H56" s="2437"/>
      <c r="J56" s="2436"/>
      <c r="K56" s="2437"/>
      <c r="L56" s="1229"/>
      <c r="M56" s="2436"/>
      <c r="N56" s="2437"/>
      <c r="P56" s="2436"/>
      <c r="Q56" s="2437"/>
      <c r="S56" s="2436"/>
      <c r="T56" s="2437"/>
      <c r="V56" s="2438"/>
      <c r="W56" s="2441"/>
      <c r="X56" s="2442"/>
    </row>
    <row r="57" spans="1:24" s="332" customFormat="1" ht="12" customHeight="1">
      <c r="B57" s="332" t="s">
        <v>2843</v>
      </c>
      <c r="G57" s="2436">
        <v>18000</v>
      </c>
      <c r="H57" s="2437"/>
      <c r="J57" s="2436"/>
      <c r="K57" s="2437"/>
      <c r="L57" s="1229"/>
      <c r="M57" s="2436"/>
      <c r="N57" s="2437"/>
      <c r="P57" s="2436">
        <v>18000</v>
      </c>
      <c r="Q57" s="2437"/>
      <c r="S57" s="2436"/>
      <c r="T57" s="2437"/>
      <c r="V57" s="2438"/>
      <c r="W57" s="2441"/>
      <c r="X57" s="2442"/>
    </row>
    <row r="58" spans="1:24" s="332" customFormat="1" ht="12" customHeight="1">
      <c r="B58" s="332" t="s">
        <v>762</v>
      </c>
      <c r="G58" s="2436">
        <v>18000</v>
      </c>
      <c r="H58" s="2437"/>
      <c r="J58" s="2436"/>
      <c r="K58" s="2437"/>
      <c r="L58" s="1229"/>
      <c r="M58" s="2436"/>
      <c r="N58" s="2437"/>
      <c r="P58" s="2436">
        <v>9000</v>
      </c>
      <c r="Q58" s="2437"/>
      <c r="S58" s="2436">
        <v>9000</v>
      </c>
      <c r="T58" s="2437"/>
      <c r="V58" s="2438"/>
      <c r="W58" s="2441"/>
      <c r="X58" s="2442"/>
    </row>
    <row r="59" spans="1:24" s="332" customFormat="1" ht="12" customHeight="1">
      <c r="B59" s="332" t="s">
        <v>2458</v>
      </c>
      <c r="G59" s="2436">
        <v>20000</v>
      </c>
      <c r="H59" s="2437"/>
      <c r="J59" s="2436"/>
      <c r="K59" s="2437"/>
      <c r="L59" s="1229"/>
      <c r="M59" s="2436"/>
      <c r="N59" s="2437"/>
      <c r="P59" s="2436">
        <v>10000</v>
      </c>
      <c r="Q59" s="2437"/>
      <c r="S59" s="2436">
        <v>10000</v>
      </c>
      <c r="T59" s="2437"/>
      <c r="V59" s="2438"/>
      <c r="W59" s="2441"/>
      <c r="X59" s="2442"/>
    </row>
    <row r="60" spans="1:24" s="332" customFormat="1" ht="12" customHeight="1">
      <c r="B60" s="332" t="s">
        <v>1335</v>
      </c>
      <c r="G60" s="2436">
        <v>25000</v>
      </c>
      <c r="H60" s="2437"/>
      <c r="J60" s="2436"/>
      <c r="K60" s="2437"/>
      <c r="L60" s="1229"/>
      <c r="M60" s="2436"/>
      <c r="N60" s="2437"/>
      <c r="P60" s="2436">
        <v>25000</v>
      </c>
      <c r="Q60" s="2437"/>
      <c r="S60" s="2436"/>
      <c r="T60" s="2437"/>
      <c r="V60" s="2438"/>
      <c r="W60" s="2441"/>
      <c r="X60" s="2442"/>
    </row>
    <row r="61" spans="1:24" s="332" customFormat="1" ht="12" customHeight="1">
      <c r="B61" s="391" t="s">
        <v>1207</v>
      </c>
      <c r="D61" s="389"/>
      <c r="E61" s="389"/>
      <c r="F61" s="390"/>
      <c r="G61" s="2436"/>
      <c r="H61" s="2437"/>
      <c r="I61" s="348"/>
      <c r="J61" s="2436"/>
      <c r="K61" s="2437"/>
      <c r="L61" s="1229"/>
      <c r="M61" s="2436"/>
      <c r="N61" s="2437"/>
      <c r="P61" s="2436"/>
      <c r="Q61" s="2437"/>
      <c r="S61" s="2436"/>
      <c r="T61" s="2437"/>
      <c r="V61" s="2438"/>
      <c r="W61" s="2441"/>
      <c r="X61" s="2442"/>
    </row>
    <row r="62" spans="1:24" s="332" customFormat="1" ht="12" customHeight="1">
      <c r="A62" s="409" t="str">
        <f>IF(AND(G62&gt;0,OR(C62="",C62="&lt;Enter detailed description here; use Comments section if needed&gt;")),"X","")</f>
        <v/>
      </c>
      <c r="B62" s="332" t="s">
        <v>780</v>
      </c>
      <c r="C62" s="2210" t="s">
        <v>2534</v>
      </c>
      <c r="D62" s="2210"/>
      <c r="E62" s="2210"/>
      <c r="F62" s="2211"/>
      <c r="G62" s="2436"/>
      <c r="H62" s="2437"/>
      <c r="J62" s="2436"/>
      <c r="K62" s="2437"/>
      <c r="L62" s="1229"/>
      <c r="M62" s="2436"/>
      <c r="N62" s="2437"/>
      <c r="P62" s="2436"/>
      <c r="Q62" s="2437"/>
      <c r="S62" s="2436"/>
      <c r="T62" s="2437"/>
      <c r="U62" s="408" t="str">
        <f>IF(AND(G62&gt;0,OR(C62="",C62="&lt;Enter detailed description here; use Comments section if needed&gt;")),"NO DESCRIPTION PROVIDED - please enter detailed description in Other box at left; use Comments section below if needed.","")</f>
        <v/>
      </c>
      <c r="V62" s="2438"/>
      <c r="W62" s="2441"/>
      <c r="X62" s="2442"/>
    </row>
    <row r="63" spans="1:24" s="332" customFormat="1" ht="12" customHeight="1" thickBot="1">
      <c r="A63" s="409" t="str">
        <f>IF(AND(G63&gt;0,OR(C63="",C63="&lt;Enter detailed description here; use Comments section if needed&gt;")),"X","")</f>
        <v/>
      </c>
      <c r="B63" s="332" t="s">
        <v>780</v>
      </c>
      <c r="C63" s="2210" t="s">
        <v>2534</v>
      </c>
      <c r="D63" s="2210"/>
      <c r="E63" s="2210"/>
      <c r="F63" s="2211"/>
      <c r="G63" s="2436"/>
      <c r="H63" s="2437"/>
      <c r="J63" s="2436"/>
      <c r="K63" s="2437"/>
      <c r="L63" s="1229"/>
      <c r="M63" s="2436"/>
      <c r="N63" s="2437"/>
      <c r="P63" s="2436"/>
      <c r="Q63" s="2437"/>
      <c r="S63" s="2436"/>
      <c r="T63" s="2437"/>
      <c r="U63" s="408" t="str">
        <f>IF(AND(G63&gt;0,OR(C63="",C63="&lt;Enter detailed description here; use Comments section if needed&gt;")),"NO DESCRIPTION PROVIDED - please enter detailed description in Other box at left; use Comments section below if needed.","")</f>
        <v/>
      </c>
      <c r="V63" s="2438"/>
      <c r="W63" s="2441"/>
      <c r="X63" s="2442"/>
    </row>
    <row r="64" spans="1:24" s="332" customFormat="1" ht="12" customHeight="1" thickTop="1">
      <c r="F64" s="385" t="s">
        <v>197</v>
      </c>
      <c r="G64" s="1469">
        <f>SUM(G53:H63)</f>
        <v>81000</v>
      </c>
      <c r="H64" s="1473"/>
      <c r="J64" s="1469">
        <f>SUM(J53:K63)</f>
        <v>0</v>
      </c>
      <c r="K64" s="1473"/>
      <c r="L64" s="387"/>
      <c r="M64" s="1469">
        <f>SUM(M53:N63)</f>
        <v>0</v>
      </c>
      <c r="N64" s="1473"/>
      <c r="P64" s="1469">
        <f>SUM(P53:Q63)</f>
        <v>62000</v>
      </c>
      <c r="Q64" s="1473"/>
      <c r="S64" s="1469">
        <f>SUM(S53:T63)</f>
        <v>19000</v>
      </c>
      <c r="T64" s="1473"/>
      <c r="V64" s="2446">
        <f>SUM(V54:V63)</f>
        <v>0</v>
      </c>
      <c r="W64" s="2447"/>
      <c r="X64" s="2448"/>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436">
        <v>94191</v>
      </c>
      <c r="H66" s="2437"/>
      <c r="J66" s="2436"/>
      <c r="K66" s="2437"/>
      <c r="L66" s="1229"/>
      <c r="M66" s="2436"/>
      <c r="N66" s="2437"/>
      <c r="P66" s="2436">
        <v>94191</v>
      </c>
      <c r="Q66" s="2437"/>
      <c r="S66" s="2436"/>
      <c r="T66" s="2437"/>
      <c r="V66" s="2438"/>
      <c r="W66" s="2439"/>
      <c r="X66" s="2440"/>
    </row>
    <row r="67" spans="1:24" s="332" customFormat="1" ht="12" customHeight="1">
      <c r="B67" s="332" t="s">
        <v>499</v>
      </c>
      <c r="G67" s="2436">
        <v>23603</v>
      </c>
      <c r="H67" s="2437"/>
      <c r="J67" s="2436"/>
      <c r="K67" s="2437"/>
      <c r="L67" s="1229"/>
      <c r="M67" s="2436"/>
      <c r="N67" s="2437"/>
      <c r="P67" s="2436">
        <v>23603</v>
      </c>
      <c r="Q67" s="2437"/>
      <c r="S67" s="2436"/>
      <c r="T67" s="2437"/>
      <c r="V67" s="2438"/>
      <c r="W67" s="2441"/>
      <c r="X67" s="2442"/>
    </row>
    <row r="68" spans="1:24" s="332" customFormat="1" ht="12" customHeight="1">
      <c r="B68" s="332" t="s">
        <v>1178</v>
      </c>
      <c r="F68" s="332" t="s">
        <v>3028</v>
      </c>
      <c r="G68" s="2436">
        <v>20000</v>
      </c>
      <c r="H68" s="2437"/>
      <c r="J68" s="2436"/>
      <c r="K68" s="2437"/>
      <c r="L68" s="1229"/>
      <c r="M68" s="2436"/>
      <c r="N68" s="2437"/>
      <c r="P68" s="2436">
        <v>20000</v>
      </c>
      <c r="Q68" s="2437"/>
      <c r="S68" s="2436"/>
      <c r="T68" s="2437"/>
      <c r="V68" s="2438"/>
      <c r="W68" s="2441"/>
      <c r="X68" s="2442"/>
    </row>
    <row r="69" spans="1:24" s="332" customFormat="1" ht="12" customHeight="1">
      <c r="B69" s="332" t="s">
        <v>1179</v>
      </c>
      <c r="G69" s="2436">
        <v>12000</v>
      </c>
      <c r="H69" s="2437"/>
      <c r="J69" s="2436"/>
      <c r="K69" s="2437"/>
      <c r="L69" s="1229"/>
      <c r="M69" s="2436"/>
      <c r="N69" s="2437"/>
      <c r="P69" s="2436">
        <v>12000</v>
      </c>
      <c r="Q69" s="2437"/>
      <c r="S69" s="2436"/>
      <c r="T69" s="2437"/>
      <c r="V69" s="2438"/>
      <c r="W69" s="2441"/>
      <c r="X69" s="2442"/>
    </row>
    <row r="70" spans="1:24" s="332" customFormat="1" ht="12" customHeight="1">
      <c r="B70" s="332" t="s">
        <v>1180</v>
      </c>
      <c r="G70" s="2436">
        <v>6000</v>
      </c>
      <c r="H70" s="2437"/>
      <c r="J70" s="2436"/>
      <c r="K70" s="2437"/>
      <c r="L70" s="1229"/>
      <c r="M70" s="2436"/>
      <c r="N70" s="2437"/>
      <c r="P70" s="2436">
        <v>6000</v>
      </c>
      <c r="Q70" s="2437"/>
      <c r="S70" s="2436"/>
      <c r="T70" s="2437"/>
      <c r="V70" s="2438"/>
      <c r="W70" s="2441"/>
      <c r="X70" s="2442"/>
    </row>
    <row r="71" spans="1:24" s="332" customFormat="1" ht="12" customHeight="1">
      <c r="B71" s="332" t="s">
        <v>1181</v>
      </c>
      <c r="G71" s="2436">
        <v>6000</v>
      </c>
      <c r="H71" s="2437"/>
      <c r="J71" s="2436"/>
      <c r="K71" s="2437"/>
      <c r="L71" s="1229"/>
      <c r="M71" s="2436"/>
      <c r="N71" s="2437"/>
      <c r="P71" s="2436">
        <v>6000</v>
      </c>
      <c r="Q71" s="2437"/>
      <c r="S71" s="2436"/>
      <c r="T71" s="2437"/>
      <c r="V71" s="2438"/>
      <c r="W71" s="2441"/>
      <c r="X71" s="2442"/>
    </row>
    <row r="72" spans="1:24" s="332" customFormat="1" ht="12" customHeight="1">
      <c r="B72" s="332" t="s">
        <v>500</v>
      </c>
      <c r="G72" s="2436">
        <v>25000</v>
      </c>
      <c r="H72" s="2437"/>
      <c r="J72" s="2436"/>
      <c r="K72" s="2437"/>
      <c r="L72" s="1229"/>
      <c r="M72" s="2436"/>
      <c r="N72" s="2437"/>
      <c r="P72" s="2436">
        <v>25000</v>
      </c>
      <c r="Q72" s="2437"/>
      <c r="S72" s="2436"/>
      <c r="T72" s="2437"/>
      <c r="V72" s="2438"/>
      <c r="W72" s="2441"/>
      <c r="X72" s="2442"/>
    </row>
    <row r="73" spans="1:24" s="332" customFormat="1" ht="12" customHeight="1">
      <c r="B73" s="332" t="s">
        <v>501</v>
      </c>
      <c r="G73" s="2436">
        <v>100000</v>
      </c>
      <c r="H73" s="2437"/>
      <c r="J73" s="2436"/>
      <c r="K73" s="2437"/>
      <c r="L73" s="1229"/>
      <c r="M73" s="2436"/>
      <c r="N73" s="2437"/>
      <c r="P73" s="2436">
        <v>100000</v>
      </c>
      <c r="Q73" s="2437"/>
      <c r="S73" s="2436"/>
      <c r="T73" s="2437"/>
      <c r="V73" s="2438"/>
      <c r="W73" s="2441"/>
      <c r="X73" s="2442"/>
    </row>
    <row r="74" spans="1:24" s="332" customFormat="1" ht="12" customHeight="1">
      <c r="B74" s="332" t="s">
        <v>2149</v>
      </c>
      <c r="G74" s="2436">
        <v>25000</v>
      </c>
      <c r="H74" s="2437"/>
      <c r="J74" s="2436"/>
      <c r="K74" s="2437"/>
      <c r="L74" s="1229"/>
      <c r="M74" s="2436"/>
      <c r="N74" s="2437"/>
      <c r="P74" s="2436">
        <v>25000</v>
      </c>
      <c r="Q74" s="2437"/>
      <c r="S74" s="2436"/>
      <c r="T74" s="2437"/>
      <c r="V74" s="2438"/>
      <c r="W74" s="2441"/>
      <c r="X74" s="2442"/>
    </row>
    <row r="75" spans="1:24" s="332" customFormat="1" ht="12" customHeight="1">
      <c r="B75" s="332" t="s">
        <v>1336</v>
      </c>
      <c r="G75" s="2436">
        <v>18000</v>
      </c>
      <c r="H75" s="2437"/>
      <c r="J75" s="2436"/>
      <c r="K75" s="2437"/>
      <c r="L75" s="1229"/>
      <c r="M75" s="2436"/>
      <c r="N75" s="2437"/>
      <c r="P75" s="2436">
        <v>18000</v>
      </c>
      <c r="Q75" s="2437"/>
      <c r="S75" s="2436"/>
      <c r="T75" s="2437"/>
      <c r="V75" s="2438"/>
      <c r="W75" s="2441"/>
      <c r="X75" s="2442"/>
    </row>
    <row r="76" spans="1:24" s="332" customFormat="1" ht="12" customHeight="1" thickBot="1">
      <c r="A76" s="409" t="str">
        <f>IF(AND(G76&gt;0,OR(C76="",C76="&lt;Enter detailed description here; use Comments section if needed&gt;")),"X","")</f>
        <v/>
      </c>
      <c r="B76" s="332" t="s">
        <v>780</v>
      </c>
      <c r="C76" s="2210" t="s">
        <v>2534</v>
      </c>
      <c r="D76" s="2210"/>
      <c r="E76" s="2210"/>
      <c r="F76" s="2211"/>
      <c r="G76" s="2436"/>
      <c r="H76" s="2437"/>
      <c r="J76" s="2436"/>
      <c r="K76" s="2437"/>
      <c r="L76" s="1229"/>
      <c r="M76" s="2436"/>
      <c r="N76" s="2437"/>
      <c r="P76" s="2436"/>
      <c r="Q76" s="2437"/>
      <c r="S76" s="2436"/>
      <c r="T76" s="2437"/>
      <c r="U76" s="408" t="str">
        <f>IF(AND(G76&gt;0,OR(C76="",C76="&lt;Enter detailed description here; use Comments section if needed&gt;")),"NO DESCRIPTION PROVIDED - please enter detailed description in Other box at left; use Comments section below if needed.","")</f>
        <v/>
      </c>
      <c r="V76" s="2438"/>
      <c r="W76" s="2441"/>
      <c r="X76" s="2442"/>
    </row>
    <row r="77" spans="1:24" s="332" customFormat="1" ht="12" customHeight="1" thickTop="1">
      <c r="F77" s="385" t="s">
        <v>197</v>
      </c>
      <c r="G77" s="1469">
        <f>SUM(G66:H76)</f>
        <v>329794</v>
      </c>
      <c r="H77" s="1473"/>
      <c r="J77" s="1469">
        <f>SUM(J66:K76)</f>
        <v>0</v>
      </c>
      <c r="K77" s="1473"/>
      <c r="L77" s="387"/>
      <c r="M77" s="1469">
        <f>SUM(M66:N76)</f>
        <v>0</v>
      </c>
      <c r="N77" s="1473"/>
      <c r="P77" s="1469">
        <f>SUM(P66:Q76)</f>
        <v>329794</v>
      </c>
      <c r="Q77" s="1473"/>
      <c r="S77" s="1469">
        <f>SUM(S66:T76)</f>
        <v>0</v>
      </c>
      <c r="T77" s="1473"/>
      <c r="V77" s="2446">
        <f>SUM(V66:V76)</f>
        <v>0</v>
      </c>
      <c r="W77" s="2447"/>
      <c r="X77" s="2448"/>
    </row>
    <row r="78" spans="1:24" ht="12" customHeight="1">
      <c r="A78" s="332"/>
      <c r="B78" s="334" t="s">
        <v>1328</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1329</v>
      </c>
      <c r="G79" s="2436">
        <v>12739</v>
      </c>
      <c r="H79" s="2437"/>
      <c r="J79" s="2436"/>
      <c r="K79" s="2437"/>
      <c r="L79" s="1229"/>
      <c r="M79" s="2436"/>
      <c r="N79" s="2437"/>
      <c r="P79" s="2436">
        <v>12739</v>
      </c>
      <c r="Q79" s="2437"/>
      <c r="S79" s="2436"/>
      <c r="T79" s="2437"/>
      <c r="V79" s="2438"/>
      <c r="W79" s="2455"/>
      <c r="X79" s="2456"/>
    </row>
    <row r="80" spans="1:24" s="332" customFormat="1" ht="12" customHeight="1">
      <c r="B80" s="332" t="s">
        <v>1330</v>
      </c>
      <c r="G80" s="2436"/>
      <c r="H80" s="2437"/>
      <c r="J80" s="2436"/>
      <c r="K80" s="2437"/>
      <c r="L80" s="1229"/>
      <c r="M80" s="2436"/>
      <c r="N80" s="2437"/>
      <c r="P80" s="2436"/>
      <c r="Q80" s="2437"/>
      <c r="S80" s="2436"/>
      <c r="T80" s="2437"/>
      <c r="V80" s="2438"/>
      <c r="W80" s="2457"/>
      <c r="X80" s="2458"/>
    </row>
    <row r="81" spans="1:24" s="332" customFormat="1" ht="12" customHeight="1">
      <c r="B81" s="332" t="s">
        <v>1331</v>
      </c>
      <c r="D81" s="394" t="s">
        <v>1471</v>
      </c>
      <c r="E81" s="2459"/>
      <c r="G81" s="2436"/>
      <c r="H81" s="2437"/>
      <c r="I81" s="348"/>
      <c r="J81" s="2436"/>
      <c r="K81" s="2437"/>
      <c r="L81" s="1229"/>
      <c r="M81" s="2436"/>
      <c r="N81" s="2437"/>
      <c r="P81" s="2436"/>
      <c r="Q81" s="2437"/>
      <c r="S81" s="2436"/>
      <c r="T81" s="2437"/>
      <c r="V81" s="2438"/>
      <c r="W81" s="2457"/>
      <c r="X81" s="2458"/>
    </row>
    <row r="82" spans="1:24" s="332" customFormat="1" ht="12" customHeight="1" thickBot="1">
      <c r="B82" s="332" t="s">
        <v>1332</v>
      </c>
      <c r="D82" s="394" t="s">
        <v>1471</v>
      </c>
      <c r="E82" s="2459"/>
      <c r="G82" s="2436"/>
      <c r="H82" s="2437"/>
      <c r="I82" s="348"/>
      <c r="J82" s="2436"/>
      <c r="K82" s="2437"/>
      <c r="L82" s="1229"/>
      <c r="M82" s="2436"/>
      <c r="N82" s="2437"/>
      <c r="P82" s="2436"/>
      <c r="Q82" s="2437"/>
      <c r="S82" s="2436"/>
      <c r="T82" s="2437"/>
      <c r="V82" s="2438"/>
      <c r="W82" s="2457"/>
      <c r="X82" s="2458"/>
    </row>
    <row r="83" spans="1:24" s="332" customFormat="1" ht="12" customHeight="1" thickTop="1">
      <c r="F83" s="385" t="s">
        <v>197</v>
      </c>
      <c r="G83" s="1469">
        <f>SUM(G79:H82)</f>
        <v>12739</v>
      </c>
      <c r="H83" s="1473"/>
      <c r="J83" s="1469">
        <f>SUM(J79:K82)</f>
        <v>0</v>
      </c>
      <c r="K83" s="1473"/>
      <c r="L83" s="387"/>
      <c r="M83" s="1469">
        <f>SUM(M79:N82)</f>
        <v>0</v>
      </c>
      <c r="N83" s="1473"/>
      <c r="P83" s="1469">
        <f>SUM(P79:Q82)</f>
        <v>12739</v>
      </c>
      <c r="Q83" s="1473"/>
      <c r="S83" s="1469">
        <f>SUM(S79:T82)</f>
        <v>0</v>
      </c>
      <c r="T83" s="1473"/>
      <c r="V83" s="2446">
        <f>SUM(V79:V82)</f>
        <v>0</v>
      </c>
      <c r="W83" s="2460"/>
      <c r="X83" s="2461"/>
    </row>
    <row r="84" spans="1:24" s="332" customFormat="1" ht="12" customHeight="1">
      <c r="B84" s="334" t="s">
        <v>763</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1333</v>
      </c>
      <c r="G85" s="2436"/>
      <c r="H85" s="2437"/>
      <c r="J85" s="1476"/>
      <c r="K85" s="1476"/>
      <c r="L85" s="1229"/>
      <c r="M85" s="1476"/>
      <c r="N85" s="1476"/>
      <c r="P85" s="1476"/>
      <c r="Q85" s="1476"/>
      <c r="S85" s="2436"/>
      <c r="T85" s="2437"/>
      <c r="V85" s="2438"/>
      <c r="W85" s="2455"/>
      <c r="X85" s="2456"/>
    </row>
    <row r="86" spans="1:24" s="332" customFormat="1" ht="12" customHeight="1">
      <c r="B86" s="332" t="s">
        <v>1334</v>
      </c>
      <c r="G86" s="2436"/>
      <c r="H86" s="2437"/>
      <c r="J86" s="1476"/>
      <c r="K86" s="1476"/>
      <c r="L86" s="1229"/>
      <c r="M86" s="1476"/>
      <c r="N86" s="1476"/>
      <c r="P86" s="1476"/>
      <c r="Q86" s="1476"/>
      <c r="S86" s="2436"/>
      <c r="T86" s="2437"/>
      <c r="V86" s="2438"/>
      <c r="W86" s="2457"/>
      <c r="X86" s="2458"/>
    </row>
    <row r="87" spans="1:24" s="332" customFormat="1" ht="12" customHeight="1">
      <c r="B87" s="332" t="s">
        <v>1335</v>
      </c>
      <c r="G87" s="2436"/>
      <c r="H87" s="2437"/>
      <c r="J87" s="1476"/>
      <c r="K87" s="1476"/>
      <c r="L87" s="1229"/>
      <c r="M87" s="1476"/>
      <c r="N87" s="1476"/>
      <c r="P87" s="1476"/>
      <c r="Q87" s="1476"/>
      <c r="S87" s="2436"/>
      <c r="T87" s="2437"/>
      <c r="V87" s="2438"/>
      <c r="W87" s="2457"/>
      <c r="X87" s="2458"/>
    </row>
    <row r="88" spans="1:24" s="332" customFormat="1" ht="12" customHeight="1">
      <c r="B88" s="332" t="s">
        <v>1337</v>
      </c>
      <c r="G88" s="2436"/>
      <c r="H88" s="2437"/>
      <c r="J88" s="1476"/>
      <c r="K88" s="1476"/>
      <c r="L88" s="1229"/>
      <c r="M88" s="1476"/>
      <c r="N88" s="1476"/>
      <c r="P88" s="1476"/>
      <c r="Q88" s="1476"/>
      <c r="S88" s="2436"/>
      <c r="T88" s="2437"/>
      <c r="V88" s="2438"/>
      <c r="W88" s="2457"/>
      <c r="X88" s="2458"/>
    </row>
    <row r="89" spans="1:24" s="332" customFormat="1" ht="12" customHeight="1">
      <c r="B89" s="332" t="s">
        <v>2406</v>
      </c>
      <c r="G89" s="2436"/>
      <c r="H89" s="2437"/>
      <c r="J89" s="1476"/>
      <c r="K89" s="1476"/>
      <c r="L89" s="1229"/>
      <c r="M89" s="1476"/>
      <c r="N89" s="1476"/>
      <c r="P89" s="1476"/>
      <c r="Q89" s="1476"/>
      <c r="S89" s="2436"/>
      <c r="T89" s="2437"/>
      <c r="V89" s="2438"/>
      <c r="W89" s="2457"/>
      <c r="X89" s="2458"/>
    </row>
    <row r="90" spans="1:24" s="332" customFormat="1" ht="12" customHeight="1" thickBot="1">
      <c r="A90" s="409" t="str">
        <f>IF(AND(G90&gt;0,OR(C90="",C90="&lt;Enter detailed description here; use Comments section if needed&gt;")),"X","")</f>
        <v/>
      </c>
      <c r="B90" s="332" t="s">
        <v>780</v>
      </c>
      <c r="C90" s="2210" t="s">
        <v>2534</v>
      </c>
      <c r="D90" s="2210"/>
      <c r="E90" s="2210"/>
      <c r="F90" s="2211"/>
      <c r="G90" s="2436"/>
      <c r="H90" s="2437"/>
      <c r="J90" s="1476"/>
      <c r="K90" s="1476"/>
      <c r="L90" s="1229"/>
      <c r="M90" s="1476"/>
      <c r="N90" s="1476"/>
      <c r="P90" s="1476"/>
      <c r="Q90" s="1476"/>
      <c r="S90" s="2436"/>
      <c r="T90" s="2437"/>
      <c r="U90" s="408" t="str">
        <f>IF(AND(G90&gt;0,OR(C90="",C90="&lt;Enter detailed description here; use Comments section if needed&gt;")),"NO DESCRIPTION PROVIDED - please enter detailed description in Other box at left; use Comments section below if needed.","")</f>
        <v/>
      </c>
      <c r="V90" s="2438"/>
      <c r="W90" s="2457"/>
      <c r="X90" s="2458"/>
    </row>
    <row r="91" spans="1:24" s="332" customFormat="1" ht="12" customHeight="1" thickTop="1">
      <c r="F91" s="385" t="s">
        <v>197</v>
      </c>
      <c r="G91" s="1469">
        <f>SUM(G85:H90)</f>
        <v>0</v>
      </c>
      <c r="H91" s="1473"/>
      <c r="J91" s="1476"/>
      <c r="K91" s="1476"/>
      <c r="L91" s="387"/>
      <c r="M91" s="1476"/>
      <c r="N91" s="1476"/>
      <c r="P91" s="1476"/>
      <c r="Q91" s="1476"/>
      <c r="S91" s="1469">
        <f>SUM(S85:T90)</f>
        <v>0</v>
      </c>
      <c r="T91" s="1473"/>
      <c r="V91" s="2446">
        <f>SUM(V85:V90)</f>
        <v>0</v>
      </c>
      <c r="W91" s="2460"/>
      <c r="X91" s="2461"/>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646</v>
      </c>
      <c r="B93" s="473" t="s">
        <v>3183</v>
      </c>
      <c r="H93" s="1220"/>
      <c r="I93" s="1220"/>
      <c r="J93" s="1477" t="s">
        <v>283</v>
      </c>
      <c r="K93" s="1478"/>
      <c r="L93" s="384"/>
      <c r="M93" s="1496" t="s">
        <v>510</v>
      </c>
      <c r="N93" s="1497"/>
      <c r="P93" s="1477" t="s">
        <v>284</v>
      </c>
      <c r="Q93" s="1478"/>
      <c r="S93" s="1477" t="s">
        <v>285</v>
      </c>
      <c r="T93" s="1478"/>
      <c r="W93" s="474" t="str">
        <f>B93</f>
        <v>DEVELOPMENT BUDGET  (cont'd)</v>
      </c>
    </row>
    <row r="94" spans="1:24" s="332" customFormat="1" ht="18" customHeight="1" thickBot="1">
      <c r="G94" s="1490" t="s">
        <v>103</v>
      </c>
      <c r="H94" s="1491"/>
      <c r="J94" s="1479"/>
      <c r="K94" s="1480"/>
      <c r="L94" s="384"/>
      <c r="M94" s="1498"/>
      <c r="N94" s="1499"/>
      <c r="P94" s="1479"/>
      <c r="Q94" s="1480"/>
      <c r="S94" s="1479"/>
      <c r="T94" s="1480"/>
      <c r="W94" s="1472" t="s">
        <v>2825</v>
      </c>
      <c r="X94" s="1472"/>
    </row>
    <row r="95" spans="1:24" s="332" customFormat="1" ht="13.15" customHeight="1">
      <c r="B95" s="334" t="s">
        <v>764</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36"/>
      <c r="H96" s="2437"/>
      <c r="J96" s="387"/>
      <c r="K96" s="387"/>
      <c r="L96" s="1229"/>
      <c r="M96" s="387"/>
      <c r="N96" s="387"/>
      <c r="P96" s="387"/>
      <c r="Q96" s="387"/>
      <c r="S96" s="2436"/>
      <c r="T96" s="2437"/>
      <c r="V96" s="2438"/>
      <c r="W96" s="2455"/>
      <c r="X96" s="2456"/>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36">
        <v>6500</v>
      </c>
      <c r="H97" s="2437"/>
      <c r="J97" s="387"/>
      <c r="K97" s="387"/>
      <c r="L97" s="395"/>
      <c r="M97" s="387"/>
      <c r="N97" s="387"/>
      <c r="P97" s="387"/>
      <c r="Q97" s="387"/>
      <c r="S97" s="2436">
        <v>6500</v>
      </c>
      <c r="T97" s="2437"/>
      <c r="V97" s="2438"/>
      <c r="W97" s="2457"/>
      <c r="X97" s="2458"/>
    </row>
    <row r="98" spans="1:24" s="332" customFormat="1" ht="12.6" customHeight="1">
      <c r="B98" s="332" t="s">
        <v>2847</v>
      </c>
      <c r="G98" s="2436">
        <v>1500</v>
      </c>
      <c r="H98" s="2437"/>
      <c r="J98" s="387"/>
      <c r="K98" s="387"/>
      <c r="L98" s="395"/>
      <c r="M98" s="387"/>
      <c r="N98" s="387"/>
      <c r="O98" s="1220"/>
      <c r="P98" s="387"/>
      <c r="Q98" s="387"/>
      <c r="S98" s="2436">
        <v>1500</v>
      </c>
      <c r="T98" s="2437"/>
      <c r="V98" s="2438"/>
      <c r="W98" s="2457"/>
      <c r="X98" s="2458"/>
    </row>
    <row r="99" spans="1:24" s="332" customFormat="1" ht="12.6" customHeight="1">
      <c r="B99" s="332" t="s">
        <v>542</v>
      </c>
      <c r="E99" s="1494">
        <f>'DCA Underwriting Assumptions'!$Q$74*J173</f>
        <v>28776.459701492535</v>
      </c>
      <c r="F99" s="1495"/>
      <c r="G99" s="2436">
        <v>28776</v>
      </c>
      <c r="H99" s="2437"/>
      <c r="J99" s="387"/>
      <c r="K99" s="387"/>
      <c r="L99" s="1229"/>
      <c r="M99" s="387"/>
      <c r="N99" s="387"/>
      <c r="O99" s="1220"/>
      <c r="P99" s="387"/>
      <c r="Q99" s="387"/>
      <c r="S99" s="2462">
        <v>28776</v>
      </c>
      <c r="T99" s="2463"/>
      <c r="V99" s="2438"/>
      <c r="W99" s="2457"/>
      <c r="X99" s="2458"/>
    </row>
    <row r="100" spans="1:24" s="332" customFormat="1" ht="12.6" customHeight="1">
      <c r="B100" s="332" t="s">
        <v>792</v>
      </c>
      <c r="E100" s="1494">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33600</v>
      </c>
      <c r="F100" s="1495"/>
      <c r="G100" s="2436">
        <v>16800</v>
      </c>
      <c r="H100" s="2437"/>
      <c r="J100" s="302"/>
      <c r="K100" s="302"/>
      <c r="L100" s="302"/>
      <c r="M100" s="302"/>
      <c r="N100" s="302"/>
      <c r="O100" s="302"/>
      <c r="P100" s="302"/>
      <c r="Q100" s="302"/>
      <c r="S100" s="2462">
        <v>16800</v>
      </c>
      <c r="T100" s="2463"/>
      <c r="V100" s="2438"/>
      <c r="W100" s="2457"/>
      <c r="X100" s="2458"/>
    </row>
    <row r="101" spans="1:24" s="332" customFormat="1" ht="12.6" customHeight="1">
      <c r="B101" s="332" t="str">
        <f>CONCATENATE("DCA HOME Front End Analysis Fee (when ID of Interest; $",'DCA Underwriting Assumptions'!$Q$76,")")</f>
        <v>DCA HOME Front End Analysis Fee (when ID of Interest; $2700)</v>
      </c>
      <c r="G101" s="2436"/>
      <c r="H101" s="2437"/>
      <c r="J101" s="302"/>
      <c r="K101" s="302"/>
      <c r="L101" s="302"/>
      <c r="M101" s="302"/>
      <c r="N101" s="302"/>
      <c r="O101" s="302"/>
      <c r="P101" s="302"/>
      <c r="Q101" s="302"/>
      <c r="S101" s="2436"/>
      <c r="T101" s="2437"/>
      <c r="V101" s="2438"/>
      <c r="W101" s="2457"/>
      <c r="X101" s="2458"/>
    </row>
    <row r="102" spans="1:24" s="332" customFormat="1" ht="12.6" customHeight="1">
      <c r="B102" s="332" t="str">
        <f>CONCATENATE("DCA Final Inspection Fee (Tax Credit only - no HOME; $",'DCA Underwriting Assumptions'!$Q$97,")")</f>
        <v>DCA Final Inspection Fee (Tax Credit only - no HOME; $3000)</v>
      </c>
      <c r="G102" s="2436">
        <v>3000</v>
      </c>
      <c r="H102" s="2437"/>
      <c r="J102" s="302"/>
      <c r="K102" s="302"/>
      <c r="L102" s="302"/>
      <c r="M102" s="302"/>
      <c r="N102" s="302"/>
      <c r="O102" s="302"/>
      <c r="P102" s="302"/>
      <c r="Q102" s="302"/>
      <c r="S102" s="2436">
        <v>3000</v>
      </c>
      <c r="T102" s="2437"/>
      <c r="V102" s="2438"/>
      <c r="W102" s="2457"/>
      <c r="X102" s="2458"/>
    </row>
    <row r="103" spans="1:24" s="332" customFormat="1" ht="12.6" customHeight="1">
      <c r="A103" s="409" t="str">
        <f>IF(AND(G103&gt;0,OR(C103="",C103="&lt;Enter detailed description here; use Comments section if needed&gt;")),"X","")</f>
        <v/>
      </c>
      <c r="B103" s="332" t="s">
        <v>780</v>
      </c>
      <c r="C103" s="2210" t="s">
        <v>2534</v>
      </c>
      <c r="D103" s="2210"/>
      <c r="E103" s="2210"/>
      <c r="F103" s="2211"/>
      <c r="G103" s="2436"/>
      <c r="H103" s="2437"/>
      <c r="J103" s="302"/>
      <c r="K103" s="302"/>
      <c r="L103" s="302"/>
      <c r="M103" s="302"/>
      <c r="N103" s="302"/>
      <c r="O103" s="302"/>
      <c r="P103" s="302"/>
      <c r="Q103" s="302"/>
      <c r="S103" s="2436"/>
      <c r="T103" s="2437"/>
      <c r="U103" s="408" t="str">
        <f>IF(AND(G103&gt;0,OR(C103="",C103="&lt;Enter detailed description here; use Comments section if needed&gt;")),"NO DESCRIPTION PROVIDED - please enter detailed description in Other box at left; use Comments section below if needed.","")</f>
        <v/>
      </c>
      <c r="V103" s="2438"/>
      <c r="W103" s="2457"/>
      <c r="X103" s="2458"/>
    </row>
    <row r="104" spans="1:24" s="332" customFormat="1" ht="12.6" customHeight="1" thickBot="1">
      <c r="A104" s="409" t="str">
        <f>IF(AND(G104&gt;0,OR(C104="",C104="&lt;Enter detailed description here; use Comments section if needed&gt;")),"X","")</f>
        <v/>
      </c>
      <c r="B104" s="332" t="s">
        <v>780</v>
      </c>
      <c r="C104" s="2210" t="s">
        <v>2534</v>
      </c>
      <c r="D104" s="2210"/>
      <c r="E104" s="2210"/>
      <c r="F104" s="2211"/>
      <c r="G104" s="2436"/>
      <c r="H104" s="2437"/>
      <c r="J104" s="302"/>
      <c r="K104" s="302"/>
      <c r="L104" s="302"/>
      <c r="M104" s="302"/>
      <c r="N104" s="302"/>
      <c r="O104" s="302"/>
      <c r="P104" s="302"/>
      <c r="Q104" s="302"/>
      <c r="S104" s="2436"/>
      <c r="T104" s="2437"/>
      <c r="U104" s="408" t="str">
        <f>IF(AND(G104&gt;0,OR(C104="",C104="&lt;Enter detailed description here; use Comments section if needed&gt;")),"NO DESCRIPTION PROVIDED - please enter detailed description in Other box at left; use Comments section below if needed.","")</f>
        <v/>
      </c>
      <c r="V104" s="2438"/>
      <c r="W104" s="2457"/>
      <c r="X104" s="2458"/>
    </row>
    <row r="105" spans="1:24" s="332" customFormat="1" ht="12.6" customHeight="1" thickTop="1">
      <c r="F105" s="385" t="s">
        <v>197</v>
      </c>
      <c r="G105" s="1469">
        <f>SUM(G96:H104)</f>
        <v>56576</v>
      </c>
      <c r="H105" s="1473"/>
      <c r="J105" s="387"/>
      <c r="K105" s="387"/>
      <c r="L105" s="1229"/>
      <c r="M105" s="387"/>
      <c r="N105" s="387"/>
      <c r="P105" s="387"/>
      <c r="Q105" s="387"/>
      <c r="S105" s="1469">
        <f>SUM(S96:T104)</f>
        <v>56576</v>
      </c>
      <c r="T105" s="1473"/>
      <c r="V105" s="2446">
        <f>SUM(V96:V104)</f>
        <v>0</v>
      </c>
      <c r="W105" s="2460"/>
      <c r="X105" s="2461"/>
    </row>
    <row r="106" spans="1:24" s="332" customFormat="1" ht="13.15" customHeight="1">
      <c r="B106" s="334" t="s">
        <v>2407</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436">
        <v>2500</v>
      </c>
      <c r="H107" s="2437"/>
      <c r="J107" s="1476"/>
      <c r="K107" s="1476"/>
      <c r="L107" s="1229"/>
      <c r="M107" s="1476"/>
      <c r="N107" s="1476"/>
      <c r="O107" s="1220"/>
      <c r="P107" s="1476"/>
      <c r="Q107" s="1476"/>
      <c r="S107" s="2436">
        <v>2500</v>
      </c>
      <c r="T107" s="2437"/>
      <c r="V107" s="2438"/>
      <c r="W107" s="2455"/>
      <c r="X107" s="2456"/>
    </row>
    <row r="108" spans="1:24" s="332" customFormat="1" ht="12.6" customHeight="1">
      <c r="B108" s="332" t="s">
        <v>293</v>
      </c>
      <c r="G108" s="2436">
        <v>2500</v>
      </c>
      <c r="H108" s="2437"/>
      <c r="J108" s="1476"/>
      <c r="K108" s="1476"/>
      <c r="L108" s="1229"/>
      <c r="M108" s="1476"/>
      <c r="N108" s="1476"/>
      <c r="O108" s="1220"/>
      <c r="P108" s="1476"/>
      <c r="Q108" s="1476"/>
      <c r="S108" s="2436">
        <v>2500</v>
      </c>
      <c r="T108" s="2437"/>
      <c r="V108" s="2438"/>
      <c r="W108" s="2457"/>
      <c r="X108" s="2458"/>
    </row>
    <row r="109" spans="1:24" s="332" customFormat="1" ht="12.6" customHeight="1">
      <c r="B109" s="332" t="s">
        <v>2499</v>
      </c>
      <c r="G109" s="2436">
        <v>50000</v>
      </c>
      <c r="H109" s="2437"/>
      <c r="J109" s="1476"/>
      <c r="K109" s="1476"/>
      <c r="L109" s="1229"/>
      <c r="M109" s="1476"/>
      <c r="N109" s="1476"/>
      <c r="O109" s="1220"/>
      <c r="P109" s="1476"/>
      <c r="Q109" s="1476"/>
      <c r="S109" s="2436">
        <v>50000</v>
      </c>
      <c r="T109" s="2437"/>
      <c r="V109" s="2438"/>
      <c r="W109" s="2457"/>
      <c r="X109" s="2458"/>
    </row>
    <row r="110" spans="1:24" s="332" customFormat="1" ht="12.6" customHeight="1" thickBot="1">
      <c r="A110" s="409" t="str">
        <f>IF(AND(G110&gt;0,OR(C110="",C110="&lt;Enter detailed description here; use Comments section if needed&gt;")),"X","")</f>
        <v/>
      </c>
      <c r="B110" s="332" t="s">
        <v>780</v>
      </c>
      <c r="C110" s="2210" t="s">
        <v>4547</v>
      </c>
      <c r="D110" s="2210"/>
      <c r="E110" s="2210"/>
      <c r="F110" s="2211"/>
      <c r="G110" s="2436">
        <v>45000</v>
      </c>
      <c r="H110" s="2437"/>
      <c r="J110" s="1476"/>
      <c r="K110" s="1476"/>
      <c r="L110" s="1229"/>
      <c r="M110" s="1476"/>
      <c r="N110" s="1476"/>
      <c r="O110" s="1220"/>
      <c r="P110" s="1476"/>
      <c r="Q110" s="1476"/>
      <c r="S110" s="2436">
        <v>45000</v>
      </c>
      <c r="T110" s="2437"/>
      <c r="U110" s="408" t="str">
        <f>IF(AND(G110&gt;0,OR(C110="",C110="&lt;Enter detailed description here; use Comments section if needed&gt;")),"NO DESCRIPTION PROVIDED - please enter detailed description in Other box at left; use Comments section below if needed.","")</f>
        <v/>
      </c>
      <c r="V110" s="2438"/>
      <c r="W110" s="2457"/>
      <c r="X110" s="2458"/>
    </row>
    <row r="111" spans="1:24" s="332" customFormat="1" ht="12.6" customHeight="1" thickTop="1">
      <c r="F111" s="385" t="s">
        <v>197</v>
      </c>
      <c r="G111" s="1469">
        <f>SUM(G107:H110)</f>
        <v>100000</v>
      </c>
      <c r="H111" s="1473"/>
      <c r="J111" s="1476"/>
      <c r="K111" s="1476"/>
      <c r="L111" s="1229"/>
      <c r="M111" s="1476"/>
      <c r="N111" s="1476"/>
      <c r="O111" s="1220"/>
      <c r="P111" s="1476"/>
      <c r="Q111" s="1476"/>
      <c r="S111" s="1469">
        <f>SUM(S107:T110)</f>
        <v>100000</v>
      </c>
      <c r="T111" s="1473"/>
      <c r="V111" s="2446">
        <f>SUM(V107:V110)</f>
        <v>0</v>
      </c>
      <c r="W111" s="2460"/>
      <c r="X111" s="2461"/>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1952</v>
      </c>
      <c r="F113" s="446">
        <f>G113/G116</f>
        <v>0.20000051281196596</v>
      </c>
      <c r="G113" s="2436">
        <v>156003</v>
      </c>
      <c r="H113" s="2437"/>
      <c r="J113" s="2436"/>
      <c r="K113" s="2437"/>
      <c r="L113" s="386"/>
      <c r="M113" s="2436">
        <v>39883</v>
      </c>
      <c r="N113" s="2437"/>
      <c r="P113" s="2436">
        <v>116120</v>
      </c>
      <c r="Q113" s="2437"/>
      <c r="S113" s="2436"/>
      <c r="T113" s="2437"/>
      <c r="V113" s="2438"/>
      <c r="W113" s="2455"/>
      <c r="X113" s="2456"/>
    </row>
    <row r="114" spans="1:24" s="332" customFormat="1" ht="12.6" customHeight="1">
      <c r="B114" s="332" t="s">
        <v>1953</v>
      </c>
      <c r="F114" s="446">
        <f>G114/G116</f>
        <v>0</v>
      </c>
      <c r="G114" s="2436"/>
      <c r="H114" s="2437"/>
      <c r="J114" s="2436"/>
      <c r="K114" s="2437"/>
      <c r="L114" s="1229"/>
      <c r="M114" s="2436"/>
      <c r="N114" s="2437"/>
      <c r="P114" s="2436"/>
      <c r="Q114" s="2437"/>
      <c r="S114" s="2436"/>
      <c r="T114" s="2437"/>
      <c r="V114" s="2438"/>
      <c r="W114" s="2457"/>
      <c r="X114" s="2458"/>
    </row>
    <row r="115" spans="1:24" s="332" customFormat="1" ht="12.6" customHeight="1" thickBot="1">
      <c r="B115" s="332" t="s">
        <v>1945</v>
      </c>
      <c r="F115" s="446">
        <f>G115/G116</f>
        <v>0.79999948718803404</v>
      </c>
      <c r="G115" s="2436">
        <v>624010</v>
      </c>
      <c r="H115" s="2437"/>
      <c r="J115" s="2436"/>
      <c r="K115" s="2437"/>
      <c r="L115" s="1229"/>
      <c r="M115" s="2436">
        <v>159530</v>
      </c>
      <c r="N115" s="2437"/>
      <c r="P115" s="2436">
        <v>464480</v>
      </c>
      <c r="Q115" s="2437"/>
      <c r="S115" s="2436"/>
      <c r="T115" s="2437"/>
      <c r="V115" s="2438"/>
      <c r="W115" s="2457"/>
      <c r="X115" s="2458"/>
    </row>
    <row r="116" spans="1:24" s="332" customFormat="1" ht="12.6" customHeight="1" thickTop="1">
      <c r="C116" s="408" t="str">
        <f>IF(G116&lt;='DCA Underwriting Assumptions'!$Q$83,"","Developer Fee exceeds DCA Program Maximum !!!")</f>
        <v/>
      </c>
      <c r="F116" s="385" t="s">
        <v>197</v>
      </c>
      <c r="G116" s="1469">
        <f>SUM(G113:H115)</f>
        <v>780013</v>
      </c>
      <c r="H116" s="1473"/>
      <c r="J116" s="1469">
        <f>SUM(J113:K115)</f>
        <v>0</v>
      </c>
      <c r="K116" s="1473"/>
      <c r="L116" s="1229"/>
      <c r="M116" s="1469">
        <f>SUM(M113:N115)</f>
        <v>199413</v>
      </c>
      <c r="N116" s="1473"/>
      <c r="P116" s="1469">
        <f>SUM(P113:Q115)</f>
        <v>580600</v>
      </c>
      <c r="Q116" s="1473"/>
      <c r="S116" s="1469">
        <f>SUM(S113:T115)</f>
        <v>0</v>
      </c>
      <c r="T116" s="1473"/>
      <c r="V116" s="2446">
        <f>SUM(V113:V115)</f>
        <v>0</v>
      </c>
      <c r="W116" s="2460"/>
      <c r="X116" s="2461"/>
    </row>
    <row r="117" spans="1:24" s="332" customFormat="1" ht="13.15" customHeight="1">
      <c r="B117" s="334" t="s">
        <v>1373</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436">
        <v>10666</v>
      </c>
      <c r="H118" s="2437"/>
      <c r="J118" s="396"/>
      <c r="K118" s="396"/>
      <c r="L118" s="396"/>
      <c r="M118" s="396"/>
      <c r="N118" s="396"/>
      <c r="P118" s="396"/>
      <c r="Q118" s="396"/>
      <c r="S118" s="2436">
        <v>10666</v>
      </c>
      <c r="T118" s="2437"/>
      <c r="V118" s="2438"/>
      <c r="W118" s="2455"/>
      <c r="X118" s="2456"/>
    </row>
    <row r="119" spans="1:24" s="332" customFormat="1" ht="12.6" customHeight="1">
      <c r="B119" s="332" t="s">
        <v>1611</v>
      </c>
      <c r="F119" s="572">
        <f>+'Part VI-Revenues &amp; Expenses'!$P$178*('DCA Underwriting Assumptions'!$Q$96/12)</f>
        <v>36763.5</v>
      </c>
      <c r="G119" s="2436">
        <v>36764</v>
      </c>
      <c r="H119" s="2437"/>
      <c r="J119" s="1476"/>
      <c r="K119" s="1476"/>
      <c r="L119" s="1229"/>
      <c r="M119" s="1476"/>
      <c r="N119" s="1476"/>
      <c r="O119" s="1220"/>
      <c r="P119" s="1476"/>
      <c r="Q119" s="1476"/>
      <c r="R119" s="1220"/>
      <c r="S119" s="2436">
        <v>36764</v>
      </c>
      <c r="T119" s="2437"/>
      <c r="V119" s="2438"/>
      <c r="W119" s="2457"/>
      <c r="X119" s="2458"/>
    </row>
    <row r="120" spans="1:24" s="332" customFormat="1" ht="12.6" customHeight="1">
      <c r="B120" s="332" t="s">
        <v>713</v>
      </c>
      <c r="F120" s="573">
        <f>'Part VI-Revenues &amp; Expenses'!$P$178*('DCA Underwriting Assumptions'!$Q$95/12)+('Part VII-Pro Forma'!$B$23+'Part VII-Pro Forma'!$B$24+'Part VII-Pro Forma'!$B$25+'Part VII-Pro Forma'!$B$26)*'DCA Underwriting Assumptions'!$Q$94/(-12)</f>
        <v>92454.5</v>
      </c>
      <c r="G120" s="2436">
        <v>92455</v>
      </c>
      <c r="H120" s="2437"/>
      <c r="J120" s="395"/>
      <c r="K120" s="395"/>
      <c r="L120" s="395"/>
      <c r="M120" s="395"/>
      <c r="N120" s="395"/>
      <c r="O120" s="1220"/>
      <c r="P120" s="395"/>
      <c r="Q120" s="395"/>
      <c r="R120" s="1220"/>
      <c r="S120" s="2436">
        <v>92455</v>
      </c>
      <c r="T120" s="2437"/>
      <c r="V120" s="2438"/>
      <c r="W120" s="2457"/>
      <c r="X120" s="2458"/>
    </row>
    <row r="121" spans="1:24" s="332" customFormat="1" ht="12.6" customHeight="1">
      <c r="B121" s="332" t="s">
        <v>1303</v>
      </c>
      <c r="G121" s="2436">
        <v>79000</v>
      </c>
      <c r="H121" s="2437"/>
      <c r="J121" s="396"/>
      <c r="K121" s="396"/>
      <c r="L121" s="396"/>
      <c r="M121" s="396"/>
      <c r="N121" s="396"/>
      <c r="P121" s="396"/>
      <c r="Q121" s="396"/>
      <c r="S121" s="2436">
        <v>79000</v>
      </c>
      <c r="T121" s="2437"/>
      <c r="V121" s="2438"/>
      <c r="W121" s="2457"/>
      <c r="X121" s="2458"/>
    </row>
    <row r="122" spans="1:24" s="332" customFormat="1" ht="12.6" customHeight="1">
      <c r="B122" s="332" t="s">
        <v>1304</v>
      </c>
      <c r="E122" s="1186" t="s">
        <v>4361</v>
      </c>
      <c r="F122" s="528">
        <f>G122/'Part VI-Revenues &amp; Expenses'!$M$62</f>
        <v>952.38095238095241</v>
      </c>
      <c r="G122" s="2436">
        <v>40000</v>
      </c>
      <c r="H122" s="2437"/>
      <c r="J122" s="2436"/>
      <c r="K122" s="2437"/>
      <c r="L122" s="1229"/>
      <c r="M122" s="2436"/>
      <c r="N122" s="2437"/>
      <c r="P122" s="2436">
        <v>40000</v>
      </c>
      <c r="Q122" s="2437"/>
      <c r="S122" s="2436"/>
      <c r="T122" s="2437"/>
      <c r="V122" s="2438"/>
      <c r="W122" s="2457"/>
      <c r="X122" s="2458"/>
    </row>
    <row r="123" spans="1:24" s="332" customFormat="1" ht="12.6" customHeight="1" thickBot="1">
      <c r="A123" s="409" t="str">
        <f>IF(AND(G123&gt;0,OR(C123="",C123="&lt;Enter detailed description here; use Comments section if needed&gt;")),"X","")</f>
        <v/>
      </c>
      <c r="B123" s="332" t="s">
        <v>780</v>
      </c>
      <c r="C123" s="2210" t="s">
        <v>4495</v>
      </c>
      <c r="D123" s="2210"/>
      <c r="E123" s="2210"/>
      <c r="F123" s="2211"/>
      <c r="G123" s="2436">
        <v>16629</v>
      </c>
      <c r="H123" s="2437"/>
      <c r="J123" s="2436"/>
      <c r="K123" s="2437"/>
      <c r="L123" s="1229"/>
      <c r="M123" s="2436"/>
      <c r="N123" s="2437"/>
      <c r="P123" s="2436"/>
      <c r="Q123" s="2437"/>
      <c r="S123" s="2436">
        <v>16629</v>
      </c>
      <c r="T123" s="2437"/>
      <c r="U123" s="408" t="str">
        <f>IF(AND(G123&gt;0,OR(C123="",C123="&lt;Enter detailed description here; use Comments section if needed&gt;")),"NO DESCRIPTION PROVIDED - please enter detailed description in Other box at left; use Comments section below if needed.","")</f>
        <v/>
      </c>
      <c r="V123" s="2438"/>
      <c r="W123" s="2457"/>
      <c r="X123" s="2458"/>
    </row>
    <row r="124" spans="1:24" s="332" customFormat="1" ht="12.6" customHeight="1" thickTop="1">
      <c r="B124" s="397"/>
      <c r="F124" s="385" t="s">
        <v>197</v>
      </c>
      <c r="G124" s="1469">
        <f>SUM(G118:H123)</f>
        <v>275514</v>
      </c>
      <c r="H124" s="1473"/>
      <c r="J124" s="1469">
        <f>SUM(J122:K123)</f>
        <v>0</v>
      </c>
      <c r="K124" s="1473"/>
      <c r="L124" s="1229"/>
      <c r="M124" s="1469">
        <f>SUM(M122:N123)</f>
        <v>0</v>
      </c>
      <c r="N124" s="1473"/>
      <c r="P124" s="1469">
        <f>SUM(P122:Q123)</f>
        <v>40000</v>
      </c>
      <c r="Q124" s="1473"/>
      <c r="S124" s="1469">
        <f>SUM(S118:T123)</f>
        <v>235514</v>
      </c>
      <c r="T124" s="1473"/>
      <c r="V124" s="2446">
        <f>SUM(V118:V123)</f>
        <v>0</v>
      </c>
      <c r="W124" s="2460"/>
      <c r="X124" s="2461"/>
    </row>
    <row r="125" spans="1:24" s="332" customFormat="1" ht="13.15" customHeight="1">
      <c r="B125" s="334" t="s">
        <v>640</v>
      </c>
      <c r="C125" s="1215"/>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641</v>
      </c>
      <c r="C126" s="1215"/>
      <c r="G126" s="2436">
        <v>121800</v>
      </c>
      <c r="H126" s="2437"/>
      <c r="J126" s="2436"/>
      <c r="K126" s="2437"/>
      <c r="L126" s="386"/>
      <c r="M126" s="2436"/>
      <c r="N126" s="2437"/>
      <c r="P126" s="2436">
        <v>121800</v>
      </c>
      <c r="Q126" s="2437"/>
      <c r="S126" s="2436"/>
      <c r="T126" s="2437"/>
      <c r="V126" s="2438"/>
      <c r="W126" s="2455"/>
      <c r="X126" s="2456"/>
    </row>
    <row r="127" spans="1:24" s="332" customFormat="1" ht="12.6" customHeight="1" thickBot="1">
      <c r="A127" s="409" t="str">
        <f>IF(AND(G127&gt;0,OR(C127="",C127="&lt;Enter detailed description here; use Comments section if needed&gt;")),"X","")</f>
        <v/>
      </c>
      <c r="B127" s="332" t="s">
        <v>780</v>
      </c>
      <c r="C127" s="2210" t="s">
        <v>2534</v>
      </c>
      <c r="D127" s="2210"/>
      <c r="E127" s="2210"/>
      <c r="F127" s="2211"/>
      <c r="G127" s="2436"/>
      <c r="H127" s="2437"/>
      <c r="J127" s="2436"/>
      <c r="K127" s="2437"/>
      <c r="L127" s="1229"/>
      <c r="M127" s="2436"/>
      <c r="N127" s="2437"/>
      <c r="P127" s="2436"/>
      <c r="Q127" s="2437"/>
      <c r="S127" s="2436"/>
      <c r="T127" s="2437"/>
      <c r="U127" s="408" t="str">
        <f>IF(AND(G127&gt;0,OR(C127="",C127="&lt;Enter detailed description here; use Comments section if needed&gt;")),"NO DESCRIPTION PROVIDED - please enter detailed description in Other box at left; use Comments section below if needed.","")</f>
        <v/>
      </c>
      <c r="V127" s="2438"/>
      <c r="W127" s="2457"/>
      <c r="X127" s="2458"/>
    </row>
    <row r="128" spans="1:24" s="332" customFormat="1" ht="12.6" customHeight="1" thickTop="1">
      <c r="C128" s="1215"/>
      <c r="F128" s="385" t="s">
        <v>197</v>
      </c>
      <c r="G128" s="1469">
        <f>SUM(G126:H127)</f>
        <v>121800</v>
      </c>
      <c r="H128" s="1473"/>
      <c r="J128" s="1469">
        <f>SUM(J126:K127)</f>
        <v>0</v>
      </c>
      <c r="K128" s="1473"/>
      <c r="L128" s="1229"/>
      <c r="M128" s="1469">
        <f>SUM(M126:N127)</f>
        <v>0</v>
      </c>
      <c r="N128" s="1473"/>
      <c r="P128" s="1469">
        <f>SUM(P126:Q127)</f>
        <v>121800</v>
      </c>
      <c r="Q128" s="1473"/>
      <c r="S128" s="1469">
        <f>SUM(S126:T127)</f>
        <v>0</v>
      </c>
      <c r="T128" s="1473"/>
      <c r="V128" s="2446">
        <f>SUM(V126:V127)</f>
        <v>0</v>
      </c>
      <c r="W128" s="2457"/>
      <c r="X128" s="2458"/>
    </row>
    <row r="129" spans="1:24" s="332" customFormat="1" ht="3" customHeight="1" thickBot="1">
      <c r="C129" s="1215"/>
      <c r="H129" s="393"/>
      <c r="I129" s="393"/>
      <c r="L129" s="1220"/>
      <c r="W129" s="2457"/>
      <c r="X129" s="2458"/>
    </row>
    <row r="130" spans="1:24" s="332" customFormat="1" ht="13.9" customHeight="1" thickBot="1">
      <c r="B130" s="338" t="s">
        <v>3069</v>
      </c>
      <c r="G130" s="1481">
        <f>G17+G23+G27+G33+G38+G41+G47+G64+G77+G83+G91+G105+G111+G116+G124+G128</f>
        <v>6245106</v>
      </c>
      <c r="H130" s="1482"/>
      <c r="J130" s="1481">
        <f>J17+J23+J27+J33+J38+J41+J47+J64+J77+J83+J91+J105+J111+J116+J124+J128</f>
        <v>0</v>
      </c>
      <c r="K130" s="1482"/>
      <c r="M130" s="1481">
        <f>M17+M23+M27+M33+M38+M41+M47+M64+M77+M83+M91+M105+M111+M116+M124+M128</f>
        <v>1528833</v>
      </c>
      <c r="N130" s="1482"/>
      <c r="P130" s="1481">
        <f>P17+P23+P27+P33+P38+P41+P47+P64+P77+P83+P91+P105+P111+P116+P124+P128</f>
        <v>4190183</v>
      </c>
      <c r="Q130" s="1482"/>
      <c r="S130" s="1481">
        <f>S17+S23+S27+S33+S38+S41+S47+S64+S77+S83+S91+S105+S111+S116+S124+S128</f>
        <v>526090</v>
      </c>
      <c r="T130" s="1482"/>
      <c r="V130" s="2464">
        <f>V17+V23+V27+V33+V38+V41+V47+V64+V77+V83+V91+V105+V111+V116+V124+V128</f>
        <v>0</v>
      </c>
      <c r="W130" s="2465"/>
      <c r="X130" s="2461"/>
    </row>
    <row r="131" spans="1:24" s="332" customFormat="1" ht="3" customHeight="1">
      <c r="C131" s="1215"/>
      <c r="H131" s="393"/>
      <c r="I131" s="393"/>
      <c r="L131" s="1220"/>
    </row>
    <row r="132" spans="1:24" s="332" customFormat="1" ht="13.9" customHeight="1">
      <c r="B132" s="583" t="s">
        <v>3035</v>
      </c>
      <c r="C132" s="581"/>
      <c r="D132" s="1488">
        <f>G130/'Part VI-Revenues &amp; Expenses'!$M$62</f>
        <v>148693</v>
      </c>
      <c r="E132" s="1488"/>
      <c r="F132" s="582" t="s">
        <v>3034</v>
      </c>
      <c r="G132" s="1488">
        <f>G130/'Part VI-Revenues &amp; Expenses'!$M$120</f>
        <v>171.7056446069671</v>
      </c>
      <c r="H132" s="1489"/>
      <c r="I132" s="1261"/>
    </row>
    <row r="133" spans="1:24" s="332" customFormat="1" ht="3" customHeight="1">
      <c r="I133" s="1261"/>
      <c r="L133" s="1261"/>
    </row>
    <row r="134" spans="1:24" s="332" customFormat="1" ht="3.6" customHeight="1" thickBot="1">
      <c r="D134" s="1215"/>
      <c r="E134" s="1215"/>
      <c r="I134" s="393"/>
      <c r="J134" s="393"/>
      <c r="K134" s="398"/>
      <c r="L134" s="337"/>
      <c r="P134" s="1220"/>
    </row>
    <row r="135" spans="1:24" s="332" customFormat="1" ht="25.9" customHeight="1">
      <c r="A135" s="473" t="s">
        <v>779</v>
      </c>
      <c r="B135" s="475" t="s">
        <v>1497</v>
      </c>
      <c r="C135" s="1263"/>
      <c r="D135" s="1229"/>
      <c r="E135" s="1229"/>
      <c r="F135" s="1229"/>
      <c r="G135" s="1220"/>
      <c r="H135" s="1220"/>
      <c r="I135" s="399"/>
      <c r="J135" s="1477" t="s">
        <v>283</v>
      </c>
      <c r="K135" s="1478"/>
      <c r="M135" s="1477" t="s">
        <v>102</v>
      </c>
      <c r="N135" s="1478"/>
      <c r="P135" s="1477" t="s">
        <v>284</v>
      </c>
      <c r="Q135" s="1478"/>
      <c r="W135" s="474" t="str">
        <f>B135</f>
        <v>TAX CREDIT CALCULATION - BASIS METHOD</v>
      </c>
    </row>
    <row r="136" spans="1:24" s="332" customFormat="1" ht="15" customHeight="1" thickBot="1">
      <c r="B136" s="338" t="s">
        <v>2144</v>
      </c>
      <c r="D136" s="1229"/>
      <c r="E136" s="1229"/>
      <c r="I136" s="399"/>
      <c r="J136" s="1479"/>
      <c r="K136" s="1480"/>
      <c r="L136" s="1263"/>
      <c r="M136" s="1479"/>
      <c r="N136" s="1480"/>
      <c r="P136" s="1479"/>
      <c r="Q136" s="1480"/>
      <c r="W136" s="332" t="str">
        <f>B136</f>
        <v>Subtractions From Eligible Basis</v>
      </c>
      <c r="X136" s="371"/>
    </row>
    <row r="137" spans="1:24" s="332" customFormat="1" ht="6" customHeight="1">
      <c r="D137" s="1215"/>
      <c r="E137" s="1215"/>
      <c r="I137" s="393"/>
      <c r="J137" s="393"/>
      <c r="K137" s="398"/>
      <c r="L137" s="337"/>
      <c r="P137" s="1220"/>
    </row>
    <row r="138" spans="1:24" s="332" customFormat="1" ht="13.9" customHeight="1">
      <c r="B138" s="1215" t="s">
        <v>146</v>
      </c>
      <c r="D138" s="1220"/>
      <c r="E138" s="1220"/>
      <c r="F138" s="1220"/>
      <c r="G138" s="1220"/>
      <c r="H138" s="1220"/>
      <c r="I138" s="399"/>
      <c r="J138" s="2466"/>
      <c r="K138" s="2467"/>
      <c r="P138" s="2466"/>
      <c r="Q138" s="2467"/>
      <c r="V138" s="2438"/>
      <c r="W138" s="2455"/>
      <c r="X138" s="2456"/>
    </row>
    <row r="139" spans="1:24" s="332" customFormat="1" ht="13.9" customHeight="1">
      <c r="B139" s="1220" t="s">
        <v>2252</v>
      </c>
      <c r="D139" s="1220"/>
      <c r="E139" s="1220"/>
      <c r="F139" s="1220"/>
      <c r="G139" s="1220"/>
      <c r="H139" s="1220"/>
      <c r="I139" s="399"/>
      <c r="J139" s="2466"/>
      <c r="K139" s="2467"/>
      <c r="P139" s="2466"/>
      <c r="Q139" s="2467"/>
      <c r="V139" s="2438"/>
      <c r="W139" s="2457"/>
      <c r="X139" s="2458"/>
    </row>
    <row r="140" spans="1:24" s="332" customFormat="1" ht="13.9" customHeight="1">
      <c r="B140" s="1220" t="s">
        <v>1955</v>
      </c>
      <c r="D140" s="1220"/>
      <c r="E140" s="1220"/>
      <c r="I140" s="399"/>
      <c r="J140" s="2466"/>
      <c r="K140" s="2467"/>
      <c r="P140" s="2466"/>
      <c r="Q140" s="2467"/>
      <c r="V140" s="2438"/>
      <c r="W140" s="2457"/>
      <c r="X140" s="2458"/>
    </row>
    <row r="141" spans="1:24" s="332" customFormat="1" ht="13.9" customHeight="1">
      <c r="B141" s="1220" t="s">
        <v>1956</v>
      </c>
      <c r="D141" s="1220"/>
      <c r="E141" s="1220"/>
      <c r="I141" s="399"/>
      <c r="J141" s="2466"/>
      <c r="K141" s="2467"/>
      <c r="P141" s="2466"/>
      <c r="Q141" s="2467"/>
      <c r="V141" s="2438"/>
      <c r="W141" s="2457"/>
      <c r="X141" s="2458"/>
    </row>
    <row r="142" spans="1:24" s="332" customFormat="1" ht="13.9" customHeight="1">
      <c r="B142" s="1220" t="s">
        <v>265</v>
      </c>
      <c r="D142" s="1220"/>
      <c r="E142" s="1220"/>
      <c r="I142" s="399"/>
      <c r="J142" s="2466"/>
      <c r="K142" s="2467"/>
      <c r="P142" s="2466"/>
      <c r="Q142" s="2467"/>
      <c r="V142" s="2438"/>
      <c r="W142" s="2457"/>
      <c r="X142" s="2458"/>
    </row>
    <row r="143" spans="1:24" s="332" customFormat="1" ht="13.9" customHeight="1" thickBot="1">
      <c r="B143" s="1220" t="s">
        <v>1678</v>
      </c>
      <c r="C143" s="2210" t="s">
        <v>2534</v>
      </c>
      <c r="D143" s="2210"/>
      <c r="E143" s="2210"/>
      <c r="F143" s="2210"/>
      <c r="G143" s="2210"/>
      <c r="H143" s="2210"/>
      <c r="I143" s="2211"/>
      <c r="J143" s="2466"/>
      <c r="K143" s="2467"/>
      <c r="P143" s="2466"/>
      <c r="Q143" s="2467"/>
      <c r="V143" s="2438"/>
      <c r="W143" s="2457"/>
      <c r="X143" s="2458"/>
    </row>
    <row r="144" spans="1:24" s="332" customFormat="1" ht="13.9" customHeight="1" thickBot="1">
      <c r="B144" s="342" t="s">
        <v>1957</v>
      </c>
      <c r="C144" s="345"/>
      <c r="J144" s="1432">
        <f>SUM(J138:K143)</f>
        <v>0</v>
      </c>
      <c r="K144" s="1433"/>
      <c r="P144" s="1432">
        <f>SUM(P138:Q143)</f>
        <v>0</v>
      </c>
      <c r="Q144" s="1433"/>
      <c r="V144" s="2446">
        <f>SUM(V138:V143)</f>
        <v>0</v>
      </c>
      <c r="W144" s="2460"/>
      <c r="X144" s="2461"/>
    </row>
    <row r="145" spans="1:24" s="332" customFormat="1" ht="3" customHeight="1"/>
    <row r="146" spans="1:24" s="332" customFormat="1" ht="15" customHeight="1" thickBot="1">
      <c r="B146" s="334" t="s">
        <v>2449</v>
      </c>
      <c r="W146" s="332" t="str">
        <f>B146</f>
        <v>Eligible Basis Calculation</v>
      </c>
    </row>
    <row r="147" spans="1:24" s="332" customFormat="1" ht="13.9" customHeight="1">
      <c r="B147" s="332" t="s">
        <v>1877</v>
      </c>
      <c r="J147" s="1537">
        <f>J130</f>
        <v>0</v>
      </c>
      <c r="K147" s="1538"/>
      <c r="M147" s="1539">
        <f>M130</f>
        <v>1528833</v>
      </c>
      <c r="N147" s="1540"/>
      <c r="P147" s="1537">
        <f>P130</f>
        <v>4190183</v>
      </c>
      <c r="Q147" s="1538"/>
      <c r="V147" s="2438"/>
      <c r="W147" s="2455"/>
      <c r="X147" s="2456"/>
    </row>
    <row r="148" spans="1:24" s="332" customFormat="1" ht="13.9" customHeight="1">
      <c r="B148" s="332" t="s">
        <v>2326</v>
      </c>
      <c r="J148" s="1483">
        <f>J144</f>
        <v>0</v>
      </c>
      <c r="K148" s="1484"/>
      <c r="M148" s="1487"/>
      <c r="N148" s="1487"/>
      <c r="P148" s="1483">
        <f>P144</f>
        <v>0</v>
      </c>
      <c r="Q148" s="1484"/>
      <c r="V148" s="2438"/>
      <c r="W148" s="2457"/>
      <c r="X148" s="2458"/>
    </row>
    <row r="149" spans="1:24" s="332" customFormat="1" ht="13.9" customHeight="1">
      <c r="B149" s="332" t="s">
        <v>2327</v>
      </c>
      <c r="J149" s="1483">
        <f>J147-J148</f>
        <v>0</v>
      </c>
      <c r="K149" s="1484"/>
      <c r="M149" s="1483">
        <f>M147</f>
        <v>1528833</v>
      </c>
      <c r="N149" s="1484"/>
      <c r="P149" s="1483">
        <f>P147-P148</f>
        <v>4190183</v>
      </c>
      <c r="Q149" s="1484"/>
      <c r="V149" s="2438"/>
      <c r="W149" s="2457"/>
      <c r="X149" s="2458"/>
    </row>
    <row r="150" spans="1:24" s="332" customFormat="1" ht="13.9" customHeight="1">
      <c r="B150" s="332" t="s">
        <v>1560</v>
      </c>
      <c r="G150" s="1212" t="s">
        <v>1798</v>
      </c>
      <c r="H150" s="2202" t="s">
        <v>4498</v>
      </c>
      <c r="I150" s="2203"/>
      <c r="J150" s="2468"/>
      <c r="K150" s="2469"/>
      <c r="M150" s="1536"/>
      <c r="N150" s="1536"/>
      <c r="P150" s="2468">
        <v>1.1000000000000001</v>
      </c>
      <c r="Q150" s="2469"/>
      <c r="V150" s="2438"/>
      <c r="W150" s="2457"/>
      <c r="X150" s="2458"/>
    </row>
    <row r="151" spans="1:24" s="332" customFormat="1" ht="13.9" customHeight="1">
      <c r="B151" s="332" t="s">
        <v>2154</v>
      </c>
      <c r="J151" s="1483">
        <f>J149*J150</f>
        <v>0</v>
      </c>
      <c r="K151" s="1484"/>
      <c r="M151" s="1483">
        <f>+M149</f>
        <v>1528833</v>
      </c>
      <c r="N151" s="1484"/>
      <c r="P151" s="1483">
        <f>P149*P150</f>
        <v>4609201.3000000007</v>
      </c>
      <c r="Q151" s="1484"/>
      <c r="V151" s="2438"/>
      <c r="W151" s="2457"/>
      <c r="X151" s="2458"/>
    </row>
    <row r="152" spans="1:24" s="332" customFormat="1" ht="13.9" customHeight="1">
      <c r="B152" s="332" t="s">
        <v>2668</v>
      </c>
      <c r="J152" s="1485">
        <f>MIN('Part VI-Revenues &amp; Expenses'!$M$58/'Part VI-Revenues &amp; Expenses'!$M$60,'Part VI-Revenues &amp; Expenses'!$M$116/'Part VI-Revenues &amp; Expenses'!$M$118)</f>
        <v>1</v>
      </c>
      <c r="K152" s="1486"/>
      <c r="M152" s="1485">
        <f>MIN('Part VI-Revenues &amp; Expenses'!$M$58/'Part VI-Revenues &amp; Expenses'!$M$60,'Part VI-Revenues &amp; Expenses'!$M$116/'Part VI-Revenues &amp; Expenses'!$M$118)</f>
        <v>1</v>
      </c>
      <c r="N152" s="1486"/>
      <c r="P152" s="1485">
        <f>MIN('Part VI-Revenues &amp; Expenses'!$M$58/'Part VI-Revenues &amp; Expenses'!$M$60,'Part VI-Revenues &amp; Expenses'!$M$116/'Part VI-Revenues &amp; Expenses'!$M$118)</f>
        <v>1</v>
      </c>
      <c r="Q152" s="1486"/>
      <c r="V152" s="2438"/>
      <c r="W152" s="2457"/>
      <c r="X152" s="2458"/>
    </row>
    <row r="153" spans="1:24" s="332" customFormat="1" ht="13.9" customHeight="1">
      <c r="B153" s="332" t="s">
        <v>2145</v>
      </c>
      <c r="J153" s="1483">
        <f>J151*J152</f>
        <v>0</v>
      </c>
      <c r="K153" s="1484"/>
      <c r="M153" s="1483">
        <f>M151*M152</f>
        <v>1528833</v>
      </c>
      <c r="N153" s="1484"/>
      <c r="P153" s="1483">
        <f>P151*P152</f>
        <v>4609201.3000000007</v>
      </c>
      <c r="Q153" s="1484"/>
      <c r="V153" s="2438"/>
      <c r="W153" s="2457"/>
      <c r="X153" s="2458"/>
    </row>
    <row r="154" spans="1:24" s="332" customFormat="1" ht="13.9" customHeight="1">
      <c r="B154" s="332" t="s">
        <v>2146</v>
      </c>
      <c r="J154" s="2468"/>
      <c r="K154" s="2469"/>
      <c r="M154" s="2468">
        <v>3.1899999999999998E-2</v>
      </c>
      <c r="N154" s="2469"/>
      <c r="P154" s="2468">
        <v>7.4399999999999994E-2</v>
      </c>
      <c r="Q154" s="2469"/>
      <c r="V154" s="2438"/>
      <c r="W154" s="2457"/>
      <c r="X154" s="2458"/>
    </row>
    <row r="155" spans="1:24" s="332" customFormat="1" ht="13.9" customHeight="1" thickBot="1">
      <c r="B155" s="332" t="s">
        <v>2669</v>
      </c>
      <c r="J155" s="1534">
        <f>J153*J154</f>
        <v>0</v>
      </c>
      <c r="K155" s="1535"/>
      <c r="M155" s="1534">
        <f>M153*M154</f>
        <v>48769.772699999994</v>
      </c>
      <c r="N155" s="1535"/>
      <c r="P155" s="1534">
        <f>P153*P154</f>
        <v>342924.57672000001</v>
      </c>
      <c r="Q155" s="1535"/>
      <c r="V155" s="2470"/>
      <c r="W155" s="2457"/>
      <c r="X155" s="2458"/>
    </row>
    <row r="156" spans="1:24" s="332" customFormat="1" ht="13.9" customHeight="1" thickBot="1">
      <c r="B156" s="334" t="s">
        <v>1495</v>
      </c>
      <c r="J156" s="1432">
        <f>J155+M155+P155</f>
        <v>391694.34941999998</v>
      </c>
      <c r="K156" s="1509"/>
      <c r="L156" s="1509"/>
      <c r="M156" s="1509"/>
      <c r="N156" s="1509"/>
      <c r="O156" s="1509"/>
      <c r="P156" s="1509"/>
      <c r="Q156" s="1433"/>
      <c r="V156" s="2446">
        <f>SUM(V147:V155)</f>
        <v>0</v>
      </c>
      <c r="W156" s="2460"/>
      <c r="X156" s="2461"/>
    </row>
    <row r="157" spans="1:24" s="332" customFormat="1" ht="6" customHeight="1">
      <c r="B157" s="400"/>
      <c r="L157" s="1259"/>
      <c r="M157" s="1259"/>
      <c r="N157" s="1259"/>
      <c r="O157" s="1259"/>
    </row>
    <row r="158" spans="1:24" s="332" customFormat="1" ht="13.9" customHeight="1">
      <c r="A158" s="474" t="s">
        <v>781</v>
      </c>
      <c r="B158" s="474" t="s">
        <v>1498</v>
      </c>
      <c r="H158" s="393"/>
      <c r="I158" s="393"/>
      <c r="L158" s="1220"/>
      <c r="M158" s="543"/>
      <c r="N158" s="1220"/>
      <c r="O158" s="1220"/>
      <c r="P158" s="1220"/>
      <c r="Q158" s="1220"/>
      <c r="R158" s="1220"/>
      <c r="S158" s="1220"/>
      <c r="T158" s="1220"/>
    </row>
    <row r="159" spans="1:24" s="332" customFormat="1" ht="15" customHeight="1" thickBot="1">
      <c r="B159" s="334" t="s">
        <v>179</v>
      </c>
      <c r="H159" s="301"/>
      <c r="M159" s="543"/>
      <c r="N159" s="1220"/>
      <c r="O159" s="1220"/>
      <c r="P159" s="1220"/>
      <c r="Q159" s="1220"/>
      <c r="R159" s="1220"/>
      <c r="S159" s="1220"/>
      <c r="T159" s="1220"/>
      <c r="W159" s="474" t="str">
        <f>B158</f>
        <v>TAX CREDIT CALCULATION - GAP METHOD</v>
      </c>
    </row>
    <row r="160" spans="1:24" s="332" customFormat="1" ht="15" customHeight="1">
      <c r="B160" s="325" t="s">
        <v>3070</v>
      </c>
      <c r="G160" s="1523" t="str">
        <f>IF(J161&gt;J160,"TDC exceeds QAP PUCL!","")</f>
        <v/>
      </c>
      <c r="H160" s="1523"/>
      <c r="I160" s="1524"/>
      <c r="J160" s="1525">
        <f>'Part VIII-Threshold Criteria'!$P$60</f>
        <v>7317720</v>
      </c>
      <c r="K160" s="1526"/>
      <c r="L160" s="1527"/>
      <c r="M160" s="1513" t="s">
        <v>2933</v>
      </c>
      <c r="N160" s="1514"/>
      <c r="O160" s="1514"/>
      <c r="P160" s="1514"/>
      <c r="Q160" s="1514"/>
      <c r="R160" s="1515"/>
      <c r="S160" s="1519" t="s">
        <v>2894</v>
      </c>
      <c r="T160" s="1520"/>
      <c r="V160" s="2438"/>
      <c r="W160" s="2455"/>
      <c r="X160" s="2456"/>
    </row>
    <row r="161" spans="1:24" s="332" customFormat="1" ht="13.9" customHeight="1">
      <c r="B161" s="332" t="s">
        <v>2935</v>
      </c>
      <c r="J161" s="2471">
        <f>MIN(G130,J160,(G130-O163))</f>
        <v>6245106</v>
      </c>
      <c r="K161" s="2472"/>
      <c r="L161" s="2473"/>
      <c r="M161" s="1516"/>
      <c r="N161" s="1517"/>
      <c r="O161" s="1517"/>
      <c r="P161" s="1517"/>
      <c r="Q161" s="1517"/>
      <c r="R161" s="1518"/>
      <c r="S161" s="1521"/>
      <c r="T161" s="1522"/>
      <c r="V161" s="2438"/>
      <c r="W161" s="2457"/>
      <c r="X161" s="2458"/>
    </row>
    <row r="162" spans="1:24" s="332" customFormat="1" ht="13.9" customHeight="1">
      <c r="B162" s="332" t="s">
        <v>275</v>
      </c>
      <c r="J162" s="1483">
        <f>'Part III-Sources of Funds'!$I$53-'Part III-Sources of Funds'!$I$40-'Part III-Sources of Funds'!$I$41-'Part III-Sources of Funds'!$I$44-'Part III-Sources of Funds'!$I$45</f>
        <v>1425049</v>
      </c>
      <c r="K162" s="1487"/>
      <c r="L162" s="1528"/>
      <c r="M162" s="1516"/>
      <c r="N162" s="1517"/>
      <c r="O162" s="1517"/>
      <c r="P162" s="1517"/>
      <c r="Q162" s="1517"/>
      <c r="R162" s="1518"/>
      <c r="S162" s="1521"/>
      <c r="T162" s="1522"/>
      <c r="V162" s="2438"/>
      <c r="W162" s="2457"/>
      <c r="X162" s="2458"/>
    </row>
    <row r="163" spans="1:24" s="332" customFormat="1" ht="13.9" customHeight="1" thickBot="1">
      <c r="B163" s="332" t="s">
        <v>2338</v>
      </c>
      <c r="J163" s="1483">
        <f>+J161-J162</f>
        <v>4820057</v>
      </c>
      <c r="K163" s="1487"/>
      <c r="L163" s="1528"/>
      <c r="M163" s="1542" t="s">
        <v>2934</v>
      </c>
      <c r="N163" s="1543"/>
      <c r="O163" s="1529">
        <f>'Part III-Sources of Funds'!$I$40</f>
        <v>0</v>
      </c>
      <c r="P163" s="1529"/>
      <c r="Q163" s="1529"/>
      <c r="R163" s="1530"/>
      <c r="S163" s="458" t="s">
        <v>1741</v>
      </c>
      <c r="T163" s="2474" t="s">
        <v>3424</v>
      </c>
      <c r="V163" s="2438"/>
      <c r="W163" s="2457"/>
      <c r="X163" s="2458"/>
    </row>
    <row r="164" spans="1:24" s="332" customFormat="1" ht="13.9" customHeight="1">
      <c r="B164" s="332" t="s">
        <v>1350</v>
      </c>
      <c r="J164" s="1541" t="str">
        <f>"/ 10"</f>
        <v>/ 10</v>
      </c>
      <c r="K164" s="1541"/>
      <c r="L164" s="1541"/>
      <c r="M164" s="1220"/>
      <c r="N164" s="541"/>
      <c r="O164" s="541"/>
      <c r="P164" s="541"/>
      <c r="Q164" s="541"/>
      <c r="R164" s="541"/>
      <c r="W164" s="2457"/>
      <c r="X164" s="2458"/>
    </row>
    <row r="165" spans="1:24" s="332" customFormat="1" ht="13.9" customHeight="1">
      <c r="B165" s="332" t="s">
        <v>1351</v>
      </c>
      <c r="J165" s="1483">
        <f>J163/10</f>
        <v>482005.7</v>
      </c>
      <c r="K165" s="1487"/>
      <c r="L165" s="1484"/>
      <c r="M165" s="348"/>
      <c r="N165" s="1364" t="s">
        <v>1352</v>
      </c>
      <c r="O165" s="1364"/>
      <c r="Q165" s="1364" t="s">
        <v>1886</v>
      </c>
      <c r="R165" s="1364"/>
      <c r="V165" s="2438"/>
      <c r="W165" s="2457"/>
      <c r="X165" s="2458"/>
    </row>
    <row r="166" spans="1:24" s="332" customFormat="1" ht="13.9" customHeight="1" thickBot="1">
      <c r="B166" s="332" t="s">
        <v>1559</v>
      </c>
      <c r="J166" s="1531">
        <f>N166+Q166</f>
        <v>1.34</v>
      </c>
      <c r="K166" s="1532"/>
      <c r="L166" s="1533"/>
      <c r="M166" s="1212" t="s">
        <v>1353</v>
      </c>
      <c r="N166" s="2475">
        <v>0.92</v>
      </c>
      <c r="O166" s="2476"/>
      <c r="P166" s="1212" t="s">
        <v>642</v>
      </c>
      <c r="Q166" s="2475">
        <v>0.42</v>
      </c>
      <c r="R166" s="2476"/>
      <c r="V166" s="2438"/>
      <c r="W166" s="2457"/>
      <c r="X166" s="2458"/>
    </row>
    <row r="167" spans="1:24" s="332" customFormat="1" ht="13.9" customHeight="1" thickBot="1">
      <c r="B167" s="334" t="s">
        <v>1496</v>
      </c>
      <c r="J167" s="1432">
        <f>IF(J166=0,"",J165/J166)</f>
        <v>359705.74626865669</v>
      </c>
      <c r="K167" s="1509"/>
      <c r="L167" s="1433"/>
      <c r="M167" s="348"/>
      <c r="N167" s="1220"/>
      <c r="O167" s="1220"/>
      <c r="V167" s="2438"/>
      <c r="W167" s="2457"/>
      <c r="X167" s="2458"/>
    </row>
    <row r="168" spans="1:24" s="332" customFormat="1" ht="6" customHeight="1">
      <c r="J168" s="1271"/>
      <c r="K168" s="1271"/>
      <c r="L168" s="1271"/>
      <c r="M168" s="348"/>
      <c r="N168" s="1222"/>
      <c r="O168" s="1222"/>
      <c r="W168" s="2457"/>
      <c r="X168" s="2458"/>
    </row>
    <row r="169" spans="1:24" s="332" customFormat="1" ht="16.149999999999999" customHeight="1">
      <c r="B169" s="334" t="s">
        <v>3295</v>
      </c>
      <c r="J169" s="1510">
        <f>IF('Part I-Project Information'!$I$166 = "Yes",+MIN(J156,J167,'Part I-Project Information'!$O$166,'DCA Underwriting Assumptions'!$R$7),+MIN(J156,J167,'DCA Underwriting Assumptions'!$R$6))</f>
        <v>359705.74626865669</v>
      </c>
      <c r="K169" s="1511"/>
      <c r="L169" s="1512"/>
      <c r="M169" s="348"/>
      <c r="N169" s="1222"/>
      <c r="O169" s="1222"/>
      <c r="V169" s="2438"/>
      <c r="W169" s="2457"/>
      <c r="X169" s="2458"/>
    </row>
    <row r="170" spans="1:24" s="332" customFormat="1" ht="3" customHeight="1">
      <c r="J170" s="1271"/>
      <c r="K170" s="1271"/>
      <c r="L170" s="1271"/>
      <c r="M170" s="348"/>
      <c r="N170" s="1222"/>
      <c r="O170" s="1222"/>
      <c r="W170" s="2457"/>
      <c r="X170" s="2458"/>
    </row>
    <row r="171" spans="1:24" s="332" customFormat="1" ht="16.149999999999999" customHeight="1">
      <c r="B171" s="334" t="s">
        <v>362</v>
      </c>
      <c r="J171" s="2477">
        <v>359706</v>
      </c>
      <c r="K171" s="2478"/>
      <c r="L171" s="2479"/>
      <c r="M171" s="401" t="str">
        <f>IF(J169=0,"",IF(J171&gt;J169,"ALLOCATION CANNOT EXCEED MAXIMUM - REVISE REQUEST!",""))</f>
        <v>ALLOCATION CANNOT EXCEED MAXIMUM - REVISE REQUEST!</v>
      </c>
      <c r="N171" s="1222"/>
      <c r="O171" s="1222"/>
      <c r="V171" s="2438"/>
      <c r="W171" s="2457"/>
      <c r="X171" s="2458"/>
    </row>
    <row r="172" spans="1:24" s="332" customFormat="1" ht="3" customHeight="1">
      <c r="J172" s="1271"/>
      <c r="K172" s="1271"/>
      <c r="L172" s="1271"/>
      <c r="M172" s="348"/>
      <c r="N172" s="1222"/>
      <c r="O172" s="1222"/>
      <c r="W172" s="2457"/>
      <c r="X172" s="2458"/>
    </row>
    <row r="173" spans="1:24" s="332" customFormat="1" ht="16.149999999999999" customHeight="1">
      <c r="A173" s="474" t="s">
        <v>1879</v>
      </c>
      <c r="B173" s="474" t="s">
        <v>2747</v>
      </c>
      <c r="D173" s="348"/>
      <c r="E173" s="348"/>
      <c r="F173" s="337"/>
      <c r="J173" s="1510">
        <f>IF(J171="",0,+MIN(J169,J171))</f>
        <v>359705.74626865669</v>
      </c>
      <c r="K173" s="1511"/>
      <c r="L173" s="1512"/>
      <c r="N173" s="2480"/>
      <c r="O173" s="2480"/>
      <c r="P173" s="2480"/>
      <c r="Q173" s="2480"/>
      <c r="R173" s="2480"/>
      <c r="S173" s="2480"/>
      <c r="T173" s="2480"/>
      <c r="V173" s="2438"/>
      <c r="W173" s="2460"/>
      <c r="X173" s="2461"/>
    </row>
    <row r="174" spans="1:24" ht="3" customHeight="1"/>
    <row r="175" spans="1:24" ht="6" customHeight="1"/>
    <row r="176" spans="1:24" ht="12" customHeight="1">
      <c r="A176" s="334" t="s">
        <v>1881</v>
      </c>
      <c r="B176" s="357" t="s">
        <v>598</v>
      </c>
      <c r="K176" s="334" t="s">
        <v>553</v>
      </c>
      <c r="L176" s="334" t="s">
        <v>81</v>
      </c>
    </row>
    <row r="177" spans="1:24" ht="201" customHeight="1">
      <c r="A177" s="2481" t="s">
        <v>4563</v>
      </c>
      <c r="B177" s="2482"/>
      <c r="C177" s="2482"/>
      <c r="D177" s="2482"/>
      <c r="E177" s="2482"/>
      <c r="F177" s="2482"/>
      <c r="G177" s="2482"/>
      <c r="H177" s="2482"/>
      <c r="I177" s="2482"/>
      <c r="J177" s="2483"/>
      <c r="K177" s="2484"/>
      <c r="L177" s="2485"/>
      <c r="M177" s="2485"/>
      <c r="N177" s="2485"/>
      <c r="O177" s="2485"/>
      <c r="P177" s="2485"/>
      <c r="Q177" s="2485"/>
      <c r="R177" s="2485"/>
      <c r="S177" s="2485"/>
      <c r="T177" s="2486"/>
      <c r="W177" s="1447" t="s">
        <v>2853</v>
      </c>
      <c r="X177" s="1447"/>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62bkutnghkX5FaeycucjaR4sY5EBylRBaQOS0+SGD+31JrO3Dxq65r85n/GrrJfIgft5npxTLP9ieM1/fUTr0w==" saltValue="CEj3ShYOKsLUVEcIaK8+sw==" spinCount="100000" sheet="1" objects="1" scenarios="1"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0"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5" t="str">
        <f>CONCATENATE("PART FIVE - UTILITY ALLOWANCES","  -  ",'Part I-Project Information'!$O$4," ",'Part I-Project Information'!$F$24,", ",'Part I-Project Information'!F28,", ",'Part I-Project Information'!J29," County")</f>
        <v>PART FIVE - UTILITY ALLOWANCES  -  2015-026 Arbor Trace Apartments Phase II, Lake Park, Lowndes County</v>
      </c>
      <c r="B1" s="1546"/>
      <c r="C1" s="1546"/>
      <c r="D1" s="1546"/>
      <c r="E1" s="1546"/>
      <c r="F1" s="1546"/>
      <c r="G1" s="1546"/>
      <c r="H1" s="1546"/>
      <c r="I1" s="1546"/>
      <c r="J1" s="1546"/>
      <c r="K1" s="1546"/>
      <c r="L1" s="1546"/>
      <c r="M1" s="1546"/>
      <c r="N1" s="10"/>
      <c r="O1" s="10"/>
      <c r="P1" s="10"/>
      <c r="Q1" s="10"/>
      <c r="R1" s="17"/>
      <c r="S1" s="17"/>
      <c r="T1" s="17"/>
    </row>
    <row r="2" spans="1:20" s="8" customFormat="1">
      <c r="F2" s="1724" t="s">
        <v>4383</v>
      </c>
      <c r="G2" s="1725"/>
      <c r="H2" s="1726"/>
    </row>
    <row r="3" spans="1:20" s="8" customFormat="1">
      <c r="F3" s="4" t="s">
        <v>538</v>
      </c>
      <c r="I3" s="1246" t="str">
        <f>VLOOKUP('Part I-Project Information'!$J$29,'DCA Underwriting Assumptions'!$G$127:$H$286,2)</f>
        <v>South</v>
      </c>
    </row>
    <row r="4" spans="1:20" s="8" customFormat="1"/>
    <row r="5" spans="1:20" s="8" customFormat="1">
      <c r="A5" s="14" t="s">
        <v>646</v>
      </c>
      <c r="B5" s="14" t="s">
        <v>2333</v>
      </c>
      <c r="F5" s="8" t="s">
        <v>2644</v>
      </c>
      <c r="I5" s="2487" t="s">
        <v>4492</v>
      </c>
      <c r="J5" s="2488"/>
      <c r="K5" s="2488"/>
      <c r="L5" s="2488"/>
      <c r="M5" s="2489"/>
    </row>
    <row r="6" spans="1:20" s="8" customFormat="1" ht="13.15" customHeight="1">
      <c r="A6" s="14"/>
      <c r="F6" s="8" t="s">
        <v>666</v>
      </c>
      <c r="H6" s="28"/>
      <c r="I6" s="2490">
        <v>42005</v>
      </c>
      <c r="J6" s="2491"/>
      <c r="K6" s="64" t="s">
        <v>563</v>
      </c>
      <c r="L6" s="2492" t="s">
        <v>4493</v>
      </c>
      <c r="M6" s="2489"/>
    </row>
    <row r="7" spans="1:20" s="8" customFormat="1" ht="6" customHeight="1">
      <c r="A7" s="14"/>
    </row>
    <row r="8" spans="1:20" s="14" customFormat="1">
      <c r="B8" s="269"/>
      <c r="C8" s="269"/>
      <c r="D8" s="269"/>
      <c r="E8" s="269"/>
      <c r="F8" s="1548" t="s">
        <v>639</v>
      </c>
      <c r="G8" s="1548"/>
      <c r="I8" s="1547" t="s">
        <v>206</v>
      </c>
      <c r="J8" s="1547"/>
      <c r="K8" s="1547"/>
      <c r="L8" s="1547"/>
      <c r="M8" s="1547"/>
    </row>
    <row r="9" spans="1:20" s="14" customFormat="1">
      <c r="B9" s="269" t="s">
        <v>839</v>
      </c>
      <c r="D9" s="269" t="s">
        <v>1676</v>
      </c>
      <c r="F9" s="1234" t="s">
        <v>672</v>
      </c>
      <c r="G9" s="1234" t="s">
        <v>1942</v>
      </c>
      <c r="I9" s="270" t="s">
        <v>591</v>
      </c>
      <c r="J9" s="271">
        <v>1</v>
      </c>
      <c r="K9" s="271">
        <v>2</v>
      </c>
      <c r="L9" s="271">
        <v>3</v>
      </c>
      <c r="M9" s="271">
        <v>4</v>
      </c>
    </row>
    <row r="10" spans="1:20" s="8" customFormat="1">
      <c r="B10" s="272" t="s">
        <v>1944</v>
      </c>
      <c r="C10" s="273"/>
      <c r="D10" s="2493" t="s">
        <v>4439</v>
      </c>
      <c r="E10" s="2494"/>
      <c r="F10" s="2495" t="s">
        <v>458</v>
      </c>
      <c r="G10" s="2495"/>
      <c r="H10" s="274"/>
      <c r="I10" s="2496"/>
      <c r="J10" s="2496">
        <v>77</v>
      </c>
      <c r="K10" s="2496">
        <v>89</v>
      </c>
      <c r="L10" s="2496">
        <v>128</v>
      </c>
      <c r="M10" s="2496"/>
    </row>
    <row r="11" spans="1:20" s="8" customFormat="1">
      <c r="B11" s="275" t="s">
        <v>486</v>
      </c>
      <c r="C11" s="276"/>
      <c r="D11" s="275" t="s">
        <v>1672</v>
      </c>
      <c r="E11" s="276"/>
      <c r="F11" s="2497" t="s">
        <v>458</v>
      </c>
      <c r="G11" s="2497"/>
      <c r="H11" s="277"/>
      <c r="I11" s="2498"/>
      <c r="J11" s="2498"/>
      <c r="K11" s="2498"/>
      <c r="L11" s="2499"/>
      <c r="M11" s="2499"/>
    </row>
    <row r="12" spans="1:20" s="8" customFormat="1">
      <c r="B12" s="275" t="s">
        <v>1673</v>
      </c>
      <c r="C12" s="276"/>
      <c r="D12" s="2500" t="s">
        <v>1672</v>
      </c>
      <c r="E12" s="2501"/>
      <c r="F12" s="2497" t="s">
        <v>458</v>
      </c>
      <c r="G12" s="2497"/>
      <c r="H12" s="277"/>
      <c r="I12" s="2498"/>
      <c r="J12" s="2498"/>
      <c r="K12" s="2498"/>
      <c r="L12" s="2499"/>
      <c r="M12" s="2499"/>
    </row>
    <row r="13" spans="1:20" s="8" customFormat="1">
      <c r="B13" s="275" t="s">
        <v>1674</v>
      </c>
      <c r="C13" s="276"/>
      <c r="D13" s="2500" t="s">
        <v>1672</v>
      </c>
      <c r="E13" s="2501"/>
      <c r="F13" s="2497" t="s">
        <v>458</v>
      </c>
      <c r="G13" s="2497"/>
      <c r="H13" s="277"/>
      <c r="I13" s="2498"/>
      <c r="J13" s="2498"/>
      <c r="K13" s="2498"/>
      <c r="L13" s="2499"/>
      <c r="M13" s="2499"/>
    </row>
    <row r="14" spans="1:20" s="8" customFormat="1">
      <c r="B14" s="275" t="s">
        <v>1675</v>
      </c>
      <c r="C14" s="276"/>
      <c r="D14" s="275" t="s">
        <v>1672</v>
      </c>
      <c r="E14" s="278"/>
      <c r="F14" s="2497" t="s">
        <v>458</v>
      </c>
      <c r="G14" s="2497"/>
      <c r="H14" s="277"/>
      <c r="I14" s="2498"/>
      <c r="J14" s="2498"/>
      <c r="K14" s="2498"/>
      <c r="L14" s="2499"/>
      <c r="M14" s="2499"/>
    </row>
    <row r="15" spans="1:20" s="8" customFormat="1">
      <c r="B15" s="275" t="s">
        <v>1435</v>
      </c>
      <c r="C15" s="276"/>
      <c r="D15" s="894" t="s">
        <v>4168</v>
      </c>
      <c r="E15" s="2502" t="s">
        <v>3421</v>
      </c>
      <c r="F15" s="2497" t="s">
        <v>458</v>
      </c>
      <c r="G15" s="2497"/>
      <c r="H15" s="277"/>
      <c r="I15" s="2498"/>
      <c r="J15" s="2498">
        <v>39</v>
      </c>
      <c r="K15" s="2498">
        <v>40</v>
      </c>
      <c r="L15" s="2499">
        <v>40</v>
      </c>
      <c r="M15" s="2499"/>
    </row>
    <row r="16" spans="1:20" s="8" customFormat="1">
      <c r="B16" s="279" t="s">
        <v>1943</v>
      </c>
      <c r="C16" s="280"/>
      <c r="D16" s="279"/>
      <c r="E16" s="246"/>
      <c r="F16" s="2503"/>
      <c r="G16" s="2503" t="s">
        <v>458</v>
      </c>
      <c r="H16" s="281"/>
      <c r="I16" s="2504"/>
      <c r="J16" s="2504"/>
      <c r="K16" s="2504"/>
      <c r="L16" s="2505"/>
      <c r="M16" s="2505"/>
    </row>
    <row r="17" spans="1:19" s="8" customFormat="1">
      <c r="B17" s="269" t="s">
        <v>1069</v>
      </c>
      <c r="D17" s="28"/>
      <c r="E17" s="28"/>
      <c r="F17" s="84"/>
      <c r="G17" s="84"/>
      <c r="I17" s="1234">
        <f>IF(SUM(I10:I16)=0,0,IF(OR($D10="&lt;&lt;Select Fuel &gt;&gt;",$D12="&lt;&lt;Select Fuel &gt;&gt;",$D13="&lt;&lt;Select Fuel &gt;&gt;"),"Select Fuel",IF($E15="&lt;Select&gt;","Submeter?",SUM(I10:I16))))</f>
        <v>0</v>
      </c>
      <c r="J17" s="1234">
        <f>IF(SUM(J10:J16)=0,0,IF(OR($D10="&lt;&lt;Select Fuel &gt;&gt;",$D12="&lt;&lt;Select Fuel &gt;&gt;",$D13="&lt;&lt;Select Fuel &gt;&gt;"),"Select Fuel",IF($E15="&lt;Select&gt;","Submeter?",SUM(J10:J16))))</f>
        <v>116</v>
      </c>
      <c r="K17" s="1234">
        <f>IF(SUM(K10:K16)=0,0,IF(OR($D10="&lt;&lt;Select Fuel &gt;&gt;",$D12="&lt;&lt;Select Fuel &gt;&gt;",$D13="&lt;&lt;Select Fuel &gt;&gt;"),"Select Fuel",IF($E15="&lt;Select&gt;","Submeter?",SUM(K10:K16))))</f>
        <v>129</v>
      </c>
      <c r="L17" s="1234">
        <f>IF(SUM(L10:L16)=0,0,IF(OR($D10="&lt;&lt;Select Fuel &gt;&gt;",$D12="&lt;&lt;Select Fuel &gt;&gt;",$D13="&lt;&lt;Select Fuel &gt;&gt;"),"Select Fuel",IF($E15="&lt;Select&gt;","Submeter?",SUM(L10:L16))))</f>
        <v>168</v>
      </c>
      <c r="M17" s="1234">
        <f>IF(SUM(M10:M16)=0,0,IF(OR($D10="&lt;&lt;Select Fuel &gt;&gt;",$D12="&lt;&lt;Select Fuel &gt;&gt;",$D13="&lt;&lt;Select Fuel &gt;&gt;"),"Select Fuel",IF($E15="&lt;Select&gt;","Submeter?",SUM(M10:M16))))</f>
        <v>0</v>
      </c>
    </row>
    <row r="18" spans="1:19" s="8" customFormat="1">
      <c r="B18" s="484" t="s">
        <v>4169</v>
      </c>
      <c r="D18" s="28"/>
      <c r="E18" s="28"/>
      <c r="F18" s="84"/>
      <c r="G18" s="84"/>
      <c r="I18" s="1234"/>
      <c r="J18" s="1234"/>
      <c r="K18" s="1234"/>
      <c r="L18" s="1234"/>
      <c r="M18" s="1234"/>
    </row>
    <row r="19" spans="1:19" s="8" customFormat="1" ht="11.25" customHeight="1">
      <c r="M19" s="28"/>
      <c r="N19" s="28"/>
      <c r="O19" s="28"/>
      <c r="P19" s="28"/>
      <c r="Q19" s="28"/>
      <c r="R19" s="28"/>
      <c r="S19" s="28"/>
    </row>
    <row r="20" spans="1:19" s="8" customFormat="1">
      <c r="A20" s="14" t="s">
        <v>779</v>
      </c>
      <c r="B20" s="14" t="s">
        <v>2334</v>
      </c>
      <c r="F20" s="8" t="s">
        <v>2644</v>
      </c>
      <c r="I20" s="2492"/>
      <c r="J20" s="2488"/>
      <c r="K20" s="2488"/>
      <c r="L20" s="2488"/>
      <c r="M20" s="2489"/>
    </row>
    <row r="21" spans="1:19" s="8" customFormat="1" ht="13.15" customHeight="1">
      <c r="A21" s="14"/>
      <c r="B21" s="14"/>
      <c r="F21" s="8" t="s">
        <v>666</v>
      </c>
      <c r="H21" s="28"/>
      <c r="I21" s="2490"/>
      <c r="J21" s="2491"/>
      <c r="K21" s="64" t="s">
        <v>563</v>
      </c>
      <c r="L21" s="2492"/>
      <c r="M21" s="2489"/>
    </row>
    <row r="22" spans="1:19" s="8" customFormat="1" ht="6" customHeight="1">
      <c r="A22" s="14"/>
    </row>
    <row r="23" spans="1:19" s="14" customFormat="1">
      <c r="B23" s="269"/>
      <c r="C23" s="269"/>
      <c r="D23" s="269"/>
      <c r="E23" s="269"/>
      <c r="F23" s="1548" t="s">
        <v>639</v>
      </c>
      <c r="G23" s="1548"/>
      <c r="I23" s="1547" t="s">
        <v>206</v>
      </c>
      <c r="J23" s="1547"/>
      <c r="K23" s="1547"/>
      <c r="L23" s="1547"/>
      <c r="M23" s="1547"/>
    </row>
    <row r="24" spans="1:19" s="14" customFormat="1">
      <c r="B24" s="269" t="s">
        <v>839</v>
      </c>
      <c r="D24" s="269" t="s">
        <v>1676</v>
      </c>
      <c r="F24" s="1234" t="s">
        <v>672</v>
      </c>
      <c r="G24" s="1234" t="s">
        <v>1942</v>
      </c>
      <c r="I24" s="270" t="s">
        <v>591</v>
      </c>
      <c r="J24" s="271">
        <v>1</v>
      </c>
      <c r="K24" s="271">
        <v>2</v>
      </c>
      <c r="L24" s="271">
        <v>3</v>
      </c>
      <c r="M24" s="271">
        <v>4</v>
      </c>
    </row>
    <row r="25" spans="1:19" s="8" customFormat="1">
      <c r="B25" s="272" t="s">
        <v>1944</v>
      </c>
      <c r="C25" s="273"/>
      <c r="D25" s="2493" t="s">
        <v>1910</v>
      </c>
      <c r="E25" s="2494"/>
      <c r="F25" s="2495"/>
      <c r="G25" s="2495"/>
      <c r="H25" s="274"/>
      <c r="I25" s="2496"/>
      <c r="J25" s="2496"/>
      <c r="K25" s="2496"/>
      <c r="L25" s="2496"/>
      <c r="M25" s="2496"/>
    </row>
    <row r="26" spans="1:19" s="8" customFormat="1">
      <c r="B26" s="275" t="s">
        <v>486</v>
      </c>
      <c r="C26" s="276"/>
      <c r="D26" s="275" t="s">
        <v>1672</v>
      </c>
      <c r="E26" s="276"/>
      <c r="F26" s="2497"/>
      <c r="G26" s="2497"/>
      <c r="H26" s="277"/>
      <c r="I26" s="2498"/>
      <c r="J26" s="2498"/>
      <c r="K26" s="2498"/>
      <c r="L26" s="2499"/>
      <c r="M26" s="2499"/>
    </row>
    <row r="27" spans="1:19" s="8" customFormat="1">
      <c r="B27" s="275" t="s">
        <v>1673</v>
      </c>
      <c r="C27" s="276"/>
      <c r="D27" s="2500" t="s">
        <v>1910</v>
      </c>
      <c r="E27" s="2501"/>
      <c r="F27" s="2497"/>
      <c r="G27" s="2497"/>
      <c r="H27" s="277"/>
      <c r="I27" s="2498"/>
      <c r="J27" s="2498"/>
      <c r="K27" s="2498"/>
      <c r="L27" s="2499"/>
      <c r="M27" s="2499"/>
    </row>
    <row r="28" spans="1:19" s="8" customFormat="1">
      <c r="B28" s="275" t="s">
        <v>1674</v>
      </c>
      <c r="C28" s="276"/>
      <c r="D28" s="2500" t="s">
        <v>1910</v>
      </c>
      <c r="E28" s="2501"/>
      <c r="F28" s="2497"/>
      <c r="G28" s="2497"/>
      <c r="H28" s="277"/>
      <c r="I28" s="2498"/>
      <c r="J28" s="2498"/>
      <c r="K28" s="2498"/>
      <c r="L28" s="2499"/>
      <c r="M28" s="2499"/>
    </row>
    <row r="29" spans="1:19" s="8" customFormat="1">
      <c r="B29" s="275" t="s">
        <v>1675</v>
      </c>
      <c r="C29" s="276"/>
      <c r="D29" s="275" t="s">
        <v>1672</v>
      </c>
      <c r="E29" s="278"/>
      <c r="F29" s="2497"/>
      <c r="G29" s="2497"/>
      <c r="H29" s="277"/>
      <c r="I29" s="2498"/>
      <c r="J29" s="2498"/>
      <c r="K29" s="2498"/>
      <c r="L29" s="2499"/>
      <c r="M29" s="2499"/>
    </row>
    <row r="30" spans="1:19" s="8" customFormat="1">
      <c r="B30" s="275" t="s">
        <v>1435</v>
      </c>
      <c r="C30" s="276"/>
      <c r="D30" s="894" t="s">
        <v>4168</v>
      </c>
      <c r="E30" s="2502" t="s">
        <v>207</v>
      </c>
      <c r="F30" s="2497"/>
      <c r="G30" s="2497"/>
      <c r="H30" s="277"/>
      <c r="I30" s="2498"/>
      <c r="J30" s="2498"/>
      <c r="K30" s="2498"/>
      <c r="L30" s="2499"/>
      <c r="M30" s="2499"/>
    </row>
    <row r="31" spans="1:19" s="8" customFormat="1">
      <c r="B31" s="279" t="s">
        <v>1943</v>
      </c>
      <c r="C31" s="280"/>
      <c r="D31" s="279"/>
      <c r="E31" s="246"/>
      <c r="F31" s="2503"/>
      <c r="G31" s="2503"/>
      <c r="H31" s="281"/>
      <c r="I31" s="2504"/>
      <c r="J31" s="2504"/>
      <c r="K31" s="2504"/>
      <c r="L31" s="2505"/>
      <c r="M31" s="2505"/>
    </row>
    <row r="32" spans="1:19" s="8" customFormat="1">
      <c r="B32" s="269" t="s">
        <v>1069</v>
      </c>
      <c r="D32" s="28"/>
      <c r="E32" s="28"/>
      <c r="F32" s="84"/>
      <c r="G32" s="84"/>
      <c r="I32" s="1234">
        <f>IF(SUM(I25:I31)=0,0,IF(OR($D25="&lt;&lt;Select Fuel &gt;&gt;",$D27="&lt;&lt;Select Fuel &gt;&gt;",$D28="&lt;&lt;Select Fuel &gt;&gt;"),"Select Fuel",IF($E30="&lt;Select&gt;","Submeter?",SUM(I25:I31))))</f>
        <v>0</v>
      </c>
      <c r="J32" s="1234">
        <f>IF(SUM(J25:J31)=0,0,IF(OR($D25="&lt;&lt;Select Fuel &gt;&gt;",$D27="&lt;&lt;Select Fuel &gt;&gt;",$D28="&lt;&lt;Select Fuel &gt;&gt;"),"Select Fuel",IF($E30="&lt;Select&gt;","Submeter?",SUM(J25:J31))))</f>
        <v>0</v>
      </c>
      <c r="K32" s="1234">
        <f>IF(SUM(K25:K31)=0,0,IF(OR($D25="&lt;&lt;Select Fuel &gt;&gt;",$D27="&lt;&lt;Select Fuel &gt;&gt;",$D28="&lt;&lt;Select Fuel &gt;&gt;"),"Select Fuel",IF($E30="&lt;Select&gt;","Submeter?",SUM(K25:K31))))</f>
        <v>0</v>
      </c>
      <c r="L32" s="1234">
        <f>IF(SUM(L25:L31)=0,0,IF(OR($D25="&lt;&lt;Select Fuel &gt;&gt;",$D27="&lt;&lt;Select Fuel &gt;&gt;",$D28="&lt;&lt;Select Fuel &gt;&gt;"),"Select Fuel",IF($E30="&lt;Select&gt;","Submeter?",SUM(L25:L31))))</f>
        <v>0</v>
      </c>
      <c r="M32" s="1234">
        <f>IF(SUM(M25:M31)=0,0,IF(OR($D25="&lt;&lt;Select Fuel &gt;&gt;",$D27="&lt;&lt;Select Fuel &gt;&gt;",$D28="&lt;&lt;Select Fuel &gt;&gt;"),"Select Fuel",IF($E30="&lt;Select&gt;","Submeter?",SUM(M25:M31))))</f>
        <v>0</v>
      </c>
    </row>
    <row r="33" spans="1:19" s="8" customFormat="1">
      <c r="B33" s="484" t="s">
        <v>4169</v>
      </c>
      <c r="D33" s="28"/>
      <c r="E33" s="28"/>
      <c r="F33" s="84"/>
      <c r="G33" s="84"/>
      <c r="I33" s="1234"/>
      <c r="J33" s="1234"/>
      <c r="K33" s="1234"/>
      <c r="L33" s="1234"/>
      <c r="M33" s="1234"/>
    </row>
    <row r="34" spans="1:19">
      <c r="A34" s="8"/>
    </row>
    <row r="35" spans="1:19">
      <c r="B35" s="282" t="s">
        <v>1895</v>
      </c>
    </row>
    <row r="36" spans="1:19" s="8" customFormat="1" ht="6" customHeight="1">
      <c r="M36" s="28"/>
      <c r="N36" s="28"/>
      <c r="O36" s="28"/>
      <c r="P36" s="28"/>
      <c r="Q36" s="28"/>
      <c r="R36" s="28"/>
      <c r="S36" s="28"/>
    </row>
    <row r="37" spans="1:19" s="8" customFormat="1" ht="12" customHeight="1">
      <c r="A37" s="14"/>
      <c r="B37" s="14" t="s">
        <v>598</v>
      </c>
      <c r="M37" s="28"/>
      <c r="N37" s="28"/>
      <c r="O37" s="28"/>
      <c r="P37" s="28"/>
      <c r="Q37" s="28"/>
      <c r="R37" s="28"/>
      <c r="S37" s="28"/>
    </row>
    <row r="38" spans="1:19" s="8" customFormat="1" ht="24.75" customHeight="1">
      <c r="B38" s="2506" t="s">
        <v>4503</v>
      </c>
      <c r="C38" s="2507"/>
      <c r="D38" s="2507"/>
      <c r="E38" s="2507"/>
      <c r="F38" s="2507"/>
      <c r="G38" s="2507"/>
      <c r="H38" s="2507"/>
      <c r="I38" s="2507"/>
      <c r="J38" s="2507"/>
      <c r="K38" s="2507"/>
      <c r="L38" s="2507"/>
      <c r="M38" s="2508"/>
      <c r="N38" s="28"/>
      <c r="O38" s="1353" t="s">
        <v>2853</v>
      </c>
      <c r="P38" s="1353"/>
      <c r="Q38" s="1353"/>
      <c r="R38" s="1353"/>
      <c r="S38" s="1353"/>
    </row>
    <row r="39" spans="1:19" s="8" customFormat="1" ht="3" customHeight="1">
      <c r="M39" s="28"/>
      <c r="N39" s="28"/>
      <c r="O39" s="1353"/>
      <c r="P39" s="1353"/>
      <c r="Q39" s="1353"/>
      <c r="R39" s="1353"/>
      <c r="S39" s="1353"/>
    </row>
    <row r="40" spans="1:19" s="8" customFormat="1" ht="12" customHeight="1">
      <c r="A40" s="14"/>
      <c r="B40" s="14" t="s">
        <v>1937</v>
      </c>
      <c r="M40" s="28"/>
      <c r="N40" s="28"/>
      <c r="O40" s="1353"/>
      <c r="P40" s="1353"/>
      <c r="Q40" s="1353"/>
      <c r="R40" s="1353"/>
      <c r="S40" s="1353"/>
    </row>
    <row r="41" spans="1:19" s="8" customFormat="1" ht="24.75" customHeight="1">
      <c r="B41" s="2509"/>
      <c r="C41" s="2510"/>
      <c r="D41" s="2510"/>
      <c r="E41" s="2510"/>
      <c r="F41" s="2510"/>
      <c r="G41" s="2510"/>
      <c r="H41" s="2510"/>
      <c r="I41" s="2510"/>
      <c r="J41" s="2510"/>
      <c r="K41" s="2510"/>
      <c r="L41" s="2510"/>
      <c r="M41" s="2511"/>
      <c r="N41" s="28"/>
      <c r="O41" s="1353"/>
      <c r="P41" s="1353"/>
      <c r="Q41" s="1353"/>
      <c r="R41" s="1353"/>
      <c r="S41" s="1353"/>
    </row>
  </sheetData>
  <sheetProtection algorithmName="SHA-512" hashValue="XB22f50XNefaklmWax4EvidD8SVna/GZQ9/W2cSRoP0fFeXOLuVy75pU4fZagTqVFeV7VM1QQSGzuM7f+jX0Pg==" saltValue="95Cydav6Na0/gWSZbQEdsA=="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2015-06-10T13:51:28Z</cp:lastPrinted>
  <dcterms:created xsi:type="dcterms:W3CDTF">2005-09-15T20:51:37Z</dcterms:created>
  <dcterms:modified xsi:type="dcterms:W3CDTF">2015-07-09T15:54:01Z</dcterms:modified>
</cp:coreProperties>
</file>